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natura\Unidad de Informacion y Estadisticas\13 Estadísticas CNE\BNE Balances Energéticos\INPUT\2008-present\"/>
    </mc:Choice>
  </mc:AlternateContent>
  <bookViews>
    <workbookView xWindow="0" yWindow="90" windowWidth="15195" windowHeight="8700" tabRatio="935" activeTab="15"/>
  </bookViews>
  <sheets>
    <sheet name="TAPA" sheetId="32" r:id="rId1"/>
    <sheet name="INTRO" sheetId="35" r:id="rId2"/>
    <sheet name="INDICE" sheetId="36" r:id="rId3"/>
    <sheet name="CUADRO1" sheetId="1" r:id="rId4"/>
    <sheet name="CUADRO2" sheetId="2" r:id="rId5"/>
    <sheet name="CUADRO3" sheetId="3" r:id="rId6"/>
    <sheet name="CUADRO4" sheetId="5" r:id="rId7"/>
    <sheet name="CUADRO5" sheetId="6" r:id="rId8"/>
    <sheet name="CUADRO6" sheetId="7" r:id="rId9"/>
    <sheet name="CUADRO7" sheetId="8" r:id="rId10"/>
    <sheet name="CUADRO8" sheetId="9" r:id="rId11"/>
    <sheet name="CUADRO9" sheetId="37" r:id="rId12"/>
    <sheet name="CUADRO10" sheetId="10" r:id="rId13"/>
    <sheet name="CUADRO11" sheetId="11" r:id="rId14"/>
    <sheet name="CONS_TERAC" sheetId="20" r:id="rId15"/>
    <sheet name="BALANCE" sheetId="43" r:id="rId16"/>
    <sheet name="DIAGRAMA" sheetId="44" r:id="rId17"/>
    <sheet name="CUADRO12" sheetId="12" r:id="rId18"/>
    <sheet name="CUADRO13" sheetId="13" r:id="rId19"/>
    <sheet name="CUADRO14" sheetId="14" r:id="rId20"/>
    <sheet name="CUADRO15" sheetId="15" r:id="rId21"/>
    <sheet name="CUADRO16" sheetId="16" r:id="rId22"/>
    <sheet name="CUADRO17" sheetId="17" r:id="rId23"/>
    <sheet name="CUADRO18" sheetId="38" r:id="rId24"/>
    <sheet name="CUADRO19" sheetId="18" r:id="rId25"/>
    <sheet name="CUADRO20" sheetId="19" r:id="rId26"/>
    <sheet name="CONS_U.FIS" sheetId="21" r:id="rId27"/>
    <sheet name="CUADRO21" sheetId="27" r:id="rId28"/>
    <sheet name="DEP" sheetId="4" state="hidden" r:id="rId29"/>
    <sheet name="CUADRO22" sheetId="39" r:id="rId30"/>
    <sheet name="BAL-OLADE" sheetId="23" state="hidden" r:id="rId31"/>
    <sheet name="BAL-APEC" sheetId="29" state="hidden" r:id="rId32"/>
    <sheet name="BAL-MERCOSUR" sheetId="31" state="hidden" r:id="rId33"/>
    <sheet name="BALANCE_ELECT" sheetId="40" r:id="rId34"/>
    <sheet name="CAPACIDADES" sheetId="41" r:id="rId35"/>
    <sheet name="GENERACION EE" sheetId="42" r:id="rId36"/>
    <sheet name="CUADROA2" sheetId="33" r:id="rId37"/>
    <sheet name="CUADROA3" sheetId="34" r:id="rId38"/>
  </sheets>
  <definedNames>
    <definedName name="_xlnm._FilterDatabase" localSheetId="7" hidden="1">CUADRO5!$B$19:$I$20</definedName>
    <definedName name="_xlnm.Print_Area" localSheetId="14">CONS_TERAC!$A$1:$Y$63</definedName>
    <definedName name="_xlnm.Print_Area" localSheetId="3">CUADRO1!$A$1:$H$26</definedName>
    <definedName name="_xlnm.Print_Area" localSheetId="17">CUADRO12!$A$1:$H$34</definedName>
    <definedName name="_xlnm.Print_Area" localSheetId="18">CUADRO13!$B$2:$I$54</definedName>
    <definedName name="_xlnm.Print_Area" localSheetId="4">CUADRO2!$A$1:$H$40</definedName>
    <definedName name="_xlnm.Print_Area" localSheetId="27">CUADRO21!$B$1:$L$21</definedName>
    <definedName name="_xlnm.Print_Area" localSheetId="5">CUADRO3!$A$1:$H$36</definedName>
    <definedName name="_xlnm.Print_Area" localSheetId="6">CUADRO4!$A$1:$I$42</definedName>
    <definedName name="_xlnm.Print_Area" localSheetId="1">INTRO!$A$1:$I$75</definedName>
  </definedNames>
  <calcPr calcId="162913"/>
</workbook>
</file>

<file path=xl/calcChain.xml><?xml version="1.0" encoding="utf-8"?>
<calcChain xmlns="http://schemas.openxmlformats.org/spreadsheetml/2006/main">
  <c r="M33" i="20" l="1"/>
  <c r="E19" i="6" s="1"/>
  <c r="G19" i="6" s="1"/>
  <c r="I19" i="6" s="1"/>
  <c r="M26" i="20"/>
  <c r="M47" i="20" s="1"/>
  <c r="M12" i="20"/>
  <c r="M44" i="20"/>
  <c r="D6" i="43"/>
  <c r="D4" i="43"/>
  <c r="D5" i="43"/>
  <c r="D8" i="43"/>
  <c r="D9" i="43"/>
  <c r="S51" i="20"/>
  <c r="D13" i="43"/>
  <c r="S53" i="20"/>
  <c r="D14" i="43" s="1"/>
  <c r="G14" i="3"/>
  <c r="G16" i="3" s="1"/>
  <c r="D10" i="5"/>
  <c r="D30" i="5" s="1"/>
  <c r="I15" i="4" s="1"/>
  <c r="E10" i="5"/>
  <c r="E30" i="5"/>
  <c r="J15" i="4" s="1"/>
  <c r="F10" i="5"/>
  <c r="F30" i="5" s="1"/>
  <c r="K15" i="4" s="1"/>
  <c r="D16" i="3"/>
  <c r="L21" i="27"/>
  <c r="K21" i="27"/>
  <c r="J21" i="27"/>
  <c r="I21" i="27"/>
  <c r="H21" i="27"/>
  <c r="G21" i="27"/>
  <c r="F21" i="27"/>
  <c r="E21" i="27"/>
  <c r="D21" i="27"/>
  <c r="C21" i="27"/>
  <c r="S5" i="4"/>
  <c r="U5" i="4" s="1"/>
  <c r="O14" i="4"/>
  <c r="O13" i="4"/>
  <c r="Q13" i="4" s="1"/>
  <c r="O12" i="4"/>
  <c r="O11" i="4"/>
  <c r="O10" i="4"/>
  <c r="Q10" i="4"/>
  <c r="O9" i="4"/>
  <c r="O8" i="4"/>
  <c r="O7" i="4"/>
  <c r="O6" i="4"/>
  <c r="O5" i="4"/>
  <c r="F16" i="3"/>
  <c r="F15" i="4"/>
  <c r="C16" i="3"/>
  <c r="C15" i="4"/>
  <c r="S14" i="4"/>
  <c r="S13" i="4"/>
  <c r="T13" i="4" s="1"/>
  <c r="S12" i="4"/>
  <c r="U12" i="4" s="1"/>
  <c r="S11" i="4"/>
  <c r="S10" i="4"/>
  <c r="S9" i="4"/>
  <c r="U9" i="4" s="1"/>
  <c r="T9" i="4"/>
  <c r="S8" i="4"/>
  <c r="U8" i="4" s="1"/>
  <c r="T8" i="4"/>
  <c r="V8" i="4" s="1"/>
  <c r="S7" i="4"/>
  <c r="S6" i="4"/>
  <c r="P14" i="4"/>
  <c r="Q14" i="4" s="1"/>
  <c r="P13" i="4"/>
  <c r="P12" i="4"/>
  <c r="Q12" i="4"/>
  <c r="P11" i="4"/>
  <c r="P10" i="4"/>
  <c r="P9" i="4"/>
  <c r="Q9" i="4"/>
  <c r="P8" i="4"/>
  <c r="Q8" i="4" s="1"/>
  <c r="P7" i="4"/>
  <c r="P6" i="4"/>
  <c r="Q6" i="4" s="1"/>
  <c r="P5" i="4"/>
  <c r="Q5" i="4" s="1"/>
  <c r="Q11" i="4"/>
  <c r="Q7" i="4"/>
  <c r="S33" i="20"/>
  <c r="S26" i="20"/>
  <c r="S12" i="20"/>
  <c r="D33" i="20"/>
  <c r="D26" i="20"/>
  <c r="D12" i="20"/>
  <c r="C10" i="6" s="1"/>
  <c r="D44" i="20"/>
  <c r="D57" i="20"/>
  <c r="C33" i="20"/>
  <c r="E11" i="6"/>
  <c r="C26" i="20"/>
  <c r="D11" i="6" s="1"/>
  <c r="C12" i="20"/>
  <c r="C47" i="20" s="1"/>
  <c r="C47" i="21" s="1"/>
  <c r="G11" i="13" s="1"/>
  <c r="C44" i="20"/>
  <c r="C57" i="20"/>
  <c r="H12" i="5" s="1"/>
  <c r="E33" i="20"/>
  <c r="E12" i="6"/>
  <c r="E26" i="20"/>
  <c r="E12" i="20"/>
  <c r="E44" i="20"/>
  <c r="E57" i="20"/>
  <c r="F33" i="20"/>
  <c r="E13" i="6" s="1"/>
  <c r="F26" i="20"/>
  <c r="F12" i="20"/>
  <c r="C13" i="6" s="1"/>
  <c r="F44" i="20"/>
  <c r="F57" i="20"/>
  <c r="G33" i="20"/>
  <c r="G26" i="20"/>
  <c r="G12" i="20"/>
  <c r="H33" i="20"/>
  <c r="E15" i="6"/>
  <c r="H26" i="20"/>
  <c r="H12" i="20"/>
  <c r="H44" i="20"/>
  <c r="H57" i="20"/>
  <c r="I33" i="20"/>
  <c r="E16" i="6" s="1"/>
  <c r="G16" i="6" s="1"/>
  <c r="I16" i="6" s="1"/>
  <c r="I26" i="20"/>
  <c r="D16" i="6"/>
  <c r="I12" i="20"/>
  <c r="I44" i="20"/>
  <c r="I57" i="20"/>
  <c r="H17" i="5" s="1"/>
  <c r="J33" i="20"/>
  <c r="E17" i="6" s="1"/>
  <c r="J26" i="20"/>
  <c r="J12" i="20"/>
  <c r="J44" i="20"/>
  <c r="J57" i="20"/>
  <c r="K33" i="20"/>
  <c r="E18" i="6" s="1"/>
  <c r="G18" i="6" s="1"/>
  <c r="I18" i="6" s="1"/>
  <c r="K26" i="20"/>
  <c r="K12" i="20"/>
  <c r="K44" i="20"/>
  <c r="K47" i="20"/>
  <c r="K60" i="20" s="1"/>
  <c r="I19" i="5" s="1"/>
  <c r="K57" i="20"/>
  <c r="N33" i="20"/>
  <c r="N47" i="20" s="1"/>
  <c r="N26" i="20"/>
  <c r="N12" i="20"/>
  <c r="N44" i="20"/>
  <c r="F16" i="43" s="1"/>
  <c r="N57" i="20"/>
  <c r="O33" i="20"/>
  <c r="E21" i="6" s="1"/>
  <c r="G21" i="6" s="1"/>
  <c r="I21" i="6" s="1"/>
  <c r="O26" i="20"/>
  <c r="O12" i="20"/>
  <c r="O57" i="20"/>
  <c r="H22" i="5" s="1"/>
  <c r="P33" i="20"/>
  <c r="P47" i="20" s="1"/>
  <c r="P26" i="20"/>
  <c r="D22" i="6"/>
  <c r="P12" i="20"/>
  <c r="C22" i="6" s="1"/>
  <c r="P44" i="20"/>
  <c r="Q33" i="20"/>
  <c r="E23" i="6" s="1"/>
  <c r="Q26" i="20"/>
  <c r="Q12" i="20"/>
  <c r="Q44" i="20"/>
  <c r="R33" i="20"/>
  <c r="R26" i="20"/>
  <c r="R12" i="20"/>
  <c r="R44" i="20"/>
  <c r="Z16" i="43"/>
  <c r="T33" i="20"/>
  <c r="E26" i="6" s="1"/>
  <c r="T26" i="20"/>
  <c r="T12" i="20"/>
  <c r="C26" i="6" s="1"/>
  <c r="G26" i="6" s="1"/>
  <c r="I26" i="6" s="1"/>
  <c r="T44" i="20"/>
  <c r="V33" i="20"/>
  <c r="V26" i="20"/>
  <c r="V12" i="20"/>
  <c r="C27" i="6" s="1"/>
  <c r="V57" i="20"/>
  <c r="H28" i="5" s="1"/>
  <c r="U33" i="20"/>
  <c r="U26" i="20"/>
  <c r="U12" i="20"/>
  <c r="U57" i="20"/>
  <c r="H14" i="5"/>
  <c r="H19" i="5"/>
  <c r="H21" i="5"/>
  <c r="H29" i="5"/>
  <c r="C10" i="5"/>
  <c r="C30" i="5" s="1"/>
  <c r="H15" i="4" s="1"/>
  <c r="E16" i="3"/>
  <c r="E15" i="4" s="1"/>
  <c r="E10" i="6"/>
  <c r="E14" i="6"/>
  <c r="E24" i="6"/>
  <c r="E25" i="6"/>
  <c r="E28" i="6"/>
  <c r="C11" i="6"/>
  <c r="G11" i="6" s="1"/>
  <c r="I11" i="6" s="1"/>
  <c r="C12" i="6"/>
  <c r="C14" i="6"/>
  <c r="C15" i="6"/>
  <c r="C16" i="6"/>
  <c r="C17" i="6"/>
  <c r="C18" i="6"/>
  <c r="C19" i="6"/>
  <c r="C20" i="6"/>
  <c r="C21" i="6"/>
  <c r="C23" i="6"/>
  <c r="C25" i="6"/>
  <c r="D13" i="6"/>
  <c r="D18" i="6"/>
  <c r="D19" i="6"/>
  <c r="D20" i="6"/>
  <c r="D21" i="6"/>
  <c r="D24" i="6"/>
  <c r="D25" i="6"/>
  <c r="D26" i="6"/>
  <c r="D28" i="6"/>
  <c r="U10" i="27"/>
  <c r="S10" i="27"/>
  <c r="G10" i="27"/>
  <c r="Q10" i="27"/>
  <c r="O10" i="27"/>
  <c r="M10" i="27"/>
  <c r="K10" i="27"/>
  <c r="I10" i="27"/>
  <c r="E10" i="27"/>
  <c r="C10" i="27"/>
  <c r="AA16" i="43"/>
  <c r="X16" i="43"/>
  <c r="G3" i="43"/>
  <c r="G7" i="43" s="1"/>
  <c r="G15" i="43" s="1"/>
  <c r="G4" i="43"/>
  <c r="G5" i="43"/>
  <c r="G6" i="43"/>
  <c r="G8" i="43"/>
  <c r="G9" i="43"/>
  <c r="F3" i="43"/>
  <c r="F4" i="43"/>
  <c r="F5" i="43"/>
  <c r="F6" i="43"/>
  <c r="F8" i="43"/>
  <c r="F9" i="43"/>
  <c r="F11" i="43"/>
  <c r="D17" i="1"/>
  <c r="L28" i="20"/>
  <c r="W28" i="20" s="1"/>
  <c r="L29" i="20"/>
  <c r="W29" i="20" s="1"/>
  <c r="L30" i="20"/>
  <c r="W30" i="20" s="1"/>
  <c r="L31" i="20"/>
  <c r="W31" i="20" s="1"/>
  <c r="L14" i="20"/>
  <c r="W14" i="20" s="1"/>
  <c r="L15" i="20"/>
  <c r="W15" i="20" s="1"/>
  <c r="L16" i="20"/>
  <c r="W16" i="20" s="1"/>
  <c r="L17" i="20"/>
  <c r="W17" i="20" s="1"/>
  <c r="L18" i="20"/>
  <c r="W18" i="20" s="1"/>
  <c r="L19" i="20"/>
  <c r="W19" i="20" s="1"/>
  <c r="L20" i="20"/>
  <c r="W20" i="20" s="1"/>
  <c r="L21" i="20"/>
  <c r="W21" i="20" s="1"/>
  <c r="L22" i="20"/>
  <c r="W22" i="20" s="1"/>
  <c r="L23" i="20"/>
  <c r="W23" i="20" s="1"/>
  <c r="L24" i="20"/>
  <c r="W24" i="20" s="1"/>
  <c r="L7" i="20"/>
  <c r="W7" i="20" s="1"/>
  <c r="L8" i="20"/>
  <c r="W8" i="20" s="1"/>
  <c r="L9" i="20"/>
  <c r="W9" i="20"/>
  <c r="L10" i="20"/>
  <c r="W10" i="20"/>
  <c r="T55" i="21"/>
  <c r="G25" i="18"/>
  <c r="T54" i="21"/>
  <c r="F25" i="18" s="1"/>
  <c r="T53" i="21"/>
  <c r="E25" i="18"/>
  <c r="T51" i="21"/>
  <c r="T52" i="21"/>
  <c r="D25" i="18"/>
  <c r="T49" i="21"/>
  <c r="C25" i="18" s="1"/>
  <c r="T50" i="21"/>
  <c r="T57" i="21"/>
  <c r="H45" i="13" s="1"/>
  <c r="T33" i="21"/>
  <c r="E45" i="14" s="1"/>
  <c r="T26" i="21"/>
  <c r="D45" i="14" s="1"/>
  <c r="C14" i="10"/>
  <c r="D14" i="10"/>
  <c r="E14" i="10"/>
  <c r="F14" i="10"/>
  <c r="G14" i="10"/>
  <c r="C15" i="10"/>
  <c r="D15" i="10"/>
  <c r="E15" i="10"/>
  <c r="F15" i="10"/>
  <c r="G15" i="10"/>
  <c r="C16" i="10"/>
  <c r="D16" i="10"/>
  <c r="E16" i="10"/>
  <c r="G16" i="10"/>
  <c r="F16" i="10"/>
  <c r="C17" i="10"/>
  <c r="D17" i="10"/>
  <c r="E17" i="10"/>
  <c r="F17" i="10"/>
  <c r="G17" i="10"/>
  <c r="C18" i="10"/>
  <c r="D18" i="10"/>
  <c r="E18" i="10"/>
  <c r="F18" i="10"/>
  <c r="G18" i="10"/>
  <c r="H18" i="10"/>
  <c r="C10" i="10"/>
  <c r="D10" i="10"/>
  <c r="E10" i="10"/>
  <c r="F10" i="10"/>
  <c r="G10" i="10"/>
  <c r="C11" i="10"/>
  <c r="H11" i="10" s="1"/>
  <c r="D11" i="10"/>
  <c r="E11" i="10"/>
  <c r="F11" i="10"/>
  <c r="G11" i="10"/>
  <c r="C12" i="10"/>
  <c r="E12" i="10"/>
  <c r="F12" i="10"/>
  <c r="G12" i="10"/>
  <c r="C13" i="10"/>
  <c r="H13" i="10" s="1"/>
  <c r="D13" i="10"/>
  <c r="E13" i="10"/>
  <c r="F13" i="10"/>
  <c r="G13" i="10"/>
  <c r="H28" i="6"/>
  <c r="C3" i="43"/>
  <c r="C4" i="43"/>
  <c r="C5" i="43"/>
  <c r="C6" i="43"/>
  <c r="E7" i="43"/>
  <c r="J3" i="43"/>
  <c r="J6" i="43"/>
  <c r="J4" i="43"/>
  <c r="J5" i="43"/>
  <c r="H3" i="43"/>
  <c r="H6" i="43"/>
  <c r="H4" i="43"/>
  <c r="H5" i="43"/>
  <c r="I3" i="43"/>
  <c r="I6" i="43"/>
  <c r="I4" i="43"/>
  <c r="I5" i="43"/>
  <c r="K4" i="43"/>
  <c r="K5" i="43"/>
  <c r="K7" i="43" s="1"/>
  <c r="K6" i="43"/>
  <c r="L4" i="43"/>
  <c r="L5" i="43"/>
  <c r="L6" i="43"/>
  <c r="M4" i="43"/>
  <c r="M5" i="43"/>
  <c r="M6" i="43"/>
  <c r="N4" i="43"/>
  <c r="N7" i="43" s="1"/>
  <c r="N5" i="43"/>
  <c r="N6" i="43"/>
  <c r="O4" i="43"/>
  <c r="O5" i="43"/>
  <c r="O6" i="43"/>
  <c r="P4" i="43"/>
  <c r="P5" i="43"/>
  <c r="P6" i="43"/>
  <c r="Q4" i="43"/>
  <c r="Q5" i="43"/>
  <c r="Q7" i="43" s="1"/>
  <c r="Q6" i="43"/>
  <c r="R4" i="43"/>
  <c r="R5" i="43"/>
  <c r="R6" i="43"/>
  <c r="S4" i="43"/>
  <c r="S5" i="43"/>
  <c r="S7" i="43" s="1"/>
  <c r="S15" i="43" s="1"/>
  <c r="S6" i="43"/>
  <c r="T7" i="43"/>
  <c r="V4" i="43"/>
  <c r="V7" i="43" s="1"/>
  <c r="V5" i="43"/>
  <c r="V6" i="43"/>
  <c r="W7" i="43"/>
  <c r="X7" i="43"/>
  <c r="X15" i="43" s="1"/>
  <c r="Y4" i="43"/>
  <c r="Y7" i="43" s="1"/>
  <c r="Y5" i="43"/>
  <c r="Y6" i="43"/>
  <c r="Z4" i="43"/>
  <c r="Z5" i="43"/>
  <c r="Z6" i="43"/>
  <c r="Z7" i="43"/>
  <c r="AA7" i="43"/>
  <c r="AA15" i="43" s="1"/>
  <c r="AB4" i="43"/>
  <c r="AB7" i="43" s="1"/>
  <c r="AB15" i="43" s="1"/>
  <c r="AB5" i="43"/>
  <c r="AB6" i="43"/>
  <c r="U7" i="43"/>
  <c r="E34" i="43"/>
  <c r="E29" i="43"/>
  <c r="E17" i="43"/>
  <c r="E12" i="43"/>
  <c r="E15" i="43" s="1"/>
  <c r="J35" i="43"/>
  <c r="J34" i="43" s="1"/>
  <c r="J36" i="43"/>
  <c r="J37" i="43"/>
  <c r="J30" i="43"/>
  <c r="J31" i="43"/>
  <c r="J32" i="43"/>
  <c r="J33" i="43"/>
  <c r="J29" i="43" s="1"/>
  <c r="J28" i="43"/>
  <c r="J27" i="43"/>
  <c r="J26" i="43"/>
  <c r="J25" i="43"/>
  <c r="J24" i="43"/>
  <c r="J23" i="43"/>
  <c r="J22" i="43"/>
  <c r="J21" i="43"/>
  <c r="J20" i="43"/>
  <c r="J19" i="43"/>
  <c r="J18" i="43"/>
  <c r="J8" i="43"/>
  <c r="J9" i="43"/>
  <c r="J12" i="43"/>
  <c r="J13" i="43"/>
  <c r="J14" i="43"/>
  <c r="G38" i="20"/>
  <c r="G44" i="20" s="1"/>
  <c r="S38" i="20"/>
  <c r="S44" i="20" s="1"/>
  <c r="G51" i="20"/>
  <c r="D12" i="10" s="1"/>
  <c r="C17" i="1"/>
  <c r="E14" i="1"/>
  <c r="V9" i="43"/>
  <c r="T9" i="43"/>
  <c r="O9" i="43"/>
  <c r="L9" i="43"/>
  <c r="K9" i="43"/>
  <c r="AC9" i="43" s="1"/>
  <c r="C31" i="2"/>
  <c r="S8" i="43"/>
  <c r="O8" i="43"/>
  <c r="L8" i="43"/>
  <c r="K8" i="43"/>
  <c r="C10" i="40"/>
  <c r="C15" i="40"/>
  <c r="E16" i="40" s="1"/>
  <c r="C21" i="39"/>
  <c r="D16" i="39" s="1"/>
  <c r="E21" i="39"/>
  <c r="F19" i="39" s="1"/>
  <c r="C17" i="11"/>
  <c r="U14" i="43" s="1"/>
  <c r="U15" i="43" s="1"/>
  <c r="C14" i="43"/>
  <c r="K14" i="43"/>
  <c r="L14" i="43"/>
  <c r="M14" i="43"/>
  <c r="N14" i="43"/>
  <c r="O14" i="43"/>
  <c r="P14" i="43"/>
  <c r="Q14" i="43"/>
  <c r="R14" i="43"/>
  <c r="S14" i="43"/>
  <c r="T15" i="43"/>
  <c r="W10" i="43"/>
  <c r="W15" i="43" s="1"/>
  <c r="Y11" i="43"/>
  <c r="AC11" i="43" s="1"/>
  <c r="Z10" i="43"/>
  <c r="AB13" i="43"/>
  <c r="AB37" i="43"/>
  <c r="AB36" i="43"/>
  <c r="AB35" i="43"/>
  <c r="AA35" i="43"/>
  <c r="AA36" i="43"/>
  <c r="AA37" i="43"/>
  <c r="Z35" i="43"/>
  <c r="Z36" i="43"/>
  <c r="Z37" i="43"/>
  <c r="Y35" i="43"/>
  <c r="Y36" i="43"/>
  <c r="Y37" i="43"/>
  <c r="X34" i="43"/>
  <c r="W35" i="43"/>
  <c r="W34" i="43" s="1"/>
  <c r="W36" i="43"/>
  <c r="W37" i="43"/>
  <c r="V35" i="43"/>
  <c r="V36" i="43"/>
  <c r="V37" i="43"/>
  <c r="U34" i="43"/>
  <c r="T34" i="43"/>
  <c r="S35" i="43"/>
  <c r="S36" i="43"/>
  <c r="S37" i="43"/>
  <c r="R35" i="43"/>
  <c r="R36" i="43"/>
  <c r="R37" i="43"/>
  <c r="Q35" i="43"/>
  <c r="Q36" i="43"/>
  <c r="Q37" i="43"/>
  <c r="P35" i="43"/>
  <c r="P36" i="43"/>
  <c r="P37" i="43"/>
  <c r="O35" i="43"/>
  <c r="O36" i="43"/>
  <c r="O37" i="43"/>
  <c r="N35" i="43"/>
  <c r="N36" i="43"/>
  <c r="N37" i="43"/>
  <c r="M35" i="43"/>
  <c r="M36" i="43"/>
  <c r="M37" i="43"/>
  <c r="L35" i="43"/>
  <c r="L36" i="43"/>
  <c r="L37" i="43"/>
  <c r="K35" i="43"/>
  <c r="K36" i="43"/>
  <c r="K37" i="43"/>
  <c r="I34" i="43"/>
  <c r="H34" i="43"/>
  <c r="G35" i="43"/>
  <c r="G36" i="43"/>
  <c r="G37" i="43"/>
  <c r="F35" i="43"/>
  <c r="F34" i="43" s="1"/>
  <c r="F36" i="43"/>
  <c r="F37" i="43"/>
  <c r="D35" i="43"/>
  <c r="D36" i="43"/>
  <c r="D37" i="43"/>
  <c r="C34" i="43"/>
  <c r="U12" i="21"/>
  <c r="C43" i="14"/>
  <c r="U33" i="21"/>
  <c r="E43" i="14" s="1"/>
  <c r="D12" i="21"/>
  <c r="C9" i="14"/>
  <c r="D33" i="21"/>
  <c r="E9" i="14" s="1"/>
  <c r="D44" i="21"/>
  <c r="F9" i="14"/>
  <c r="U57" i="21"/>
  <c r="H43" i="13" s="1"/>
  <c r="N57" i="21"/>
  <c r="H31" i="13" s="1"/>
  <c r="M57" i="21"/>
  <c r="H29" i="13" s="1"/>
  <c r="K47" i="21"/>
  <c r="G25" i="13" s="1"/>
  <c r="K57" i="21"/>
  <c r="H25" i="13" s="1"/>
  <c r="I57" i="21"/>
  <c r="H21" i="13" s="1"/>
  <c r="F57" i="21"/>
  <c r="H15" i="13" s="1"/>
  <c r="C57" i="21"/>
  <c r="H11" i="13"/>
  <c r="D15" i="37"/>
  <c r="E15" i="37"/>
  <c r="F15" i="37"/>
  <c r="G15" i="37"/>
  <c r="H15" i="37" s="1"/>
  <c r="C15" i="37"/>
  <c r="C17" i="7"/>
  <c r="D17" i="7"/>
  <c r="E17" i="7"/>
  <c r="F17" i="7"/>
  <c r="C16" i="7"/>
  <c r="D16" i="7"/>
  <c r="G16" i="7" s="1"/>
  <c r="E16" i="7"/>
  <c r="F16" i="7"/>
  <c r="S33" i="43"/>
  <c r="S32" i="43"/>
  <c r="S31" i="43"/>
  <c r="S30" i="43"/>
  <c r="Q28" i="43"/>
  <c r="Q27" i="43"/>
  <c r="Q26" i="43"/>
  <c r="Q25" i="43"/>
  <c r="Q24" i="43"/>
  <c r="Q23" i="43"/>
  <c r="Q22" i="43"/>
  <c r="Q21" i="43"/>
  <c r="Q20" i="43"/>
  <c r="Q19" i="43"/>
  <c r="Q18" i="43"/>
  <c r="P28" i="43"/>
  <c r="P27" i="43"/>
  <c r="P26" i="43"/>
  <c r="P25" i="43"/>
  <c r="P24" i="43"/>
  <c r="P23" i="43"/>
  <c r="P22" i="43"/>
  <c r="P21" i="43"/>
  <c r="P20" i="43"/>
  <c r="P19" i="43"/>
  <c r="P18" i="43"/>
  <c r="M28" i="43"/>
  <c r="M27" i="43"/>
  <c r="M26" i="43"/>
  <c r="M25" i="43"/>
  <c r="M24" i="43"/>
  <c r="M23" i="43"/>
  <c r="M22" i="43"/>
  <c r="M21" i="43"/>
  <c r="M20" i="43"/>
  <c r="M19" i="43"/>
  <c r="M18" i="43"/>
  <c r="U38" i="43"/>
  <c r="AC38" i="43" s="1"/>
  <c r="W33" i="43"/>
  <c r="N33" i="43"/>
  <c r="D33" i="43"/>
  <c r="F33" i="43"/>
  <c r="G33" i="43"/>
  <c r="K33" i="43"/>
  <c r="L33" i="43"/>
  <c r="M33" i="43"/>
  <c r="O33" i="43"/>
  <c r="P33" i="43"/>
  <c r="Q33" i="43"/>
  <c r="R33" i="43"/>
  <c r="V33" i="43"/>
  <c r="X33" i="43"/>
  <c r="Y33" i="43"/>
  <c r="Z33" i="43"/>
  <c r="AB33" i="43"/>
  <c r="W32" i="43"/>
  <c r="N32" i="43"/>
  <c r="D32" i="43"/>
  <c r="F32" i="43"/>
  <c r="G32" i="43"/>
  <c r="K32" i="43"/>
  <c r="L32" i="43"/>
  <c r="M32" i="43"/>
  <c r="O32" i="43"/>
  <c r="P32" i="43"/>
  <c r="Q32" i="43"/>
  <c r="R32" i="43"/>
  <c r="V32" i="43"/>
  <c r="X32" i="43"/>
  <c r="Y32" i="43"/>
  <c r="Z32" i="43"/>
  <c r="AB32" i="43"/>
  <c r="W31" i="43"/>
  <c r="N31" i="43"/>
  <c r="D31" i="43"/>
  <c r="F31" i="43"/>
  <c r="G31" i="43"/>
  <c r="K31" i="43"/>
  <c r="L31" i="43"/>
  <c r="M31" i="43"/>
  <c r="O31" i="43"/>
  <c r="P31" i="43"/>
  <c r="Q31" i="43"/>
  <c r="R31" i="43"/>
  <c r="V31" i="43"/>
  <c r="X31" i="43"/>
  <c r="Y31" i="43"/>
  <c r="Z31" i="43"/>
  <c r="AB31" i="43"/>
  <c r="W30" i="43"/>
  <c r="N30" i="43"/>
  <c r="D30" i="43"/>
  <c r="F30" i="43"/>
  <c r="G30" i="43"/>
  <c r="K30" i="43"/>
  <c r="L30" i="43"/>
  <c r="M30" i="43"/>
  <c r="O30" i="43"/>
  <c r="P30" i="43"/>
  <c r="Q30" i="43"/>
  <c r="R30" i="43"/>
  <c r="V30" i="43"/>
  <c r="X30" i="43"/>
  <c r="Y30" i="43"/>
  <c r="Z30" i="43"/>
  <c r="AB30" i="43"/>
  <c r="C29" i="43"/>
  <c r="H29" i="43"/>
  <c r="I29" i="43"/>
  <c r="T29" i="43"/>
  <c r="U29" i="43"/>
  <c r="AA29" i="43"/>
  <c r="W28" i="43"/>
  <c r="N28" i="43"/>
  <c r="D28" i="43"/>
  <c r="F28" i="43"/>
  <c r="G28" i="43"/>
  <c r="K28" i="43"/>
  <c r="L28" i="43"/>
  <c r="O28" i="43"/>
  <c r="R28" i="43"/>
  <c r="S28" i="43"/>
  <c r="V28" i="43"/>
  <c r="X28" i="43"/>
  <c r="Y28" i="43"/>
  <c r="Z28" i="43"/>
  <c r="AB28" i="43"/>
  <c r="W27" i="43"/>
  <c r="N27" i="43"/>
  <c r="D27" i="43"/>
  <c r="F27" i="43"/>
  <c r="G27" i="43"/>
  <c r="K27" i="43"/>
  <c r="L27" i="43"/>
  <c r="O27" i="43"/>
  <c r="R27" i="43"/>
  <c r="S27" i="43"/>
  <c r="V27" i="43"/>
  <c r="X27" i="43"/>
  <c r="Y27" i="43"/>
  <c r="Z27" i="43"/>
  <c r="AB27" i="43"/>
  <c r="W26" i="43"/>
  <c r="N26" i="43"/>
  <c r="D26" i="43"/>
  <c r="F26" i="43"/>
  <c r="G26" i="43"/>
  <c r="K26" i="43"/>
  <c r="AC26" i="43" s="1"/>
  <c r="L26" i="43"/>
  <c r="O26" i="43"/>
  <c r="R26" i="43"/>
  <c r="S26" i="43"/>
  <c r="V26" i="43"/>
  <c r="X26" i="43"/>
  <c r="Y26" i="43"/>
  <c r="Z26" i="43"/>
  <c r="AB26" i="43"/>
  <c r="W25" i="43"/>
  <c r="N25" i="43"/>
  <c r="D25" i="43"/>
  <c r="F25" i="43"/>
  <c r="G25" i="43"/>
  <c r="K25" i="43"/>
  <c r="L25" i="43"/>
  <c r="O25" i="43"/>
  <c r="R25" i="43"/>
  <c r="S25" i="43"/>
  <c r="V25" i="43"/>
  <c r="X25" i="43"/>
  <c r="Y25" i="43"/>
  <c r="Z25" i="43"/>
  <c r="AB25" i="43"/>
  <c r="T24" i="43"/>
  <c r="T17" i="43" s="1"/>
  <c r="N24" i="43"/>
  <c r="D24" i="43"/>
  <c r="F24" i="43"/>
  <c r="G24" i="43"/>
  <c r="K24" i="43"/>
  <c r="L24" i="43"/>
  <c r="O24" i="43"/>
  <c r="R24" i="43"/>
  <c r="S24" i="43"/>
  <c r="V24" i="43"/>
  <c r="X24" i="43"/>
  <c r="Y24" i="43"/>
  <c r="Z24" i="43"/>
  <c r="AB24" i="43"/>
  <c r="W23" i="43"/>
  <c r="N23" i="43"/>
  <c r="D23" i="43"/>
  <c r="F23" i="43"/>
  <c r="G23" i="43"/>
  <c r="K23" i="43"/>
  <c r="L23" i="43"/>
  <c r="O23" i="43"/>
  <c r="R23" i="43"/>
  <c r="S23" i="43"/>
  <c r="V23" i="43"/>
  <c r="X23" i="43"/>
  <c r="Y23" i="43"/>
  <c r="Z23" i="43"/>
  <c r="AB23" i="43"/>
  <c r="W22" i="43"/>
  <c r="N22" i="43"/>
  <c r="D22" i="43"/>
  <c r="F22" i="43"/>
  <c r="G22" i="43"/>
  <c r="K22" i="43"/>
  <c r="L22" i="43"/>
  <c r="O22" i="43"/>
  <c r="R22" i="43"/>
  <c r="S22" i="43"/>
  <c r="V22" i="43"/>
  <c r="X22" i="43"/>
  <c r="Y22" i="43"/>
  <c r="Z22" i="43"/>
  <c r="AB22" i="43"/>
  <c r="W21" i="43"/>
  <c r="N21" i="43"/>
  <c r="D21" i="43"/>
  <c r="F21" i="43"/>
  <c r="G21" i="43"/>
  <c r="K21" i="43"/>
  <c r="L21" i="43"/>
  <c r="O21" i="43"/>
  <c r="R21" i="43"/>
  <c r="S21" i="43"/>
  <c r="V21" i="43"/>
  <c r="X21" i="43"/>
  <c r="Y21" i="43"/>
  <c r="Z21" i="43"/>
  <c r="AB21" i="43"/>
  <c r="W20" i="43"/>
  <c r="N20" i="43"/>
  <c r="D20" i="43"/>
  <c r="F20" i="43"/>
  <c r="G20" i="43"/>
  <c r="K20" i="43"/>
  <c r="L20" i="43"/>
  <c r="O20" i="43"/>
  <c r="R20" i="43"/>
  <c r="S20" i="43"/>
  <c r="V20" i="43"/>
  <c r="X20" i="43"/>
  <c r="Y20" i="43"/>
  <c r="Z20" i="43"/>
  <c r="AB20" i="43"/>
  <c r="W19" i="43"/>
  <c r="N19" i="43"/>
  <c r="D19" i="43"/>
  <c r="F19" i="43"/>
  <c r="G19" i="43"/>
  <c r="K19" i="43"/>
  <c r="L19" i="43"/>
  <c r="O19" i="43"/>
  <c r="R19" i="43"/>
  <c r="S19" i="43"/>
  <c r="V19" i="43"/>
  <c r="X19" i="43"/>
  <c r="Y19" i="43"/>
  <c r="Z19" i="43"/>
  <c r="AB19" i="43"/>
  <c r="W18" i="43"/>
  <c r="N18" i="43"/>
  <c r="D18" i="43"/>
  <c r="F18" i="43"/>
  <c r="G18" i="43"/>
  <c r="K18" i="43"/>
  <c r="L18" i="43"/>
  <c r="O18" i="43"/>
  <c r="R18" i="43"/>
  <c r="S18" i="43"/>
  <c r="V18" i="43"/>
  <c r="X18" i="43"/>
  <c r="Y18" i="43"/>
  <c r="Z18" i="43"/>
  <c r="AB18" i="43"/>
  <c r="C17" i="43"/>
  <c r="H17" i="43"/>
  <c r="I17" i="43"/>
  <c r="U17" i="43"/>
  <c r="AA17" i="43"/>
  <c r="N16" i="43"/>
  <c r="K16" i="43"/>
  <c r="L16" i="43"/>
  <c r="M16" i="43"/>
  <c r="P16" i="43"/>
  <c r="Q16" i="43"/>
  <c r="R16" i="43"/>
  <c r="S16" i="43"/>
  <c r="V16" i="43"/>
  <c r="Y16" i="43"/>
  <c r="V44" i="20"/>
  <c r="AC13" i="43"/>
  <c r="M57" i="20"/>
  <c r="H20" i="5"/>
  <c r="O44" i="20"/>
  <c r="P57" i="20"/>
  <c r="Q57" i="20"/>
  <c r="R57" i="20"/>
  <c r="Q57" i="21" s="1"/>
  <c r="H37" i="13" s="1"/>
  <c r="T57" i="20"/>
  <c r="H27" i="5" s="1"/>
  <c r="G72" i="20"/>
  <c r="L24" i="21"/>
  <c r="C52" i="40"/>
  <c r="L20" i="21"/>
  <c r="C42" i="40"/>
  <c r="L14" i="21"/>
  <c r="L17" i="21"/>
  <c r="C44" i="40" s="1"/>
  <c r="L19" i="21"/>
  <c r="C45" i="40" s="1"/>
  <c r="L18" i="21"/>
  <c r="C46" i="40" s="1"/>
  <c r="L21" i="21"/>
  <c r="C47" i="40" s="1"/>
  <c r="L16" i="21"/>
  <c r="C48" i="40" s="1"/>
  <c r="L22" i="21"/>
  <c r="C49" i="40" s="1"/>
  <c r="L15" i="21"/>
  <c r="C50" i="40" s="1"/>
  <c r="L23" i="21"/>
  <c r="C21" i="40"/>
  <c r="D21" i="40" s="1"/>
  <c r="C26" i="40"/>
  <c r="E27" i="40" s="1"/>
  <c r="C20" i="40"/>
  <c r="H85" i="42"/>
  <c r="F10" i="6"/>
  <c r="H10" i="6"/>
  <c r="F11" i="6"/>
  <c r="H11" i="6"/>
  <c r="F12" i="6"/>
  <c r="H12" i="6"/>
  <c r="F13" i="6"/>
  <c r="H13" i="6"/>
  <c r="F15" i="6"/>
  <c r="F16" i="6"/>
  <c r="H16" i="6"/>
  <c r="F17" i="6"/>
  <c r="F18" i="6"/>
  <c r="H18" i="6"/>
  <c r="F19" i="6"/>
  <c r="H19" i="6"/>
  <c r="F20" i="6"/>
  <c r="H20" i="6"/>
  <c r="F21" i="6"/>
  <c r="H21" i="6"/>
  <c r="F22" i="6"/>
  <c r="F23" i="6"/>
  <c r="F24" i="6"/>
  <c r="F26" i="6"/>
  <c r="H26" i="6"/>
  <c r="F27" i="6"/>
  <c r="H27" i="6"/>
  <c r="R40" i="21"/>
  <c r="F19" i="12" s="1"/>
  <c r="P73" i="20"/>
  <c r="C21" i="42"/>
  <c r="I85" i="41"/>
  <c r="E28" i="40"/>
  <c r="E24" i="40"/>
  <c r="E22" i="40"/>
  <c r="E13" i="40"/>
  <c r="E12" i="40"/>
  <c r="W49" i="39"/>
  <c r="X48" i="39"/>
  <c r="X47" i="39"/>
  <c r="K47" i="39"/>
  <c r="I47" i="39"/>
  <c r="G47" i="39"/>
  <c r="E47" i="39"/>
  <c r="C47" i="39"/>
  <c r="X46" i="39"/>
  <c r="X45" i="39"/>
  <c r="X44" i="39"/>
  <c r="W35" i="39"/>
  <c r="X33" i="39" s="1"/>
  <c r="X32" i="39"/>
  <c r="D20" i="39"/>
  <c r="D19" i="39"/>
  <c r="D18" i="39"/>
  <c r="F17" i="39"/>
  <c r="D17" i="39"/>
  <c r="E8" i="39"/>
  <c r="C8" i="39"/>
  <c r="F7" i="39"/>
  <c r="F6" i="39"/>
  <c r="C18" i="8"/>
  <c r="D18" i="8"/>
  <c r="E18" i="8"/>
  <c r="F18" i="8"/>
  <c r="G18" i="8"/>
  <c r="H18" i="8"/>
  <c r="I18" i="8"/>
  <c r="J18" i="8"/>
  <c r="K18" i="8"/>
  <c r="L18" i="8"/>
  <c r="M18" i="8"/>
  <c r="C19" i="8"/>
  <c r="D19" i="8"/>
  <c r="E19" i="8"/>
  <c r="F19" i="8"/>
  <c r="G19" i="8"/>
  <c r="H19" i="8"/>
  <c r="I19" i="8"/>
  <c r="J19" i="8"/>
  <c r="K19" i="8"/>
  <c r="L19" i="8"/>
  <c r="M19" i="8"/>
  <c r="C20" i="8"/>
  <c r="D20" i="8"/>
  <c r="E20" i="8"/>
  <c r="F20" i="8"/>
  <c r="G20" i="8"/>
  <c r="H20" i="8"/>
  <c r="I20" i="8"/>
  <c r="J20" i="8"/>
  <c r="K20" i="8"/>
  <c r="L20" i="8"/>
  <c r="M20" i="8"/>
  <c r="C21" i="8"/>
  <c r="D21" i="8"/>
  <c r="E21" i="8"/>
  <c r="F21" i="8"/>
  <c r="H21" i="8"/>
  <c r="I21" i="8"/>
  <c r="J21" i="8"/>
  <c r="K21" i="8"/>
  <c r="L21" i="8"/>
  <c r="M21" i="8"/>
  <c r="G21" i="8"/>
  <c r="C22" i="8"/>
  <c r="D22" i="8"/>
  <c r="E22" i="8"/>
  <c r="F22" i="8"/>
  <c r="G22" i="8"/>
  <c r="H22" i="8"/>
  <c r="I22" i="8"/>
  <c r="J22" i="8"/>
  <c r="K22" i="8"/>
  <c r="L22" i="8"/>
  <c r="M22" i="8"/>
  <c r="C23" i="8"/>
  <c r="D23" i="8"/>
  <c r="E23" i="8"/>
  <c r="F23" i="8"/>
  <c r="G23" i="8"/>
  <c r="H23" i="8"/>
  <c r="I23" i="8"/>
  <c r="J23" i="8"/>
  <c r="K23" i="8"/>
  <c r="L23" i="8"/>
  <c r="M23" i="8"/>
  <c r="C24" i="8"/>
  <c r="D24" i="8"/>
  <c r="E24" i="8"/>
  <c r="F24" i="8"/>
  <c r="G24" i="8"/>
  <c r="H24" i="8"/>
  <c r="I24" i="8"/>
  <c r="J24" i="8"/>
  <c r="K24" i="8"/>
  <c r="L24" i="8"/>
  <c r="M24" i="8"/>
  <c r="C25" i="8"/>
  <c r="D25" i="8"/>
  <c r="E25" i="8"/>
  <c r="F25" i="8"/>
  <c r="G25" i="8"/>
  <c r="H25" i="8"/>
  <c r="I25" i="8"/>
  <c r="J25" i="8"/>
  <c r="K25" i="8"/>
  <c r="L25" i="8"/>
  <c r="M25" i="8"/>
  <c r="C26" i="8"/>
  <c r="D26" i="8"/>
  <c r="E26" i="8"/>
  <c r="F26" i="8"/>
  <c r="G26" i="8"/>
  <c r="H26" i="8"/>
  <c r="I26" i="8"/>
  <c r="J26" i="8"/>
  <c r="K26" i="8"/>
  <c r="L26" i="8"/>
  <c r="M26" i="8"/>
  <c r="C10" i="8"/>
  <c r="D10" i="8"/>
  <c r="E10" i="8"/>
  <c r="F10" i="8"/>
  <c r="G10" i="8"/>
  <c r="H10" i="8"/>
  <c r="I10" i="8"/>
  <c r="J10" i="8"/>
  <c r="K10" i="8"/>
  <c r="L10" i="8"/>
  <c r="M10" i="8"/>
  <c r="M9" i="8" s="1"/>
  <c r="M27" i="8" s="1"/>
  <c r="C11" i="8"/>
  <c r="D11" i="8"/>
  <c r="E11" i="8"/>
  <c r="F11" i="8"/>
  <c r="G11" i="8"/>
  <c r="H11" i="8"/>
  <c r="I11" i="8"/>
  <c r="J11" i="8"/>
  <c r="K11" i="8"/>
  <c r="L11" i="8"/>
  <c r="M11" i="8"/>
  <c r="C12" i="8"/>
  <c r="D12" i="8"/>
  <c r="E12" i="8"/>
  <c r="F12" i="8"/>
  <c r="G12" i="8"/>
  <c r="H12" i="8"/>
  <c r="I12" i="8"/>
  <c r="J12" i="8"/>
  <c r="K12" i="8"/>
  <c r="K9" i="8" s="1"/>
  <c r="K27" i="8" s="1"/>
  <c r="L12" i="8"/>
  <c r="M12" i="8"/>
  <c r="C13" i="8"/>
  <c r="D13" i="8"/>
  <c r="E13" i="8"/>
  <c r="F13" i="8"/>
  <c r="G13" i="8"/>
  <c r="H13" i="8"/>
  <c r="I13" i="8"/>
  <c r="J13" i="8"/>
  <c r="K13" i="8"/>
  <c r="L13" i="8"/>
  <c r="M13" i="8"/>
  <c r="C14" i="8"/>
  <c r="D14" i="8"/>
  <c r="E14" i="8"/>
  <c r="F14" i="8"/>
  <c r="G14" i="8"/>
  <c r="H14" i="8"/>
  <c r="I14" i="8"/>
  <c r="J14" i="8"/>
  <c r="K14" i="8"/>
  <c r="L14" i="8"/>
  <c r="M14" i="8"/>
  <c r="C15" i="8"/>
  <c r="D15" i="8"/>
  <c r="E15" i="8"/>
  <c r="F15" i="8"/>
  <c r="G15" i="8"/>
  <c r="H15" i="8"/>
  <c r="I15" i="8"/>
  <c r="J15" i="8"/>
  <c r="K15" i="8"/>
  <c r="L15" i="8"/>
  <c r="M15" i="8"/>
  <c r="C16" i="8"/>
  <c r="D16" i="8"/>
  <c r="E16" i="8"/>
  <c r="F16" i="8"/>
  <c r="G16" i="8"/>
  <c r="H16" i="8"/>
  <c r="I16" i="8"/>
  <c r="I9" i="8" s="1"/>
  <c r="I27" i="8" s="1"/>
  <c r="J16" i="8"/>
  <c r="K16" i="8"/>
  <c r="L16" i="8"/>
  <c r="M16" i="8"/>
  <c r="C17" i="8"/>
  <c r="D17" i="8"/>
  <c r="E17" i="8"/>
  <c r="F17" i="8"/>
  <c r="G17" i="8"/>
  <c r="H17" i="8"/>
  <c r="I17" i="8"/>
  <c r="J17" i="8"/>
  <c r="K17" i="8"/>
  <c r="L17" i="8"/>
  <c r="M17" i="8"/>
  <c r="L39" i="20"/>
  <c r="W39" i="20" s="1"/>
  <c r="L38" i="20"/>
  <c r="W38" i="20" s="1"/>
  <c r="L40" i="20"/>
  <c r="W40" i="20" s="1"/>
  <c r="L41" i="20"/>
  <c r="W41" i="20" s="1"/>
  <c r="L42" i="20"/>
  <c r="W42" i="20" s="1"/>
  <c r="L36" i="20"/>
  <c r="W36" i="20" s="1"/>
  <c r="L37" i="20"/>
  <c r="U49" i="21"/>
  <c r="C27" i="18" s="1"/>
  <c r="U50" i="21"/>
  <c r="U51" i="21"/>
  <c r="D27" i="18" s="1"/>
  <c r="U52" i="21"/>
  <c r="U53" i="21"/>
  <c r="E27" i="18"/>
  <c r="U54" i="21"/>
  <c r="F27" i="18"/>
  <c r="U55" i="21"/>
  <c r="G27" i="18"/>
  <c r="R49" i="21"/>
  <c r="C23" i="18"/>
  <c r="R50" i="21"/>
  <c r="R52" i="21"/>
  <c r="D23" i="18" s="1"/>
  <c r="R51" i="21"/>
  <c r="R55" i="21"/>
  <c r="G23" i="18"/>
  <c r="R53" i="21"/>
  <c r="E23" i="18"/>
  <c r="R54" i="21"/>
  <c r="F23" i="18"/>
  <c r="N49" i="21"/>
  <c r="N50" i="21"/>
  <c r="N51" i="21"/>
  <c r="D21" i="18"/>
  <c r="N52" i="21"/>
  <c r="N53" i="21"/>
  <c r="E21" i="18" s="1"/>
  <c r="N54" i="21"/>
  <c r="F21" i="18" s="1"/>
  <c r="N55" i="21"/>
  <c r="G21" i="18" s="1"/>
  <c r="M49" i="21"/>
  <c r="C19" i="18" s="1"/>
  <c r="M50" i="21"/>
  <c r="M52" i="21"/>
  <c r="M51" i="21"/>
  <c r="D19" i="18" s="1"/>
  <c r="M53" i="21"/>
  <c r="E19" i="18" s="1"/>
  <c r="M54" i="21"/>
  <c r="F19" i="18" s="1"/>
  <c r="M55" i="21"/>
  <c r="G19" i="18" s="1"/>
  <c r="K49" i="21"/>
  <c r="C17" i="18" s="1"/>
  <c r="K50" i="21"/>
  <c r="K51" i="21"/>
  <c r="K52" i="21"/>
  <c r="D17" i="18" s="1"/>
  <c r="K53" i="21"/>
  <c r="E17" i="18" s="1"/>
  <c r="K54" i="21"/>
  <c r="F17" i="18" s="1"/>
  <c r="K55" i="21"/>
  <c r="G17" i="18" s="1"/>
  <c r="G49" i="21"/>
  <c r="C15" i="18" s="1"/>
  <c r="H15" i="18" s="1"/>
  <c r="G50" i="21"/>
  <c r="G51" i="21"/>
  <c r="D15" i="18" s="1"/>
  <c r="G52" i="21"/>
  <c r="G53" i="21"/>
  <c r="E15" i="18"/>
  <c r="G54" i="21"/>
  <c r="F15" i="18"/>
  <c r="G55" i="21"/>
  <c r="G15" i="18"/>
  <c r="C49" i="21"/>
  <c r="C50" i="21"/>
  <c r="C51" i="21"/>
  <c r="C52" i="21"/>
  <c r="D13" i="18" s="1"/>
  <c r="C53" i="21"/>
  <c r="E13" i="18" s="1"/>
  <c r="C54" i="21"/>
  <c r="F13" i="18" s="1"/>
  <c r="C55" i="21"/>
  <c r="G13" i="18" s="1"/>
  <c r="D49" i="21"/>
  <c r="C11" i="18" s="1"/>
  <c r="D50" i="21"/>
  <c r="D51" i="21"/>
  <c r="D11" i="18"/>
  <c r="D52" i="21"/>
  <c r="D53" i="21"/>
  <c r="E11" i="18" s="1"/>
  <c r="D54" i="21"/>
  <c r="F11" i="18" s="1"/>
  <c r="D55" i="21"/>
  <c r="G11" i="18" s="1"/>
  <c r="O36" i="21"/>
  <c r="C27" i="38" s="1"/>
  <c r="O37" i="21"/>
  <c r="O38" i="21"/>
  <c r="O39" i="21"/>
  <c r="O40" i="21"/>
  <c r="E27" i="38"/>
  <c r="O41" i="21"/>
  <c r="F27" i="38"/>
  <c r="O42" i="21"/>
  <c r="G27" i="38"/>
  <c r="S36" i="21"/>
  <c r="S37" i="21"/>
  <c r="C35" i="38" s="1"/>
  <c r="S38" i="21"/>
  <c r="D35" i="38" s="1"/>
  <c r="S39" i="21"/>
  <c r="S40" i="21"/>
  <c r="E35" i="38"/>
  <c r="S41" i="21"/>
  <c r="F35" i="38"/>
  <c r="S42" i="21"/>
  <c r="G35" i="38"/>
  <c r="R36" i="21"/>
  <c r="R37" i="21"/>
  <c r="C33" i="38" s="1"/>
  <c r="R38" i="21"/>
  <c r="R39" i="21"/>
  <c r="D33" i="38"/>
  <c r="E33" i="38"/>
  <c r="R41" i="21"/>
  <c r="F33" i="38" s="1"/>
  <c r="R42" i="21"/>
  <c r="G33" i="38" s="1"/>
  <c r="Q36" i="21"/>
  <c r="C31" i="38" s="1"/>
  <c r="Q37" i="21"/>
  <c r="Q38" i="21"/>
  <c r="D31" i="38"/>
  <c r="Q39" i="21"/>
  <c r="Q40" i="21"/>
  <c r="E31" i="38" s="1"/>
  <c r="Q41" i="21"/>
  <c r="F31" i="38" s="1"/>
  <c r="Q42" i="21"/>
  <c r="G31" i="38" s="1"/>
  <c r="P36" i="21"/>
  <c r="P37" i="21"/>
  <c r="C29" i="38"/>
  <c r="P38" i="21"/>
  <c r="D29" i="38" s="1"/>
  <c r="P39" i="21"/>
  <c r="P40" i="21"/>
  <c r="E29" i="38" s="1"/>
  <c r="P41" i="21"/>
  <c r="F29" i="38" s="1"/>
  <c r="P42" i="21"/>
  <c r="G29" i="38" s="1"/>
  <c r="M36" i="21"/>
  <c r="M37" i="21"/>
  <c r="C25" i="38"/>
  <c r="H25" i="38" s="1"/>
  <c r="M38" i="21"/>
  <c r="M39" i="21"/>
  <c r="D25" i="38"/>
  <c r="M40" i="21"/>
  <c r="E25" i="38"/>
  <c r="M41" i="21"/>
  <c r="F25" i="38"/>
  <c r="M42" i="21"/>
  <c r="G25" i="38"/>
  <c r="L36" i="21"/>
  <c r="L37" i="21"/>
  <c r="L38" i="21"/>
  <c r="L39" i="21"/>
  <c r="L40" i="21"/>
  <c r="E23" i="38"/>
  <c r="L41" i="21"/>
  <c r="F23" i="38"/>
  <c r="L42" i="21"/>
  <c r="G23" i="38"/>
  <c r="K36" i="21"/>
  <c r="C21" i="38" s="1"/>
  <c r="K37" i="21"/>
  <c r="K38" i="21"/>
  <c r="D21" i="38" s="1"/>
  <c r="K39" i="21"/>
  <c r="K40" i="21"/>
  <c r="E21" i="38"/>
  <c r="K41" i="21"/>
  <c r="F21" i="38"/>
  <c r="K42" i="21"/>
  <c r="G21" i="38"/>
  <c r="J36" i="21"/>
  <c r="C19" i="38" s="1"/>
  <c r="J37" i="21"/>
  <c r="J38" i="21"/>
  <c r="D19" i="38" s="1"/>
  <c r="J39" i="21"/>
  <c r="J40" i="21"/>
  <c r="E19" i="38"/>
  <c r="J41" i="21"/>
  <c r="F19" i="38"/>
  <c r="J42" i="21"/>
  <c r="G19" i="38"/>
  <c r="G36" i="21"/>
  <c r="C17" i="38" s="1"/>
  <c r="G37" i="21"/>
  <c r="G39" i="21"/>
  <c r="G38" i="21"/>
  <c r="D17" i="38" s="1"/>
  <c r="G40" i="21"/>
  <c r="E17" i="38" s="1"/>
  <c r="G41" i="21"/>
  <c r="F17" i="38" s="1"/>
  <c r="H17" i="38" s="1"/>
  <c r="G42" i="21"/>
  <c r="G17" i="38" s="1"/>
  <c r="E36" i="21"/>
  <c r="C15" i="38" s="1"/>
  <c r="H15" i="38" s="1"/>
  <c r="E37" i="21"/>
  <c r="E38" i="21"/>
  <c r="E39" i="21"/>
  <c r="D15" i="38"/>
  <c r="E40" i="21"/>
  <c r="E15" i="38"/>
  <c r="E41" i="21"/>
  <c r="F15" i="38"/>
  <c r="E42" i="21"/>
  <c r="G15" i="38"/>
  <c r="C36" i="21"/>
  <c r="C13" i="38"/>
  <c r="C37" i="21"/>
  <c r="C38" i="21"/>
  <c r="C39" i="21"/>
  <c r="C40" i="21"/>
  <c r="E13" i="38" s="1"/>
  <c r="C41" i="21"/>
  <c r="F13" i="38" s="1"/>
  <c r="C42" i="21"/>
  <c r="G13" i="38" s="1"/>
  <c r="D36" i="21"/>
  <c r="D37" i="21"/>
  <c r="C11" i="38"/>
  <c r="D38" i="21"/>
  <c r="D11" i="38" s="1"/>
  <c r="D39" i="21"/>
  <c r="D40" i="21"/>
  <c r="E11" i="38" s="1"/>
  <c r="D41" i="21"/>
  <c r="F11" i="38" s="1"/>
  <c r="D42" i="21"/>
  <c r="G11" i="38" s="1"/>
  <c r="U29" i="21"/>
  <c r="C29" i="17" s="1"/>
  <c r="U30" i="21"/>
  <c r="D29" i="17" s="1"/>
  <c r="U31" i="21"/>
  <c r="E29" i="17"/>
  <c r="R29" i="21"/>
  <c r="C27" i="17"/>
  <c r="F27" i="17" s="1"/>
  <c r="R30" i="21"/>
  <c r="D27" i="17"/>
  <c r="R31" i="21"/>
  <c r="E27" i="17" s="1"/>
  <c r="P29" i="21"/>
  <c r="C25" i="17" s="1"/>
  <c r="P30" i="21"/>
  <c r="D25" i="17" s="1"/>
  <c r="P31" i="21"/>
  <c r="E25" i="17" s="1"/>
  <c r="M29" i="21"/>
  <c r="C23" i="17" s="1"/>
  <c r="M30" i="21"/>
  <c r="D23" i="17"/>
  <c r="M31" i="21"/>
  <c r="E23" i="17"/>
  <c r="F23" i="17" s="1"/>
  <c r="L29" i="21"/>
  <c r="C21" i="17"/>
  <c r="L30" i="21"/>
  <c r="D21" i="17"/>
  <c r="L31" i="21"/>
  <c r="E21" i="17"/>
  <c r="G29" i="21"/>
  <c r="C19" i="17"/>
  <c r="G30" i="21"/>
  <c r="D19" i="17" s="1"/>
  <c r="G31" i="21"/>
  <c r="E19" i="17"/>
  <c r="J29" i="21"/>
  <c r="C17" i="17" s="1"/>
  <c r="J30" i="21"/>
  <c r="D17" i="17" s="1"/>
  <c r="F17" i="17" s="1"/>
  <c r="J31" i="21"/>
  <c r="E17" i="17" s="1"/>
  <c r="F29" i="21"/>
  <c r="C15" i="17" s="1"/>
  <c r="F15" i="17" s="1"/>
  <c r="F30" i="21"/>
  <c r="D15" i="17"/>
  <c r="F31" i="21"/>
  <c r="E15" i="17" s="1"/>
  <c r="C29" i="21"/>
  <c r="C13" i="17"/>
  <c r="F13" i="17" s="1"/>
  <c r="C30" i="21"/>
  <c r="D13" i="17" s="1"/>
  <c r="C31" i="21"/>
  <c r="E13" i="17"/>
  <c r="D29" i="21"/>
  <c r="C11" i="17" s="1"/>
  <c r="D30" i="21"/>
  <c r="D11" i="17"/>
  <c r="F11" i="17"/>
  <c r="D31" i="21"/>
  <c r="E11" i="17"/>
  <c r="R21" i="21"/>
  <c r="J33" i="16"/>
  <c r="D24" i="21"/>
  <c r="M9" i="16"/>
  <c r="U24" i="21"/>
  <c r="M37" i="16"/>
  <c r="U23" i="21"/>
  <c r="L37" i="16"/>
  <c r="U22" i="21"/>
  <c r="K37" i="16" s="1"/>
  <c r="U21" i="21"/>
  <c r="J37" i="16" s="1"/>
  <c r="U20" i="21"/>
  <c r="I37" i="16" s="1"/>
  <c r="U19" i="21"/>
  <c r="H37" i="16" s="1"/>
  <c r="U18" i="21"/>
  <c r="G37" i="16" s="1"/>
  <c r="U17" i="21"/>
  <c r="F37" i="16"/>
  <c r="U16" i="21"/>
  <c r="E37" i="16" s="1"/>
  <c r="U15" i="21"/>
  <c r="D37" i="16"/>
  <c r="S24" i="21"/>
  <c r="M35" i="16" s="1"/>
  <c r="S23" i="21"/>
  <c r="L35" i="16"/>
  <c r="S22" i="21"/>
  <c r="K35" i="16" s="1"/>
  <c r="S21" i="21"/>
  <c r="J35" i="16" s="1"/>
  <c r="N35" i="16" s="1"/>
  <c r="S20" i="21"/>
  <c r="I35" i="16" s="1"/>
  <c r="S19" i="21"/>
  <c r="H35" i="16"/>
  <c r="S18" i="21"/>
  <c r="G35" i="16" s="1"/>
  <c r="S17" i="21"/>
  <c r="F35" i="16"/>
  <c r="S16" i="21"/>
  <c r="E35" i="16" s="1"/>
  <c r="S15" i="21"/>
  <c r="D35" i="16"/>
  <c r="R24" i="21"/>
  <c r="M33" i="16" s="1"/>
  <c r="R23" i="21"/>
  <c r="L33" i="16" s="1"/>
  <c r="R22" i="21"/>
  <c r="K33" i="16" s="1"/>
  <c r="R20" i="21"/>
  <c r="I33" i="16"/>
  <c r="R19" i="21"/>
  <c r="H33" i="16" s="1"/>
  <c r="R18" i="21"/>
  <c r="G33" i="16"/>
  <c r="R17" i="21"/>
  <c r="F33" i="16" s="1"/>
  <c r="R16" i="21"/>
  <c r="E33" i="16"/>
  <c r="R15" i="21"/>
  <c r="D33" i="16" s="1"/>
  <c r="Q24" i="21"/>
  <c r="M31" i="16" s="1"/>
  <c r="Q23" i="21"/>
  <c r="L31" i="16" s="1"/>
  <c r="Q22" i="21"/>
  <c r="K31" i="16"/>
  <c r="Q21" i="21"/>
  <c r="J31" i="16" s="1"/>
  <c r="Q20" i="21"/>
  <c r="I31" i="16"/>
  <c r="Q19" i="21"/>
  <c r="H31" i="16" s="1"/>
  <c r="Q18" i="21"/>
  <c r="G31" i="16"/>
  <c r="Q17" i="21"/>
  <c r="F31" i="16" s="1"/>
  <c r="Q16" i="21"/>
  <c r="E31" i="16" s="1"/>
  <c r="N31" i="16" s="1"/>
  <c r="Q15" i="21"/>
  <c r="D31" i="16" s="1"/>
  <c r="P24" i="21"/>
  <c r="M29" i="16"/>
  <c r="P23" i="21"/>
  <c r="L29" i="16" s="1"/>
  <c r="P22" i="21"/>
  <c r="K29" i="16"/>
  <c r="P21" i="21"/>
  <c r="J29" i="16" s="1"/>
  <c r="P20" i="21"/>
  <c r="I29" i="16"/>
  <c r="P19" i="21"/>
  <c r="H29" i="16" s="1"/>
  <c r="P18" i="21"/>
  <c r="G29" i="16" s="1"/>
  <c r="P17" i="21"/>
  <c r="F29" i="16" s="1"/>
  <c r="P16" i="21"/>
  <c r="E29" i="16"/>
  <c r="P15" i="21"/>
  <c r="D29" i="16" s="1"/>
  <c r="O24" i="21"/>
  <c r="M27" i="16"/>
  <c r="O23" i="21"/>
  <c r="L27" i="16" s="1"/>
  <c r="O22" i="21"/>
  <c r="K27" i="16" s="1"/>
  <c r="O21" i="21"/>
  <c r="J27" i="16" s="1"/>
  <c r="O20" i="21"/>
  <c r="I27" i="16" s="1"/>
  <c r="O19" i="21"/>
  <c r="H27" i="16" s="1"/>
  <c r="O18" i="21"/>
  <c r="G27" i="16"/>
  <c r="O17" i="21"/>
  <c r="F27" i="16" s="1"/>
  <c r="O16" i="21"/>
  <c r="E27" i="16"/>
  <c r="O15" i="21"/>
  <c r="D27" i="16" s="1"/>
  <c r="N24" i="21"/>
  <c r="M25" i="16"/>
  <c r="N23" i="21"/>
  <c r="L25" i="16" s="1"/>
  <c r="N22" i="21"/>
  <c r="K25" i="16" s="1"/>
  <c r="N21" i="21"/>
  <c r="J25" i="16" s="1"/>
  <c r="N20" i="21"/>
  <c r="I25" i="16"/>
  <c r="N19" i="21"/>
  <c r="H25" i="16" s="1"/>
  <c r="N18" i="21"/>
  <c r="G25" i="16"/>
  <c r="N17" i="21"/>
  <c r="F25" i="16" s="1"/>
  <c r="N16" i="21"/>
  <c r="E25" i="16" s="1"/>
  <c r="N15" i="21"/>
  <c r="D25" i="16" s="1"/>
  <c r="M24" i="21"/>
  <c r="M23" i="16" s="1"/>
  <c r="M23" i="21"/>
  <c r="L23" i="16" s="1"/>
  <c r="M22" i="21"/>
  <c r="K23" i="16"/>
  <c r="M21" i="21"/>
  <c r="J23" i="16" s="1"/>
  <c r="M20" i="21"/>
  <c r="I23" i="16"/>
  <c r="M19" i="21"/>
  <c r="H23" i="16" s="1"/>
  <c r="M18" i="21"/>
  <c r="G23" i="16" s="1"/>
  <c r="M17" i="21"/>
  <c r="F23" i="16" s="1"/>
  <c r="M16" i="21"/>
  <c r="E23" i="16" s="1"/>
  <c r="M15" i="21"/>
  <c r="D23" i="16"/>
  <c r="M21" i="16"/>
  <c r="K21" i="16"/>
  <c r="I21" i="16"/>
  <c r="J21" i="16"/>
  <c r="H21" i="16"/>
  <c r="G21" i="16"/>
  <c r="F21" i="16"/>
  <c r="E21" i="16"/>
  <c r="D21" i="16"/>
  <c r="K24" i="21"/>
  <c r="M19" i="16" s="1"/>
  <c r="K23" i="21"/>
  <c r="L19" i="16"/>
  <c r="K22" i="21"/>
  <c r="K19" i="16" s="1"/>
  <c r="K21" i="21"/>
  <c r="J19" i="16"/>
  <c r="K20" i="21"/>
  <c r="I19" i="16" s="1"/>
  <c r="K19" i="21"/>
  <c r="H19" i="16"/>
  <c r="K18" i="21"/>
  <c r="G19" i="16" s="1"/>
  <c r="K17" i="21"/>
  <c r="F19" i="16" s="1"/>
  <c r="K16" i="21"/>
  <c r="E19" i="16" s="1"/>
  <c r="K15" i="21"/>
  <c r="D19" i="16"/>
  <c r="J24" i="21"/>
  <c r="M17" i="16" s="1"/>
  <c r="J23" i="21"/>
  <c r="L17" i="16"/>
  <c r="J22" i="21"/>
  <c r="K17" i="16" s="1"/>
  <c r="J21" i="21"/>
  <c r="J17" i="16"/>
  <c r="J20" i="21"/>
  <c r="I17" i="16" s="1"/>
  <c r="J19" i="21"/>
  <c r="H17" i="16" s="1"/>
  <c r="J18" i="21"/>
  <c r="G17" i="16" s="1"/>
  <c r="J17" i="21"/>
  <c r="F17" i="16"/>
  <c r="J16" i="21"/>
  <c r="E17" i="16" s="1"/>
  <c r="J15" i="21"/>
  <c r="D17" i="16"/>
  <c r="G24" i="21"/>
  <c r="M15" i="16" s="1"/>
  <c r="G23" i="21"/>
  <c r="L15" i="16"/>
  <c r="G22" i="21"/>
  <c r="K15" i="16" s="1"/>
  <c r="G21" i="21"/>
  <c r="J15" i="16" s="1"/>
  <c r="G20" i="21"/>
  <c r="I15" i="16"/>
  <c r="G19" i="21"/>
  <c r="H15" i="16" s="1"/>
  <c r="G18" i="21"/>
  <c r="G15" i="16"/>
  <c r="G17" i="21"/>
  <c r="F15" i="16" s="1"/>
  <c r="G16" i="21"/>
  <c r="E15" i="16"/>
  <c r="G15" i="21"/>
  <c r="D15" i="16" s="1"/>
  <c r="D23" i="21"/>
  <c r="L9" i="16"/>
  <c r="D22" i="21"/>
  <c r="K9" i="16" s="1"/>
  <c r="D21" i="21"/>
  <c r="J9" i="16"/>
  <c r="D20" i="21"/>
  <c r="I9" i="16" s="1"/>
  <c r="D19" i="21"/>
  <c r="H9" i="16"/>
  <c r="D18" i="21"/>
  <c r="G9" i="16" s="1"/>
  <c r="D17" i="21"/>
  <c r="F9" i="16"/>
  <c r="F24" i="21"/>
  <c r="M13" i="16" s="1"/>
  <c r="F23" i="21"/>
  <c r="L13" i="16"/>
  <c r="F22" i="21"/>
  <c r="K13" i="16" s="1"/>
  <c r="F21" i="21"/>
  <c r="J13" i="16"/>
  <c r="F20" i="21"/>
  <c r="I13" i="16" s="1"/>
  <c r="F19" i="21"/>
  <c r="H13" i="16"/>
  <c r="F18" i="21"/>
  <c r="G13" i="16" s="1"/>
  <c r="F17" i="21"/>
  <c r="F13" i="16"/>
  <c r="F16" i="21"/>
  <c r="E13" i="16" s="1"/>
  <c r="F15" i="21"/>
  <c r="D13" i="16"/>
  <c r="C24" i="21"/>
  <c r="M11" i="16" s="1"/>
  <c r="C23" i="21"/>
  <c r="L11" i="16"/>
  <c r="C22" i="21"/>
  <c r="K11" i="16" s="1"/>
  <c r="C21" i="21"/>
  <c r="J11" i="16"/>
  <c r="C20" i="21"/>
  <c r="I11" i="16" s="1"/>
  <c r="C19" i="21"/>
  <c r="H11" i="16"/>
  <c r="C18" i="21"/>
  <c r="G11" i="16" s="1"/>
  <c r="C17" i="21"/>
  <c r="F11" i="16"/>
  <c r="C16" i="21"/>
  <c r="E11" i="16" s="1"/>
  <c r="N11" i="16" s="1"/>
  <c r="C15" i="21"/>
  <c r="D11" i="16"/>
  <c r="U14" i="21"/>
  <c r="C37" i="16" s="1"/>
  <c r="N37" i="16" s="1"/>
  <c r="S14" i="21"/>
  <c r="C35" i="16"/>
  <c r="R14" i="21"/>
  <c r="C33" i="16" s="1"/>
  <c r="Q14" i="21"/>
  <c r="C31" i="16"/>
  <c r="P14" i="21"/>
  <c r="C29" i="16" s="1"/>
  <c r="O14" i="21"/>
  <c r="C27" i="16"/>
  <c r="N14" i="21"/>
  <c r="C25" i="16" s="1"/>
  <c r="N25" i="16" s="1"/>
  <c r="M14" i="21"/>
  <c r="C23" i="16"/>
  <c r="N23" i="16" s="1"/>
  <c r="K14" i="21"/>
  <c r="C19" i="16" s="1"/>
  <c r="N19" i="16" s="1"/>
  <c r="J14" i="21"/>
  <c r="C17" i="16"/>
  <c r="G14" i="21"/>
  <c r="C15" i="16" s="1"/>
  <c r="N15" i="16" s="1"/>
  <c r="F14" i="21"/>
  <c r="C13" i="16" s="1"/>
  <c r="N13" i="16" s="1"/>
  <c r="C14" i="21"/>
  <c r="C11" i="16"/>
  <c r="D16" i="21"/>
  <c r="E9" i="16" s="1"/>
  <c r="D15" i="21"/>
  <c r="D9" i="16"/>
  <c r="D14" i="21"/>
  <c r="C9" i="16"/>
  <c r="G10" i="21"/>
  <c r="F21" i="15" s="1"/>
  <c r="M7" i="21"/>
  <c r="C27" i="15"/>
  <c r="M8" i="21"/>
  <c r="D27" i="15" s="1"/>
  <c r="M9" i="21"/>
  <c r="E27" i="15"/>
  <c r="M10" i="21"/>
  <c r="F27" i="15" s="1"/>
  <c r="R7" i="21"/>
  <c r="C25" i="15"/>
  <c r="R8" i="21"/>
  <c r="D25" i="15" s="1"/>
  <c r="G25" i="15" s="1"/>
  <c r="R9" i="21"/>
  <c r="E25" i="15"/>
  <c r="R10" i="21"/>
  <c r="F25" i="15" s="1"/>
  <c r="L7" i="21"/>
  <c r="C23" i="15"/>
  <c r="L8" i="21"/>
  <c r="D23" i="15" s="1"/>
  <c r="G23" i="15" s="1"/>
  <c r="L9" i="21"/>
  <c r="E23" i="15"/>
  <c r="L10" i="21"/>
  <c r="F23" i="15" s="1"/>
  <c r="G7" i="21"/>
  <c r="C21" i="15"/>
  <c r="G8" i="21"/>
  <c r="D21" i="15" s="1"/>
  <c r="G9" i="21"/>
  <c r="E21" i="15"/>
  <c r="F7" i="21"/>
  <c r="C19" i="15"/>
  <c r="F8" i="21"/>
  <c r="D19" i="15"/>
  <c r="F9" i="21"/>
  <c r="E19" i="15" s="1"/>
  <c r="G19" i="15" s="1"/>
  <c r="F10" i="21"/>
  <c r="F19" i="15"/>
  <c r="I7" i="21"/>
  <c r="C17" i="15"/>
  <c r="I8" i="21"/>
  <c r="D17" i="15"/>
  <c r="I9" i="21"/>
  <c r="E17" i="15" s="1"/>
  <c r="I10" i="21"/>
  <c r="F17" i="15" s="1"/>
  <c r="H7" i="21"/>
  <c r="C15" i="15"/>
  <c r="H8" i="21"/>
  <c r="D15" i="15" s="1"/>
  <c r="H9" i="21"/>
  <c r="E15" i="15"/>
  <c r="H10" i="21"/>
  <c r="F15" i="15" s="1"/>
  <c r="E7" i="21"/>
  <c r="C13" i="15"/>
  <c r="E8" i="21"/>
  <c r="D13" i="15" s="1"/>
  <c r="E9" i="21"/>
  <c r="E13" i="15"/>
  <c r="E10" i="21"/>
  <c r="F13" i="15" s="1"/>
  <c r="C7" i="21"/>
  <c r="C11" i="15"/>
  <c r="C8" i="21"/>
  <c r="D11" i="15" s="1"/>
  <c r="G11" i="15" s="1"/>
  <c r="C9" i="21"/>
  <c r="E11" i="15"/>
  <c r="C10" i="21"/>
  <c r="F11" i="15" s="1"/>
  <c r="D7" i="21"/>
  <c r="C9" i="15"/>
  <c r="D8" i="21"/>
  <c r="D9" i="15" s="1"/>
  <c r="D9" i="21"/>
  <c r="E9" i="15"/>
  <c r="D10" i="21"/>
  <c r="F9" i="15" s="1"/>
  <c r="H43" i="14"/>
  <c r="S44" i="21"/>
  <c r="F41" i="14"/>
  <c r="S33" i="21"/>
  <c r="E41" i="14" s="1"/>
  <c r="S26" i="21"/>
  <c r="D41" i="14"/>
  <c r="S12" i="21"/>
  <c r="C41" i="14" s="1"/>
  <c r="R44" i="21"/>
  <c r="F39" i="14" s="1"/>
  <c r="R33" i="21"/>
  <c r="E39" i="14"/>
  <c r="R26" i="21"/>
  <c r="D39" i="14" s="1"/>
  <c r="R12" i="21"/>
  <c r="C39" i="14" s="1"/>
  <c r="G39" i="14" s="1"/>
  <c r="H37" i="14"/>
  <c r="Q44" i="21"/>
  <c r="F37" i="14"/>
  <c r="Q33" i="21"/>
  <c r="E37" i="14"/>
  <c r="Q26" i="21"/>
  <c r="D37" i="14"/>
  <c r="Q12" i="21"/>
  <c r="C37" i="14" s="1"/>
  <c r="G37" i="14" s="1"/>
  <c r="I37" i="14" s="1"/>
  <c r="P44" i="21"/>
  <c r="F35" i="14" s="1"/>
  <c r="P33" i="21"/>
  <c r="E35" i="14"/>
  <c r="P12" i="21"/>
  <c r="C35" i="14" s="1"/>
  <c r="O44" i="21"/>
  <c r="F33" i="14"/>
  <c r="O33" i="21"/>
  <c r="E33" i="14" s="1"/>
  <c r="O26" i="21"/>
  <c r="D33" i="14"/>
  <c r="O12" i="21"/>
  <c r="C33" i="14" s="1"/>
  <c r="H31" i="14"/>
  <c r="N44" i="21"/>
  <c r="F31" i="14" s="1"/>
  <c r="N33" i="21"/>
  <c r="E31" i="14"/>
  <c r="N26" i="21"/>
  <c r="D31" i="14" s="1"/>
  <c r="N12" i="21"/>
  <c r="C31" i="14"/>
  <c r="H29" i="14"/>
  <c r="M44" i="21"/>
  <c r="F29" i="14"/>
  <c r="M33" i="21"/>
  <c r="E29" i="14" s="1"/>
  <c r="M26" i="21"/>
  <c r="D29" i="14"/>
  <c r="M12" i="21"/>
  <c r="C29" i="14" s="1"/>
  <c r="L57" i="21"/>
  <c r="H27" i="14"/>
  <c r="L44" i="21"/>
  <c r="F27" i="14" s="1"/>
  <c r="L33" i="21"/>
  <c r="E27" i="14"/>
  <c r="L26" i="21"/>
  <c r="D27" i="14" s="1"/>
  <c r="L12" i="21"/>
  <c r="C27" i="14"/>
  <c r="H25" i="14"/>
  <c r="K44" i="21"/>
  <c r="F25" i="14" s="1"/>
  <c r="K33" i="21"/>
  <c r="E25" i="14"/>
  <c r="K26" i="21"/>
  <c r="D25" i="14" s="1"/>
  <c r="G25" i="14" s="1"/>
  <c r="I25" i="14" s="1"/>
  <c r="K12" i="21"/>
  <c r="C25" i="14"/>
  <c r="J44" i="21"/>
  <c r="F23" i="14" s="1"/>
  <c r="J33" i="21"/>
  <c r="E23" i="14"/>
  <c r="J26" i="21"/>
  <c r="D23" i="14" s="1"/>
  <c r="J12" i="21"/>
  <c r="C23" i="14"/>
  <c r="H21" i="14"/>
  <c r="I44" i="21"/>
  <c r="F21" i="14"/>
  <c r="I33" i="21"/>
  <c r="E21" i="14" s="1"/>
  <c r="I26" i="21"/>
  <c r="D21" i="14"/>
  <c r="I12" i="21"/>
  <c r="C21" i="14" s="1"/>
  <c r="G21" i="14" s="1"/>
  <c r="I21" i="14" s="1"/>
  <c r="H44" i="21"/>
  <c r="F19" i="14"/>
  <c r="H33" i="21"/>
  <c r="E19" i="14" s="1"/>
  <c r="H26" i="21"/>
  <c r="D19" i="14"/>
  <c r="H12" i="21"/>
  <c r="C19" i="14" s="1"/>
  <c r="G33" i="21"/>
  <c r="E17" i="14"/>
  <c r="G26" i="21"/>
  <c r="D17" i="14" s="1"/>
  <c r="G12" i="21"/>
  <c r="C17" i="14"/>
  <c r="H15" i="14"/>
  <c r="F44" i="21"/>
  <c r="F15" i="14"/>
  <c r="F33" i="21"/>
  <c r="E15" i="14" s="1"/>
  <c r="F26" i="21"/>
  <c r="D15" i="14"/>
  <c r="F12" i="21"/>
  <c r="C15" i="14" s="1"/>
  <c r="E44" i="21"/>
  <c r="F13" i="14"/>
  <c r="E33" i="21"/>
  <c r="E13" i="14" s="1"/>
  <c r="E26" i="21"/>
  <c r="D13" i="14"/>
  <c r="E12" i="21"/>
  <c r="C13" i="14" s="1"/>
  <c r="G13" i="14" s="1"/>
  <c r="H11" i="14"/>
  <c r="C44" i="21"/>
  <c r="F11" i="14"/>
  <c r="C33" i="21"/>
  <c r="E11" i="14"/>
  <c r="C26" i="21"/>
  <c r="D11" i="14"/>
  <c r="C12" i="21"/>
  <c r="C11" i="14" s="1"/>
  <c r="G11" i="14" s="1"/>
  <c r="I11" i="14" s="1"/>
  <c r="L47" i="21"/>
  <c r="G27" i="13"/>
  <c r="I27" i="13" s="1"/>
  <c r="H27" i="13"/>
  <c r="I25" i="13"/>
  <c r="I11" i="13"/>
  <c r="C19" i="37"/>
  <c r="D19" i="37"/>
  <c r="H19" i="37" s="1"/>
  <c r="E19" i="37"/>
  <c r="F19" i="37"/>
  <c r="G19" i="37"/>
  <c r="C23" i="37"/>
  <c r="H23" i="37" s="1"/>
  <c r="D23" i="37"/>
  <c r="E23" i="37"/>
  <c r="F23" i="37"/>
  <c r="G23" i="37"/>
  <c r="C22" i="37"/>
  <c r="D22" i="37"/>
  <c r="H22" i="37" s="1"/>
  <c r="E22" i="37"/>
  <c r="F22" i="37"/>
  <c r="G22" i="37"/>
  <c r="C21" i="37"/>
  <c r="D21" i="37"/>
  <c r="E21" i="37"/>
  <c r="F21" i="37"/>
  <c r="G21" i="37"/>
  <c r="C20" i="37"/>
  <c r="D20" i="37"/>
  <c r="E20" i="37"/>
  <c r="H20" i="37" s="1"/>
  <c r="F20" i="37"/>
  <c r="G20" i="37"/>
  <c r="C18" i="37"/>
  <c r="D18" i="37"/>
  <c r="E18" i="37"/>
  <c r="F18" i="37"/>
  <c r="G18" i="37"/>
  <c r="C17" i="37"/>
  <c r="H17" i="37" s="1"/>
  <c r="D17" i="37"/>
  <c r="E17" i="37"/>
  <c r="F17" i="37"/>
  <c r="G17" i="37"/>
  <c r="C16" i="37"/>
  <c r="D16" i="37"/>
  <c r="H16" i="37" s="1"/>
  <c r="E16" i="37"/>
  <c r="F16" i="37"/>
  <c r="G16" i="37"/>
  <c r="C14" i="37"/>
  <c r="H14" i="37" s="1"/>
  <c r="D14" i="37"/>
  <c r="E14" i="37"/>
  <c r="F14" i="37"/>
  <c r="G14" i="37"/>
  <c r="C13" i="37"/>
  <c r="H13" i="37" s="1"/>
  <c r="D13" i="37"/>
  <c r="E13" i="37"/>
  <c r="F13" i="37"/>
  <c r="G13" i="37"/>
  <c r="C12" i="37"/>
  <c r="H12" i="37" s="1"/>
  <c r="D12" i="37"/>
  <c r="E12" i="37"/>
  <c r="F12" i="37"/>
  <c r="G12" i="37"/>
  <c r="C11" i="37"/>
  <c r="D11" i="37"/>
  <c r="E11" i="37"/>
  <c r="F11" i="37"/>
  <c r="G11" i="37"/>
  <c r="C10" i="37"/>
  <c r="D10" i="37"/>
  <c r="E10" i="37"/>
  <c r="H10" i="37" s="1"/>
  <c r="H9" i="37" s="1"/>
  <c r="F10" i="37"/>
  <c r="F9" i="37" s="1"/>
  <c r="F24" i="37" s="1"/>
  <c r="G10" i="37"/>
  <c r="C20" i="9"/>
  <c r="F20" i="9" s="1"/>
  <c r="D20" i="9"/>
  <c r="E20" i="9"/>
  <c r="C19" i="9"/>
  <c r="D48" i="23" s="1"/>
  <c r="D54" i="23" s="1"/>
  <c r="D58" i="23" s="1"/>
  <c r="D59" i="23" s="1"/>
  <c r="D19" i="9"/>
  <c r="F19" i="9" s="1"/>
  <c r="E19" i="9"/>
  <c r="C18" i="9"/>
  <c r="U60" i="31" s="1"/>
  <c r="D18" i="9"/>
  <c r="E18" i="9"/>
  <c r="F18" i="9"/>
  <c r="C17" i="9"/>
  <c r="F17" i="9" s="1"/>
  <c r="D17" i="9"/>
  <c r="E17" i="9"/>
  <c r="E58" i="31"/>
  <c r="C16" i="9"/>
  <c r="D16" i="9"/>
  <c r="M60" i="31"/>
  <c r="E16" i="9"/>
  <c r="F16" i="9"/>
  <c r="C15" i="9"/>
  <c r="F15" i="9" s="1"/>
  <c r="D15" i="9"/>
  <c r="E15" i="9"/>
  <c r="C14" i="9"/>
  <c r="D14" i="9"/>
  <c r="F14" i="9" s="1"/>
  <c r="E14" i="9"/>
  <c r="C13" i="9"/>
  <c r="P48" i="23" s="1"/>
  <c r="D13" i="9"/>
  <c r="F13" i="9" s="1"/>
  <c r="E13" i="9"/>
  <c r="C12" i="9"/>
  <c r="F12" i="9" s="1"/>
  <c r="D12" i="9"/>
  <c r="E12" i="9"/>
  <c r="Q46" i="23"/>
  <c r="C11" i="9"/>
  <c r="D11" i="9"/>
  <c r="E11" i="9"/>
  <c r="F11" i="9" s="1"/>
  <c r="F10" i="9" s="1"/>
  <c r="F21" i="9" s="1"/>
  <c r="R46" i="23"/>
  <c r="F20" i="7"/>
  <c r="G20" i="7" s="1"/>
  <c r="E20" i="7"/>
  <c r="D20" i="7"/>
  <c r="C20" i="7"/>
  <c r="F19" i="7"/>
  <c r="E19" i="7"/>
  <c r="D19" i="7"/>
  <c r="C19" i="7"/>
  <c r="G19" i="7"/>
  <c r="F18" i="7"/>
  <c r="E18" i="7"/>
  <c r="D18" i="7"/>
  <c r="C18" i="7"/>
  <c r="G18" i="7" s="1"/>
  <c r="E14" i="7"/>
  <c r="D14" i="7"/>
  <c r="F14" i="7"/>
  <c r="G14" i="7" s="1"/>
  <c r="F15" i="7"/>
  <c r="E15" i="7"/>
  <c r="D15" i="7"/>
  <c r="C15" i="7"/>
  <c r="C14" i="7"/>
  <c r="C13" i="7"/>
  <c r="D13" i="7"/>
  <c r="E13" i="7"/>
  <c r="F13" i="7"/>
  <c r="G13" i="7"/>
  <c r="C12" i="7"/>
  <c r="G12" i="7" s="1"/>
  <c r="D12" i="7"/>
  <c r="E12" i="7"/>
  <c r="F12" i="7"/>
  <c r="C11" i="7"/>
  <c r="D11" i="7"/>
  <c r="E11" i="7"/>
  <c r="G11" i="7" s="1"/>
  <c r="F11" i="7"/>
  <c r="U44" i="20"/>
  <c r="S55" i="21"/>
  <c r="Q55" i="21"/>
  <c r="P55" i="21"/>
  <c r="O55" i="21"/>
  <c r="S54" i="21"/>
  <c r="Q54" i="21"/>
  <c r="P54" i="21"/>
  <c r="O54" i="21"/>
  <c r="S53" i="21"/>
  <c r="Q53" i="21"/>
  <c r="P53" i="21"/>
  <c r="O53" i="21"/>
  <c r="S52" i="21"/>
  <c r="Q52" i="21"/>
  <c r="P52" i="21"/>
  <c r="O52" i="21"/>
  <c r="S51" i="21"/>
  <c r="Q51" i="21"/>
  <c r="P51" i="21"/>
  <c r="O51" i="21"/>
  <c r="S50" i="21"/>
  <c r="Q50" i="21"/>
  <c r="P50" i="21"/>
  <c r="O50" i="21"/>
  <c r="S49" i="21"/>
  <c r="Q49" i="21"/>
  <c r="P49" i="21"/>
  <c r="O49" i="21"/>
  <c r="U42" i="21"/>
  <c r="T42" i="21"/>
  <c r="N42" i="21"/>
  <c r="U41" i="21"/>
  <c r="T41" i="21"/>
  <c r="N41" i="21"/>
  <c r="U40" i="21"/>
  <c r="T40" i="21"/>
  <c r="N40" i="21"/>
  <c r="U39" i="21"/>
  <c r="T39" i="21"/>
  <c r="N39" i="21"/>
  <c r="U38" i="21"/>
  <c r="T38" i="21"/>
  <c r="N38" i="21"/>
  <c r="U37" i="21"/>
  <c r="T37" i="21"/>
  <c r="N37" i="21"/>
  <c r="U36" i="21"/>
  <c r="T36" i="21"/>
  <c r="N36" i="21"/>
  <c r="T31" i="21"/>
  <c r="S31" i="21"/>
  <c r="Q31" i="21"/>
  <c r="O31" i="21"/>
  <c r="N31" i="21"/>
  <c r="T30" i="21"/>
  <c r="S30" i="21"/>
  <c r="Q30" i="21"/>
  <c r="O30" i="21"/>
  <c r="N30" i="21"/>
  <c r="T29" i="21"/>
  <c r="S29" i="21"/>
  <c r="Q29" i="21"/>
  <c r="O29" i="21"/>
  <c r="N29" i="21"/>
  <c r="U28" i="21"/>
  <c r="T28" i="21"/>
  <c r="S28" i="21"/>
  <c r="R28" i="21"/>
  <c r="Q28" i="21"/>
  <c r="P28" i="21"/>
  <c r="O28" i="21"/>
  <c r="N28" i="21"/>
  <c r="M28" i="21"/>
  <c r="T24" i="21"/>
  <c r="T23" i="21"/>
  <c r="T22" i="21"/>
  <c r="T21" i="21"/>
  <c r="T20" i="21"/>
  <c r="T19" i="21"/>
  <c r="T18" i="21"/>
  <c r="T17" i="21"/>
  <c r="T16" i="21"/>
  <c r="T15" i="21"/>
  <c r="T14" i="21"/>
  <c r="U10" i="21"/>
  <c r="T10" i="21"/>
  <c r="S10" i="21"/>
  <c r="Q10" i="21"/>
  <c r="P10" i="21"/>
  <c r="O10" i="21"/>
  <c r="N10" i="21"/>
  <c r="U9" i="21"/>
  <c r="T9" i="21"/>
  <c r="S9" i="21"/>
  <c r="Q9" i="21"/>
  <c r="P9" i="21"/>
  <c r="O9" i="21"/>
  <c r="N9" i="21"/>
  <c r="U8" i="21"/>
  <c r="T8" i="21"/>
  <c r="S8" i="21"/>
  <c r="Q8" i="21"/>
  <c r="P8" i="21"/>
  <c r="O8" i="21"/>
  <c r="N8" i="21"/>
  <c r="U7" i="21"/>
  <c r="T7" i="21"/>
  <c r="S7" i="21"/>
  <c r="Q7" i="21"/>
  <c r="P7" i="21"/>
  <c r="O7" i="21"/>
  <c r="N7" i="21"/>
  <c r="L55" i="21"/>
  <c r="L54" i="21"/>
  <c r="L53" i="21"/>
  <c r="L52" i="21"/>
  <c r="L51" i="21"/>
  <c r="L50" i="21"/>
  <c r="L49" i="21"/>
  <c r="L28" i="21"/>
  <c r="K60" i="21"/>
  <c r="J55" i="21"/>
  <c r="I55" i="21"/>
  <c r="H55" i="21"/>
  <c r="F55" i="21"/>
  <c r="E55" i="21"/>
  <c r="J54" i="21"/>
  <c r="I54" i="21"/>
  <c r="H54" i="21"/>
  <c r="F54" i="21"/>
  <c r="E54" i="21"/>
  <c r="J53" i="21"/>
  <c r="I53" i="21"/>
  <c r="H53" i="21"/>
  <c r="F53" i="21"/>
  <c r="E53" i="21"/>
  <c r="J52" i="21"/>
  <c r="I52" i="21"/>
  <c r="H52" i="21"/>
  <c r="F52" i="21"/>
  <c r="E52" i="21"/>
  <c r="J51" i="21"/>
  <c r="I51" i="21"/>
  <c r="H51" i="21"/>
  <c r="F51" i="21"/>
  <c r="E51" i="21"/>
  <c r="J50" i="21"/>
  <c r="I50" i="21"/>
  <c r="H50" i="21"/>
  <c r="F50" i="21"/>
  <c r="E50" i="21"/>
  <c r="J49" i="21"/>
  <c r="I49" i="21"/>
  <c r="H49" i="21"/>
  <c r="F49" i="21"/>
  <c r="E49" i="21"/>
  <c r="I42" i="21"/>
  <c r="H42" i="21"/>
  <c r="F42" i="21"/>
  <c r="I41" i="21"/>
  <c r="H41" i="21"/>
  <c r="F41" i="21"/>
  <c r="I40" i="21"/>
  <c r="H40" i="21"/>
  <c r="F40" i="21"/>
  <c r="I39" i="21"/>
  <c r="H39" i="21"/>
  <c r="F39" i="21"/>
  <c r="I38" i="21"/>
  <c r="H38" i="21"/>
  <c r="F38" i="21"/>
  <c r="I37" i="21"/>
  <c r="H37" i="21"/>
  <c r="F37" i="21"/>
  <c r="I36" i="21"/>
  <c r="H36" i="21"/>
  <c r="F36" i="21"/>
  <c r="K31" i="21"/>
  <c r="I31" i="21"/>
  <c r="H31" i="21"/>
  <c r="E31" i="21"/>
  <c r="K30" i="21"/>
  <c r="I30" i="21"/>
  <c r="H30" i="21"/>
  <c r="E30" i="21"/>
  <c r="K29" i="21"/>
  <c r="I29" i="21"/>
  <c r="H29" i="21"/>
  <c r="E29" i="21"/>
  <c r="K28" i="21"/>
  <c r="J28" i="21"/>
  <c r="I28" i="21"/>
  <c r="H28" i="21"/>
  <c r="G28" i="21"/>
  <c r="F28" i="21"/>
  <c r="E28" i="21"/>
  <c r="D28" i="21"/>
  <c r="I24" i="21"/>
  <c r="H24" i="21"/>
  <c r="E24" i="21"/>
  <c r="I23" i="21"/>
  <c r="H23" i="21"/>
  <c r="E23" i="21"/>
  <c r="I22" i="21"/>
  <c r="H22" i="21"/>
  <c r="E22" i="21"/>
  <c r="I21" i="21"/>
  <c r="H21" i="21"/>
  <c r="E21" i="21"/>
  <c r="I20" i="21"/>
  <c r="H20" i="21"/>
  <c r="E20" i="21"/>
  <c r="I19" i="21"/>
  <c r="H19" i="21"/>
  <c r="E19" i="21"/>
  <c r="I18" i="21"/>
  <c r="H18" i="21"/>
  <c r="E18" i="21"/>
  <c r="I17" i="21"/>
  <c r="H17" i="21"/>
  <c r="E17" i="21"/>
  <c r="I16" i="21"/>
  <c r="H16" i="21"/>
  <c r="E16" i="21"/>
  <c r="I15" i="21"/>
  <c r="H15" i="21"/>
  <c r="E15" i="21"/>
  <c r="I14" i="21"/>
  <c r="H14" i="21"/>
  <c r="E14" i="21"/>
  <c r="K10" i="21"/>
  <c r="J10" i="21"/>
  <c r="K9" i="21"/>
  <c r="J9" i="21"/>
  <c r="K8" i="21"/>
  <c r="J8" i="21"/>
  <c r="K7" i="21"/>
  <c r="J7" i="21"/>
  <c r="C28" i="21"/>
  <c r="L49" i="20"/>
  <c r="W49" i="20"/>
  <c r="L50" i="20"/>
  <c r="W50" i="20" s="1"/>
  <c r="L51" i="20"/>
  <c r="W51" i="20"/>
  <c r="L52" i="20"/>
  <c r="W52" i="20" s="1"/>
  <c r="L53" i="20"/>
  <c r="W53" i="20"/>
  <c r="L54" i="20"/>
  <c r="W54" i="20" s="1"/>
  <c r="L55" i="20"/>
  <c r="W55" i="20"/>
  <c r="V50" i="31"/>
  <c r="V60" i="31"/>
  <c r="M48" i="31"/>
  <c r="M51" i="31"/>
  <c r="M54" i="31"/>
  <c r="M56" i="31"/>
  <c r="M58" i="31"/>
  <c r="M50" i="31"/>
  <c r="M22" i="31"/>
  <c r="N30" i="31"/>
  <c r="N34" i="31"/>
  <c r="N36" i="31"/>
  <c r="X36" i="31" s="1"/>
  <c r="N28" i="31"/>
  <c r="N42" i="31"/>
  <c r="N54" i="31"/>
  <c r="N58" i="31"/>
  <c r="O54" i="31"/>
  <c r="O66" i="31"/>
  <c r="O70" i="31" s="1"/>
  <c r="O71" i="31" s="1"/>
  <c r="O58" i="31"/>
  <c r="P54" i="31"/>
  <c r="P56" i="31"/>
  <c r="P58" i="31"/>
  <c r="P60" i="31"/>
  <c r="P50" i="31"/>
  <c r="P66" i="31" s="1"/>
  <c r="P70" i="31" s="1"/>
  <c r="Q30" i="31"/>
  <c r="Q34" i="31" s="1"/>
  <c r="Q36" i="31"/>
  <c r="Q54" i="31"/>
  <c r="Q56" i="31"/>
  <c r="Q58" i="31"/>
  <c r="Q50" i="31"/>
  <c r="R30" i="31"/>
  <c r="R34" i="31" s="1"/>
  <c r="R48" i="31" s="1"/>
  <c r="R36" i="31"/>
  <c r="R28" i="31"/>
  <c r="X28" i="31" s="1"/>
  <c r="R54" i="31"/>
  <c r="R58" i="31"/>
  <c r="R60" i="31"/>
  <c r="R50" i="31"/>
  <c r="S30" i="31"/>
  <c r="S34" i="31" s="1"/>
  <c r="S48" i="31" s="1"/>
  <c r="S71" i="31" s="1"/>
  <c r="S36" i="31"/>
  <c r="S42" i="31"/>
  <c r="S56" i="31"/>
  <c r="S66" i="31"/>
  <c r="S70" i="31"/>
  <c r="U30" i="31"/>
  <c r="U34" i="31" s="1"/>
  <c r="U48" i="31" s="1"/>
  <c r="U36" i="31"/>
  <c r="U50" i="31"/>
  <c r="W8" i="31"/>
  <c r="W26" i="31"/>
  <c r="W68" i="31"/>
  <c r="X68" i="31"/>
  <c r="Y68" i="31" s="1"/>
  <c r="T26" i="31"/>
  <c r="C26" i="31"/>
  <c r="E26" i="31"/>
  <c r="E30" i="31"/>
  <c r="E34" i="31"/>
  <c r="E48" i="31" s="1"/>
  <c r="E36" i="31"/>
  <c r="E40" i="31"/>
  <c r="L40" i="31" s="1"/>
  <c r="E42" i="31"/>
  <c r="E56" i="31"/>
  <c r="E50" i="31"/>
  <c r="F26" i="31"/>
  <c r="I8" i="31"/>
  <c r="I26" i="31"/>
  <c r="I30" i="31"/>
  <c r="I34" i="31"/>
  <c r="I36" i="31"/>
  <c r="I58" i="31"/>
  <c r="I60" i="31"/>
  <c r="D26" i="31"/>
  <c r="D30" i="31"/>
  <c r="D34" i="31"/>
  <c r="D48" i="31" s="1"/>
  <c r="D36" i="31"/>
  <c r="D28" i="31"/>
  <c r="L28" i="31"/>
  <c r="D46" i="31"/>
  <c r="D51" i="31"/>
  <c r="L51" i="31"/>
  <c r="D54" i="31"/>
  <c r="D56" i="31"/>
  <c r="D58" i="31"/>
  <c r="D60" i="31"/>
  <c r="D50" i="31"/>
  <c r="W66" i="31"/>
  <c r="T66" i="31"/>
  <c r="K66" i="31"/>
  <c r="K70" i="31"/>
  <c r="K71" i="31" s="1"/>
  <c r="J66" i="31"/>
  <c r="H66" i="31"/>
  <c r="H70" i="31"/>
  <c r="G66" i="31"/>
  <c r="F66" i="31"/>
  <c r="F70" i="31"/>
  <c r="V38" i="23"/>
  <c r="V48" i="23"/>
  <c r="M14" i="23"/>
  <c r="M42" i="23"/>
  <c r="X42" i="23" s="1"/>
  <c r="Y42" i="23" s="1"/>
  <c r="M44" i="23"/>
  <c r="M46" i="23"/>
  <c r="M48" i="23"/>
  <c r="M38" i="23"/>
  <c r="N22" i="23"/>
  <c r="N24" i="23"/>
  <c r="N20" i="23"/>
  <c r="N30" i="23"/>
  <c r="N42" i="23"/>
  <c r="N46" i="23"/>
  <c r="O42" i="23"/>
  <c r="O46" i="23"/>
  <c r="O54" i="23"/>
  <c r="O58" i="23" s="1"/>
  <c r="O59" i="23" s="1"/>
  <c r="P42" i="23"/>
  <c r="P44" i="23"/>
  <c r="P46" i="23"/>
  <c r="P38" i="23"/>
  <c r="P54" i="23" s="1"/>
  <c r="P58" i="23" s="1"/>
  <c r="P59" i="23" s="1"/>
  <c r="Q22" i="23"/>
  <c r="Q24" i="23"/>
  <c r="Q42" i="23"/>
  <c r="Q44" i="23"/>
  <c r="Q38" i="23"/>
  <c r="R22" i="23"/>
  <c r="R24" i="23"/>
  <c r="R20" i="23"/>
  <c r="R42" i="23"/>
  <c r="R48" i="23"/>
  <c r="R38" i="23"/>
  <c r="S22" i="23"/>
  <c r="S24" i="23"/>
  <c r="S30" i="23"/>
  <c r="S36" i="23"/>
  <c r="S44" i="23"/>
  <c r="S54" i="23" s="1"/>
  <c r="S58" i="23" s="1"/>
  <c r="S59" i="23" s="1"/>
  <c r="U22" i="23"/>
  <c r="U36" i="23" s="1"/>
  <c r="U24" i="23"/>
  <c r="U48" i="23"/>
  <c r="U38" i="23"/>
  <c r="W8" i="23"/>
  <c r="W18" i="23" s="1"/>
  <c r="T18" i="23"/>
  <c r="C18" i="23"/>
  <c r="E18" i="23"/>
  <c r="E22" i="23"/>
  <c r="E24" i="23"/>
  <c r="E28" i="23"/>
  <c r="L28" i="23"/>
  <c r="E30" i="23"/>
  <c r="E44" i="23"/>
  <c r="E46" i="23"/>
  <c r="L46" i="23" s="1"/>
  <c r="E38" i="23"/>
  <c r="F18" i="23"/>
  <c r="I8" i="23"/>
  <c r="I18" i="23"/>
  <c r="I22" i="23"/>
  <c r="I24" i="23"/>
  <c r="L24" i="23" s="1"/>
  <c r="Y24" i="23" s="1"/>
  <c r="I46" i="23"/>
  <c r="I48" i="23"/>
  <c r="D18" i="23"/>
  <c r="D22" i="23"/>
  <c r="L22" i="23" s="1"/>
  <c r="D24" i="23"/>
  <c r="D20" i="23"/>
  <c r="D34" i="23"/>
  <c r="D39" i="23"/>
  <c r="D42" i="23"/>
  <c r="D44" i="23"/>
  <c r="D46" i="23"/>
  <c r="D38" i="23"/>
  <c r="H40" i="23"/>
  <c r="L39" i="23"/>
  <c r="X39" i="23"/>
  <c r="Y39" i="23" s="1"/>
  <c r="L42" i="23"/>
  <c r="G70" i="31"/>
  <c r="J70" i="31"/>
  <c r="T70" i="31"/>
  <c r="X46" i="31"/>
  <c r="Y46" i="31" s="1"/>
  <c r="X32" i="31"/>
  <c r="Y32" i="31"/>
  <c r="X51" i="31"/>
  <c r="L30" i="31"/>
  <c r="L34" i="31" s="1"/>
  <c r="L48" i="31" s="1"/>
  <c r="L46" i="31"/>
  <c r="L42" i="31"/>
  <c r="J58" i="23"/>
  <c r="H58" i="23"/>
  <c r="H59" i="23"/>
  <c r="G58" i="23"/>
  <c r="G40" i="23"/>
  <c r="F58" i="23"/>
  <c r="F16" i="23"/>
  <c r="L16" i="23" s="1"/>
  <c r="C14" i="23"/>
  <c r="E14" i="23"/>
  <c r="L14" i="23" s="1"/>
  <c r="Y14" i="23" s="1"/>
  <c r="D14" i="23"/>
  <c r="C12" i="23"/>
  <c r="L12" i="23" s="1"/>
  <c r="E12" i="23"/>
  <c r="D12" i="23"/>
  <c r="F12" i="23"/>
  <c r="C10" i="23"/>
  <c r="L10" i="23" s="1"/>
  <c r="E10" i="23"/>
  <c r="D10" i="23"/>
  <c r="F10" i="23"/>
  <c r="C8" i="23"/>
  <c r="E8" i="23"/>
  <c r="F8" i="23"/>
  <c r="D8" i="23"/>
  <c r="L8" i="23" s="1"/>
  <c r="L25" i="29"/>
  <c r="K25" i="29"/>
  <c r="G25" i="29"/>
  <c r="F25" i="29"/>
  <c r="F15" i="29"/>
  <c r="B25" i="29"/>
  <c r="C9" i="37"/>
  <c r="C24" i="37" s="1"/>
  <c r="D9" i="10"/>
  <c r="E9" i="10"/>
  <c r="F9" i="10"/>
  <c r="F19" i="10" s="1"/>
  <c r="G9" i="10"/>
  <c r="C9" i="10"/>
  <c r="L33" i="20"/>
  <c r="E24" i="29" s="1"/>
  <c r="L26" i="20"/>
  <c r="L12" i="20"/>
  <c r="L57" i="20"/>
  <c r="M7" i="29"/>
  <c r="M8" i="29"/>
  <c r="M10" i="29"/>
  <c r="N23" i="29"/>
  <c r="O23" i="29" s="1"/>
  <c r="N18" i="29"/>
  <c r="O18" i="29" s="1"/>
  <c r="N17" i="29"/>
  <c r="O17" i="29" s="1"/>
  <c r="M9" i="29"/>
  <c r="N9" i="29"/>
  <c r="O9" i="29"/>
  <c r="D27" i="29"/>
  <c r="E6" i="29"/>
  <c r="E7" i="29"/>
  <c r="E11" i="29"/>
  <c r="E8" i="29"/>
  <c r="E10" i="29"/>
  <c r="E26" i="29"/>
  <c r="N26" i="29"/>
  <c r="D6" i="29"/>
  <c r="D7" i="29"/>
  <c r="D8" i="29"/>
  <c r="D10" i="29"/>
  <c r="B6" i="29"/>
  <c r="C6" i="29"/>
  <c r="F6" i="29"/>
  <c r="F11" i="29" s="1"/>
  <c r="G6" i="29"/>
  <c r="K6" i="29"/>
  <c r="K11" i="29" s="1"/>
  <c r="L6" i="29"/>
  <c r="L11" i="29"/>
  <c r="M6" i="29"/>
  <c r="B7" i="29"/>
  <c r="C7" i="29"/>
  <c r="C11" i="29" s="1"/>
  <c r="F7" i="29"/>
  <c r="G7" i="29"/>
  <c r="G11" i="29" s="1"/>
  <c r="K7" i="29"/>
  <c r="L7" i="29"/>
  <c r="B8" i="29"/>
  <c r="N8" i="29" s="1"/>
  <c r="O8" i="29" s="1"/>
  <c r="C8" i="29"/>
  <c r="F8" i="29"/>
  <c r="G8" i="29"/>
  <c r="K8" i="29"/>
  <c r="L8" i="29"/>
  <c r="B10" i="29"/>
  <c r="N10" i="29" s="1"/>
  <c r="O10" i="29" s="1"/>
  <c r="C10" i="29"/>
  <c r="F10" i="29"/>
  <c r="G10" i="29"/>
  <c r="K10" i="29"/>
  <c r="L10" i="29"/>
  <c r="B11" i="29"/>
  <c r="M11" i="29"/>
  <c r="E13" i="29"/>
  <c r="E14" i="29"/>
  <c r="E15" i="29"/>
  <c r="E16" i="29"/>
  <c r="E22" i="29"/>
  <c r="E20" i="29"/>
  <c r="E21" i="29"/>
  <c r="N21" i="29" s="1"/>
  <c r="O21" i="29" s="1"/>
  <c r="E12" i="29"/>
  <c r="C13" i="29"/>
  <c r="F13" i="29"/>
  <c r="G13" i="29"/>
  <c r="K13" i="29"/>
  <c r="K19" i="29"/>
  <c r="M13" i="29"/>
  <c r="B13" i="29"/>
  <c r="C14" i="29"/>
  <c r="G14" i="29"/>
  <c r="M14" i="29"/>
  <c r="B14" i="29"/>
  <c r="N14" i="29" s="1"/>
  <c r="O14" i="29" s="1"/>
  <c r="C15" i="29"/>
  <c r="G15" i="29"/>
  <c r="M15" i="29"/>
  <c r="B15" i="29"/>
  <c r="C16" i="29"/>
  <c r="N16" i="29"/>
  <c r="O16" i="29" s="1"/>
  <c r="F16" i="29"/>
  <c r="M16" i="29"/>
  <c r="C22" i="29"/>
  <c r="C20" i="29" s="1"/>
  <c r="C27" i="29" s="1"/>
  <c r="C28" i="29" s="1"/>
  <c r="F22" i="29"/>
  <c r="G22" i="29"/>
  <c r="G20" i="29" s="1"/>
  <c r="G27" i="29" s="1"/>
  <c r="K22" i="29"/>
  <c r="K20" i="29" s="1"/>
  <c r="K27" i="29" s="1"/>
  <c r="K28" i="29" s="1"/>
  <c r="L22" i="29"/>
  <c r="L20" i="29" s="1"/>
  <c r="L27" i="29" s="1"/>
  <c r="L28" i="29" s="1"/>
  <c r="M22" i="29"/>
  <c r="C21" i="29"/>
  <c r="F21" i="29"/>
  <c r="G21" i="29"/>
  <c r="K21" i="29"/>
  <c r="L21" i="29"/>
  <c r="M21" i="29"/>
  <c r="M27" i="29"/>
  <c r="B21" i="29"/>
  <c r="B22" i="29"/>
  <c r="C24" i="29"/>
  <c r="F24" i="29"/>
  <c r="G24" i="29"/>
  <c r="K24" i="29"/>
  <c r="L24" i="29"/>
  <c r="M24" i="29"/>
  <c r="B24" i="29"/>
  <c r="B20" i="29"/>
  <c r="B27" i="29" s="1"/>
  <c r="F20" i="29"/>
  <c r="F27" i="29" s="1"/>
  <c r="M20" i="29"/>
  <c r="B12" i="29"/>
  <c r="B19" i="29" s="1"/>
  <c r="C12" i="29"/>
  <c r="C19" i="29"/>
  <c r="F12" i="29"/>
  <c r="F19" i="29"/>
  <c r="G12" i="29"/>
  <c r="K12" i="29"/>
  <c r="M12" i="29"/>
  <c r="N12" i="29"/>
  <c r="O12" i="29" s="1"/>
  <c r="L19" i="29"/>
  <c r="G19" i="29"/>
  <c r="G28" i="29" s="1"/>
  <c r="N3" i="31"/>
  <c r="S20" i="31"/>
  <c r="L20" i="31"/>
  <c r="L18" i="31"/>
  <c r="P12" i="31"/>
  <c r="W34" i="31"/>
  <c r="W48" i="31" s="1"/>
  <c r="T34" i="31"/>
  <c r="T48" i="31"/>
  <c r="T71" i="31"/>
  <c r="O34" i="31"/>
  <c r="O48" i="31"/>
  <c r="K34" i="31"/>
  <c r="K48" i="31"/>
  <c r="J34" i="31"/>
  <c r="J48" i="31" s="1"/>
  <c r="H34" i="31"/>
  <c r="H48" i="31" s="1"/>
  <c r="G34" i="31"/>
  <c r="G48" i="31" s="1"/>
  <c r="F32" i="31"/>
  <c r="F48" i="31" s="1"/>
  <c r="V34" i="31"/>
  <c r="V48" i="31" s="1"/>
  <c r="P34" i="31"/>
  <c r="P48" i="31" s="1"/>
  <c r="C34" i="31"/>
  <c r="X62" i="31"/>
  <c r="Y62" i="31"/>
  <c r="X64" i="31"/>
  <c r="L62" i="31"/>
  <c r="L64" i="31"/>
  <c r="Y64" i="31"/>
  <c r="X38" i="31"/>
  <c r="Y38" i="31"/>
  <c r="L38" i="31"/>
  <c r="X44" i="31"/>
  <c r="Y44" i="31" s="1"/>
  <c r="L44" i="31"/>
  <c r="C48" i="31"/>
  <c r="C52" i="31" s="1"/>
  <c r="C71" i="31"/>
  <c r="X24" i="31"/>
  <c r="F10" i="31"/>
  <c r="F16" i="31"/>
  <c r="K26" i="31"/>
  <c r="O16" i="31"/>
  <c r="O18" i="31" s="1"/>
  <c r="O20" i="31" s="1"/>
  <c r="O10" i="31"/>
  <c r="O12" i="31" s="1"/>
  <c r="O14" i="31" s="1"/>
  <c r="O8" i="31"/>
  <c r="O22" i="31"/>
  <c r="P8" i="31"/>
  <c r="P16" i="31"/>
  <c r="P22" i="31"/>
  <c r="P10" i="31"/>
  <c r="P14" i="31"/>
  <c r="R10" i="31"/>
  <c r="R14" i="31"/>
  <c r="R16" i="31"/>
  <c r="R18" i="31" s="1"/>
  <c r="R20" i="31" s="1"/>
  <c r="R8" i="31"/>
  <c r="R22" i="31"/>
  <c r="Q10" i="31"/>
  <c r="Q12" i="31" s="1"/>
  <c r="Q14" i="31" s="1"/>
  <c r="Q16" i="31"/>
  <c r="Q20" i="31" s="1"/>
  <c r="Q18" i="31" s="1"/>
  <c r="Q8" i="31"/>
  <c r="Q22" i="31"/>
  <c r="V16" i="31"/>
  <c r="V20" i="31" s="1"/>
  <c r="V8" i="31"/>
  <c r="V10" i="31"/>
  <c r="V22" i="31"/>
  <c r="F8" i="31"/>
  <c r="F24" i="31"/>
  <c r="E8" i="31"/>
  <c r="E16" i="31"/>
  <c r="E22" i="31"/>
  <c r="C22" i="31"/>
  <c r="L22" i="31" s="1"/>
  <c r="E10" i="31"/>
  <c r="E12" i="31"/>
  <c r="E14" i="31" s="1"/>
  <c r="X40" i="31"/>
  <c r="Y40" i="31" s="1"/>
  <c r="C10" i="31"/>
  <c r="C14" i="31" s="1"/>
  <c r="C12" i="31"/>
  <c r="L12" i="31" s="1"/>
  <c r="U8" i="31"/>
  <c r="U10" i="31"/>
  <c r="U16" i="31"/>
  <c r="U22" i="31"/>
  <c r="S8" i="31"/>
  <c r="S10" i="31"/>
  <c r="S14" i="31" s="1"/>
  <c r="S16" i="31"/>
  <c r="S18" i="31"/>
  <c r="S22" i="31"/>
  <c r="D8" i="31"/>
  <c r="D10" i="31"/>
  <c r="D12" i="31" s="1"/>
  <c r="D16" i="31"/>
  <c r="C16" i="31"/>
  <c r="L16" i="31" s="1"/>
  <c r="L58" i="31"/>
  <c r="L54" i="31"/>
  <c r="C8" i="31"/>
  <c r="L8" i="31" s="1"/>
  <c r="L26" i="31" s="1"/>
  <c r="D24" i="31"/>
  <c r="L24" i="31" s="1"/>
  <c r="Y24" i="31" s="1"/>
  <c r="N8" i="31"/>
  <c r="X8" i="31" s="1"/>
  <c r="Y8" i="31" s="1"/>
  <c r="N22" i="31"/>
  <c r="X22" i="31" s="1"/>
  <c r="Y22" i="31" s="1"/>
  <c r="M8" i="31"/>
  <c r="M10" i="31"/>
  <c r="X10" i="31" s="1"/>
  <c r="Y10" i="31" s="1"/>
  <c r="N10" i="31"/>
  <c r="N14" i="31" s="1"/>
  <c r="N16" i="31"/>
  <c r="N18" i="31" s="1"/>
  <c r="M12" i="31"/>
  <c r="X32" i="23"/>
  <c r="Y32" i="23" s="1"/>
  <c r="X26" i="23"/>
  <c r="Y26" i="23" s="1"/>
  <c r="X16" i="23"/>
  <c r="Y16" i="23" s="1"/>
  <c r="L26" i="23"/>
  <c r="L32" i="23"/>
  <c r="T54" i="23"/>
  <c r="T58" i="23"/>
  <c r="T59" i="23" s="1"/>
  <c r="T36" i="23"/>
  <c r="J36" i="23"/>
  <c r="J40" i="23" s="1"/>
  <c r="J59" i="23"/>
  <c r="K36" i="23"/>
  <c r="K54" i="23"/>
  <c r="K58" i="23" s="1"/>
  <c r="K59" i="23" s="1"/>
  <c r="G59" i="23"/>
  <c r="C36" i="23"/>
  <c r="C59" i="23" s="1"/>
  <c r="W36" i="23"/>
  <c r="O36" i="23"/>
  <c r="K18" i="23"/>
  <c r="K40" i="23" s="1"/>
  <c r="X50" i="23"/>
  <c r="Y50" i="23"/>
  <c r="X52" i="23"/>
  <c r="L50" i="23"/>
  <c r="L52" i="23"/>
  <c r="Y52" i="23"/>
  <c r="F36" i="23"/>
  <c r="F40" i="23" s="1"/>
  <c r="M8" i="23"/>
  <c r="N8" i="23"/>
  <c r="O8" i="23"/>
  <c r="P8" i="23"/>
  <c r="Q8" i="23"/>
  <c r="R8" i="23"/>
  <c r="S8" i="23"/>
  <c r="U8" i="23"/>
  <c r="V8" i="23"/>
  <c r="M10" i="23"/>
  <c r="X10" i="23" s="1"/>
  <c r="Y10" i="23" s="1"/>
  <c r="N10" i="23"/>
  <c r="O10" i="23"/>
  <c r="P10" i="23"/>
  <c r="Q10" i="23"/>
  <c r="R10" i="23"/>
  <c r="S10" i="23"/>
  <c r="U10" i="23"/>
  <c r="V10" i="23"/>
  <c r="N12" i="23"/>
  <c r="O12" i="23"/>
  <c r="X12" i="23" s="1"/>
  <c r="Y12" i="23" s="1"/>
  <c r="P12" i="23"/>
  <c r="Q12" i="23"/>
  <c r="R12" i="23"/>
  <c r="S12" i="23"/>
  <c r="U12" i="23"/>
  <c r="V12" i="23"/>
  <c r="N14" i="23"/>
  <c r="O14" i="23"/>
  <c r="P14" i="23"/>
  <c r="Q14" i="23"/>
  <c r="R14" i="23"/>
  <c r="S14" i="23"/>
  <c r="U14" i="23"/>
  <c r="V14" i="23"/>
  <c r="X20" i="23"/>
  <c r="X28" i="23"/>
  <c r="Y28" i="23" s="1"/>
  <c r="X34" i="23"/>
  <c r="Y34" i="23" s="1"/>
  <c r="L20" i="23"/>
  <c r="L36" i="23" s="1"/>
  <c r="L30" i="23"/>
  <c r="L34" i="23"/>
  <c r="V36" i="23"/>
  <c r="P36" i="23"/>
  <c r="X22" i="23"/>
  <c r="X24" i="23"/>
  <c r="M36" i="23"/>
  <c r="E10" i="1"/>
  <c r="E15" i="1"/>
  <c r="E13" i="1"/>
  <c r="E12" i="1"/>
  <c r="E17" i="1"/>
  <c r="E11" i="1"/>
  <c r="D17" i="19"/>
  <c r="D10" i="7"/>
  <c r="D21" i="7" s="1"/>
  <c r="F10" i="7"/>
  <c r="F21" i="7" s="1"/>
  <c r="C10" i="7"/>
  <c r="C21" i="7"/>
  <c r="H9" i="8"/>
  <c r="H27" i="8" s="1"/>
  <c r="C9" i="8"/>
  <c r="C27" i="8" s="1"/>
  <c r="D9" i="8"/>
  <c r="D27" i="8" s="1"/>
  <c r="E9" i="8"/>
  <c r="E27" i="8"/>
  <c r="F9" i="8"/>
  <c r="F27" i="8" s="1"/>
  <c r="G9" i="8"/>
  <c r="G27" i="8" s="1"/>
  <c r="J9" i="8"/>
  <c r="J27" i="8" s="1"/>
  <c r="L9" i="8"/>
  <c r="L27" i="8"/>
  <c r="C10" i="9"/>
  <c r="C21" i="9" s="1"/>
  <c r="E10" i="9"/>
  <c r="E21" i="9" s="1"/>
  <c r="D10" i="9"/>
  <c r="D21" i="9" s="1"/>
  <c r="D19" i="10"/>
  <c r="G19" i="10"/>
  <c r="E19" i="10"/>
  <c r="C19" i="10"/>
  <c r="Y51" i="31"/>
  <c r="Y20" i="23"/>
  <c r="D36" i="23"/>
  <c r="D40" i="23" s="1"/>
  <c r="H31" i="38"/>
  <c r="H35" i="38"/>
  <c r="C51" i="40"/>
  <c r="L21" i="16"/>
  <c r="C43" i="40"/>
  <c r="C21" i="16"/>
  <c r="O57" i="21"/>
  <c r="H22" i="6"/>
  <c r="H23" i="5"/>
  <c r="F14" i="6"/>
  <c r="F9" i="6"/>
  <c r="O16" i="43"/>
  <c r="G44" i="21"/>
  <c r="F17" i="14" s="1"/>
  <c r="L10" i="31"/>
  <c r="K52" i="31"/>
  <c r="M19" i="29"/>
  <c r="M28" i="29" s="1"/>
  <c r="N22" i="29"/>
  <c r="O22" i="29"/>
  <c r="L36" i="31"/>
  <c r="X30" i="31"/>
  <c r="Y30" i="31"/>
  <c r="M66" i="31"/>
  <c r="M70" i="31" s="1"/>
  <c r="M71" i="31" s="1"/>
  <c r="D9" i="37"/>
  <c r="D24" i="37" s="1"/>
  <c r="H11" i="37"/>
  <c r="H21" i="37"/>
  <c r="W37" i="20"/>
  <c r="W44" i="20" s="1"/>
  <c r="L44" i="20"/>
  <c r="E25" i="29"/>
  <c r="N25" i="29" s="1"/>
  <c r="O25" i="29" s="1"/>
  <c r="N17" i="8"/>
  <c r="N13" i="8"/>
  <c r="N26" i="8"/>
  <c r="N22" i="8"/>
  <c r="N18" i="8"/>
  <c r="H18" i="5"/>
  <c r="J57" i="21"/>
  <c r="H17" i="6"/>
  <c r="T7" i="4"/>
  <c r="V7" i="4" s="1"/>
  <c r="U7" i="4"/>
  <c r="T11" i="4"/>
  <c r="U11" i="4"/>
  <c r="E10" i="7"/>
  <c r="E21" i="7" s="1"/>
  <c r="V18" i="31"/>
  <c r="N13" i="29"/>
  <c r="O13" i="29" s="1"/>
  <c r="D11" i="29"/>
  <c r="D15" i="29"/>
  <c r="L47" i="20"/>
  <c r="L60" i="20"/>
  <c r="I36" i="23"/>
  <c r="E36" i="23"/>
  <c r="N38" i="23"/>
  <c r="X30" i="23"/>
  <c r="Y30" i="23" s="1"/>
  <c r="X14" i="23"/>
  <c r="W70" i="31"/>
  <c r="I48" i="31"/>
  <c r="T44" i="21"/>
  <c r="F45" i="14"/>
  <c r="F28" i="6"/>
  <c r="G15" i="7"/>
  <c r="U46" i="23"/>
  <c r="X46" i="23"/>
  <c r="Y46" i="23"/>
  <c r="U58" i="31"/>
  <c r="X58" i="31" s="1"/>
  <c r="Y58" i="31" s="1"/>
  <c r="G9" i="37"/>
  <c r="G24" i="37" s="1"/>
  <c r="H18" i="37"/>
  <c r="F21" i="17"/>
  <c r="H17" i="18"/>
  <c r="H19" i="18"/>
  <c r="H23" i="18"/>
  <c r="X16" i="31"/>
  <c r="Y16" i="31" s="1"/>
  <c r="C40" i="23"/>
  <c r="N20" i="29"/>
  <c r="E19" i="29"/>
  <c r="E9" i="37"/>
  <c r="E24" i="37"/>
  <c r="L18" i="23"/>
  <c r="R36" i="23"/>
  <c r="N48" i="31"/>
  <c r="X8" i="23"/>
  <c r="X14" i="31"/>
  <c r="N6" i="29"/>
  <c r="L38" i="23"/>
  <c r="N36" i="23"/>
  <c r="D66" i="31"/>
  <c r="L50" i="31"/>
  <c r="T52" i="31"/>
  <c r="Y28" i="31"/>
  <c r="N50" i="31"/>
  <c r="X50" i="31" s="1"/>
  <c r="G13" i="15"/>
  <c r="N33" i="16"/>
  <c r="T40" i="23"/>
  <c r="Q36" i="23"/>
  <c r="M54" i="23"/>
  <c r="M58" i="23"/>
  <c r="M59" i="23"/>
  <c r="X42" i="31"/>
  <c r="Y42" i="31"/>
  <c r="X54" i="31"/>
  <c r="Y54" i="31" s="1"/>
  <c r="Q60" i="31"/>
  <c r="Q66" i="31" s="1"/>
  <c r="Q70" i="31" s="1"/>
  <c r="Q48" i="23"/>
  <c r="Q54" i="23" s="1"/>
  <c r="Q58" i="23" s="1"/>
  <c r="Q59" i="23" s="1"/>
  <c r="N60" i="31"/>
  <c r="X60" i="31" s="1"/>
  <c r="Y60" i="31" s="1"/>
  <c r="N48" i="23"/>
  <c r="X48" i="23"/>
  <c r="Y48" i="23" s="1"/>
  <c r="E60" i="31"/>
  <c r="L60" i="31" s="1"/>
  <c r="E48" i="23"/>
  <c r="E54" i="23" s="1"/>
  <c r="E58" i="23" s="1"/>
  <c r="L48" i="23"/>
  <c r="G23" i="14"/>
  <c r="G27" i="15"/>
  <c r="D23" i="38"/>
  <c r="H33" i="38"/>
  <c r="Q47" i="20"/>
  <c r="D23" i="6"/>
  <c r="P26" i="21"/>
  <c r="D35" i="14"/>
  <c r="G35" i="14" s="1"/>
  <c r="I35" i="14" s="1"/>
  <c r="G21" i="5"/>
  <c r="D14" i="2" s="1"/>
  <c r="E14" i="2" s="1"/>
  <c r="N60" i="20"/>
  <c r="M47" i="21"/>
  <c r="G29" i="13" s="1"/>
  <c r="I29" i="13" s="1"/>
  <c r="C29" i="13" s="1"/>
  <c r="G29" i="14"/>
  <c r="I29" i="14"/>
  <c r="G41" i="14"/>
  <c r="G15" i="15"/>
  <c r="G21" i="15"/>
  <c r="F25" i="17"/>
  <c r="H11" i="38"/>
  <c r="H19" i="38"/>
  <c r="H21" i="38"/>
  <c r="H29" i="38"/>
  <c r="H11" i="18"/>
  <c r="N16" i="8"/>
  <c r="N12" i="8"/>
  <c r="N25" i="8"/>
  <c r="N21" i="8"/>
  <c r="D7" i="39"/>
  <c r="D6" i="39"/>
  <c r="N15" i="8"/>
  <c r="N11" i="8"/>
  <c r="N24" i="8"/>
  <c r="N20" i="8"/>
  <c r="H23" i="6"/>
  <c r="H24" i="5"/>
  <c r="N9" i="16"/>
  <c r="N17" i="16"/>
  <c r="D13" i="38"/>
  <c r="H13" i="38"/>
  <c r="P57" i="21"/>
  <c r="T47" i="20"/>
  <c r="E16" i="43"/>
  <c r="AB16" i="43"/>
  <c r="D15" i="6"/>
  <c r="G15" i="6" s="1"/>
  <c r="I15" i="6" s="1"/>
  <c r="H47" i="20"/>
  <c r="C23" i="38"/>
  <c r="H23" i="38" s="1"/>
  <c r="C13" i="18"/>
  <c r="H13" i="18"/>
  <c r="H27" i="18"/>
  <c r="W33" i="20"/>
  <c r="J47" i="20"/>
  <c r="D17" i="6"/>
  <c r="H16" i="5"/>
  <c r="H57" i="21"/>
  <c r="H19" i="14" s="1"/>
  <c r="H15" i="6"/>
  <c r="U14" i="4"/>
  <c r="T14" i="4"/>
  <c r="V14" i="4" s="1"/>
  <c r="D27" i="38"/>
  <c r="H27" i="38"/>
  <c r="C21" i="18"/>
  <c r="H21" i="18"/>
  <c r="N14" i="8"/>
  <c r="N10" i="8"/>
  <c r="N9" i="8" s="1"/>
  <c r="N27" i="8" s="1"/>
  <c r="N23" i="8"/>
  <c r="N19" i="8"/>
  <c r="H12" i="10"/>
  <c r="F16" i="39"/>
  <c r="F20" i="39"/>
  <c r="F18" i="39"/>
  <c r="C7" i="40"/>
  <c r="D10" i="40"/>
  <c r="E11" i="40"/>
  <c r="H16" i="10"/>
  <c r="C60" i="20"/>
  <c r="C60" i="21" s="1"/>
  <c r="G12" i="5"/>
  <c r="D47" i="20"/>
  <c r="D26" i="21"/>
  <c r="D9" i="14" s="1"/>
  <c r="G9" i="14" s="1"/>
  <c r="I9" i="14" s="1"/>
  <c r="D10" i="6"/>
  <c r="U10" i="4"/>
  <c r="T10" i="4"/>
  <c r="X34" i="39"/>
  <c r="X30" i="39"/>
  <c r="U44" i="21"/>
  <c r="F43" i="14" s="1"/>
  <c r="G43" i="14" s="1"/>
  <c r="I43" i="14" s="1"/>
  <c r="G16" i="43"/>
  <c r="G17" i="7"/>
  <c r="V34" i="43"/>
  <c r="O7" i="43"/>
  <c r="H10" i="10"/>
  <c r="H9" i="10"/>
  <c r="H19" i="10" s="1"/>
  <c r="G47" i="20"/>
  <c r="D14" i="6"/>
  <c r="N44" i="23" s="1"/>
  <c r="H13" i="5"/>
  <c r="E57" i="21"/>
  <c r="U6" i="4"/>
  <c r="V6" i="4" s="1"/>
  <c r="T6" i="4"/>
  <c r="M60" i="20"/>
  <c r="G20" i="5"/>
  <c r="D12" i="2"/>
  <c r="E12" i="2" s="1"/>
  <c r="D34" i="43"/>
  <c r="H14" i="10"/>
  <c r="C9" i="6"/>
  <c r="U47" i="20"/>
  <c r="D27" i="6"/>
  <c r="I56" i="31" s="1"/>
  <c r="U26" i="21"/>
  <c r="D43" i="14"/>
  <c r="P60" i="20"/>
  <c r="G23" i="5"/>
  <c r="O47" i="21"/>
  <c r="G33" i="13"/>
  <c r="I33" i="13" s="1"/>
  <c r="D12" i="6"/>
  <c r="O56" i="31" s="1"/>
  <c r="X56" i="31" s="1"/>
  <c r="E47" i="20"/>
  <c r="G13" i="5" s="1"/>
  <c r="D57" i="21"/>
  <c r="H11" i="5"/>
  <c r="L7" i="43"/>
  <c r="H15" i="10"/>
  <c r="W26" i="20"/>
  <c r="F7" i="43"/>
  <c r="V47" i="20"/>
  <c r="G28" i="5" s="1"/>
  <c r="D26" i="2" s="1"/>
  <c r="E26" i="2" s="1"/>
  <c r="E27" i="6"/>
  <c r="R47" i="20"/>
  <c r="C24" i="6"/>
  <c r="G24" i="6"/>
  <c r="G57" i="20"/>
  <c r="W8" i="4"/>
  <c r="H17" i="10"/>
  <c r="E9" i="6"/>
  <c r="C28" i="6"/>
  <c r="G28" i="6"/>
  <c r="I28" i="6" s="1"/>
  <c r="T12" i="21"/>
  <c r="C45" i="14"/>
  <c r="M19" i="27"/>
  <c r="D15" i="4"/>
  <c r="U15" i="4" s="1"/>
  <c r="Y50" i="31"/>
  <c r="X66" i="31"/>
  <c r="I86" i="41"/>
  <c r="D15" i="40"/>
  <c r="I87" i="41" s="1"/>
  <c r="E60" i="20"/>
  <c r="I13" i="5" s="1"/>
  <c r="T47" i="21"/>
  <c r="G45" i="13"/>
  <c r="I45" i="13" s="1"/>
  <c r="G29" i="5"/>
  <c r="D28" i="2" s="1"/>
  <c r="U60" i="20"/>
  <c r="I29" i="5" s="1"/>
  <c r="G14" i="6"/>
  <c r="I14" i="6"/>
  <c r="N56" i="31"/>
  <c r="D9" i="6"/>
  <c r="D29" i="6"/>
  <c r="W8" i="27" s="1"/>
  <c r="G10" i="6"/>
  <c r="R56" i="31"/>
  <c r="R66" i="31"/>
  <c r="R70" i="31" s="1"/>
  <c r="R71" i="31" s="1"/>
  <c r="R44" i="23"/>
  <c r="R54" i="23"/>
  <c r="R58" i="23" s="1"/>
  <c r="R59" i="23" s="1"/>
  <c r="H60" i="20"/>
  <c r="G16" i="5"/>
  <c r="H47" i="21"/>
  <c r="G19" i="13"/>
  <c r="T60" i="20"/>
  <c r="I27" i="5" s="1"/>
  <c r="G27" i="5"/>
  <c r="D24" i="2" s="1"/>
  <c r="S47" i="21"/>
  <c r="G41" i="13"/>
  <c r="Y8" i="23"/>
  <c r="H33" i="13"/>
  <c r="H33" i="14"/>
  <c r="G25" i="5"/>
  <c r="D20" i="2"/>
  <c r="E20" i="2" s="1"/>
  <c r="R60" i="20"/>
  <c r="Q47" i="21"/>
  <c r="G37" i="13"/>
  <c r="I37" i="13" s="1"/>
  <c r="G12" i="6"/>
  <c r="I12" i="6"/>
  <c r="O44" i="23"/>
  <c r="C29" i="6"/>
  <c r="W7" i="27"/>
  <c r="G60" i="20"/>
  <c r="I15" i="5" s="1"/>
  <c r="G15" i="5"/>
  <c r="G47" i="21"/>
  <c r="G17" i="13" s="1"/>
  <c r="I17" i="13" s="1"/>
  <c r="W14" i="4"/>
  <c r="H35" i="14"/>
  <c r="H35" i="13"/>
  <c r="D70" i="31"/>
  <c r="X36" i="23"/>
  <c r="X38" i="23"/>
  <c r="X54" i="23" s="1"/>
  <c r="N21" i="16"/>
  <c r="P15" i="4"/>
  <c r="S15" i="4"/>
  <c r="T15" i="4"/>
  <c r="G45" i="14"/>
  <c r="H13" i="13"/>
  <c r="H13" i="14"/>
  <c r="I13" i="14" s="1"/>
  <c r="V10" i="4"/>
  <c r="D60" i="20"/>
  <c r="D60" i="21" s="1"/>
  <c r="G11" i="5"/>
  <c r="D47" i="21"/>
  <c r="G9" i="13"/>
  <c r="J60" i="20"/>
  <c r="G18" i="5"/>
  <c r="J47" i="21"/>
  <c r="G23" i="13"/>
  <c r="I23" i="13"/>
  <c r="C41" i="40"/>
  <c r="G23" i="6"/>
  <c r="I23" i="6"/>
  <c r="U56" i="31"/>
  <c r="U66" i="31" s="1"/>
  <c r="U70" i="31" s="1"/>
  <c r="U71" i="31" s="1"/>
  <c r="U44" i="23"/>
  <c r="U54" i="23" s="1"/>
  <c r="U58" i="23" s="1"/>
  <c r="U59" i="23" s="1"/>
  <c r="W71" i="31"/>
  <c r="W52" i="31"/>
  <c r="V11" i="4"/>
  <c r="W11" i="4" s="1"/>
  <c r="H23" i="13"/>
  <c r="H23" i="14"/>
  <c r="I23" i="14" s="1"/>
  <c r="H24" i="37"/>
  <c r="Y36" i="31"/>
  <c r="E66" i="31"/>
  <c r="E70" i="31"/>
  <c r="E52" i="31" s="1"/>
  <c r="I12" i="5"/>
  <c r="Q18" i="23" s="1"/>
  <c r="Q40" i="23" s="1"/>
  <c r="N66" i="31"/>
  <c r="N70" i="31"/>
  <c r="N71" i="31" s="1"/>
  <c r="O6" i="29"/>
  <c r="O20" i="29"/>
  <c r="I23" i="5"/>
  <c r="O60" i="21"/>
  <c r="I20" i="5"/>
  <c r="C33" i="40" s="1"/>
  <c r="L60" i="21"/>
  <c r="G17" i="6"/>
  <c r="I17" i="6"/>
  <c r="V56" i="31"/>
  <c r="V66" i="31"/>
  <c r="V70" i="31" s="1"/>
  <c r="V71" i="31" s="1"/>
  <c r="V44" i="23"/>
  <c r="V54" i="23"/>
  <c r="V58" i="23" s="1"/>
  <c r="V59" i="23" s="1"/>
  <c r="G57" i="21"/>
  <c r="H17" i="13" s="1"/>
  <c r="H15" i="5"/>
  <c r="H10" i="5" s="1"/>
  <c r="H14" i="6"/>
  <c r="H9" i="6"/>
  <c r="U47" i="21"/>
  <c r="G43" i="13" s="1"/>
  <c r="I43" i="13" s="1"/>
  <c r="C43" i="13" s="1"/>
  <c r="V60" i="20"/>
  <c r="I28" i="5" s="1"/>
  <c r="C37" i="40" s="1"/>
  <c r="H9" i="13"/>
  <c r="I9" i="13" s="1"/>
  <c r="H9" i="14"/>
  <c r="G27" i="6"/>
  <c r="I27" i="6"/>
  <c r="I44" i="23"/>
  <c r="L44" i="23" s="1"/>
  <c r="L54" i="23" s="1"/>
  <c r="L58" i="23" s="1"/>
  <c r="L59" i="23" s="1"/>
  <c r="W10" i="4"/>
  <c r="H19" i="13"/>
  <c r="I21" i="5"/>
  <c r="M60" i="21"/>
  <c r="P47" i="21"/>
  <c r="G35" i="13"/>
  <c r="I35" i="13" s="1"/>
  <c r="Q60" i="20"/>
  <c r="G24" i="5"/>
  <c r="D18" i="2"/>
  <c r="E18" i="2"/>
  <c r="W7" i="4"/>
  <c r="X26" i="31"/>
  <c r="Y26" i="31"/>
  <c r="E71" i="31"/>
  <c r="D44" i="40"/>
  <c r="D47" i="40"/>
  <c r="D52" i="40"/>
  <c r="D48" i="40"/>
  <c r="D49" i="40"/>
  <c r="D42" i="40"/>
  <c r="D45" i="40"/>
  <c r="D46" i="40"/>
  <c r="D50" i="40"/>
  <c r="I10" i="6"/>
  <c r="I24" i="5"/>
  <c r="U26" i="31" s="1"/>
  <c r="P60" i="21"/>
  <c r="M26" i="31"/>
  <c r="M52" i="31"/>
  <c r="Y38" i="23"/>
  <c r="I16" i="5"/>
  <c r="H60" i="21"/>
  <c r="T60" i="21"/>
  <c r="Q26" i="31"/>
  <c r="I11" i="5"/>
  <c r="D51" i="40"/>
  <c r="G60" i="21"/>
  <c r="I25" i="5"/>
  <c r="Q60" i="21"/>
  <c r="S60" i="21"/>
  <c r="E60" i="21"/>
  <c r="X70" i="31"/>
  <c r="I54" i="23"/>
  <c r="I58" i="23" s="1"/>
  <c r="U60" i="21"/>
  <c r="H17" i="14"/>
  <c r="D43" i="40"/>
  <c r="I18" i="5"/>
  <c r="V18" i="23" s="1"/>
  <c r="J60" i="21"/>
  <c r="D71" i="31"/>
  <c r="D52" i="31"/>
  <c r="I19" i="13"/>
  <c r="Q29" i="43" l="1"/>
  <c r="R29" i="43"/>
  <c r="F29" i="43"/>
  <c r="N34" i="43"/>
  <c r="X17" i="43"/>
  <c r="Z15" i="43"/>
  <c r="V17" i="43"/>
  <c r="AC24" i="43"/>
  <c r="AB29" i="43"/>
  <c r="AC19" i="43"/>
  <c r="L29" i="43"/>
  <c r="AC3" i="43"/>
  <c r="X29" i="43"/>
  <c r="K29" i="43"/>
  <c r="P34" i="43"/>
  <c r="Z34" i="43"/>
  <c r="O29" i="43"/>
  <c r="W29" i="43"/>
  <c r="P29" i="43"/>
  <c r="N29" i="43"/>
  <c r="AC33" i="43"/>
  <c r="AC22" i="43"/>
  <c r="P17" i="43"/>
  <c r="S29" i="43"/>
  <c r="AC37" i="43"/>
  <c r="L34" i="43"/>
  <c r="P7" i="43"/>
  <c r="P15" i="43" s="1"/>
  <c r="D7" i="43"/>
  <c r="D15" i="43" s="1"/>
  <c r="AC6" i="43"/>
  <c r="AA34" i="43"/>
  <c r="V29" i="43"/>
  <c r="O34" i="43"/>
  <c r="AC36" i="43"/>
  <c r="AC27" i="43"/>
  <c r="G29" i="43"/>
  <c r="Y29" i="43"/>
  <c r="AC31" i="43"/>
  <c r="AC32" i="43"/>
  <c r="Q17" i="43"/>
  <c r="AC35" i="43"/>
  <c r="R34" i="43"/>
  <c r="K17" i="43"/>
  <c r="Y17" i="43"/>
  <c r="G17" i="43"/>
  <c r="AC20" i="43"/>
  <c r="AC21" i="43"/>
  <c r="W17" i="43"/>
  <c r="M34" i="43"/>
  <c r="J17" i="43"/>
  <c r="AC5" i="43"/>
  <c r="Q34" i="43"/>
  <c r="AC25" i="43"/>
  <c r="AC28" i="43"/>
  <c r="Y15" i="43"/>
  <c r="K15" i="43"/>
  <c r="AC18" i="43"/>
  <c r="R17" i="43"/>
  <c r="AC23" i="43"/>
  <c r="K34" i="43"/>
  <c r="S34" i="43"/>
  <c r="AC10" i="43"/>
  <c r="N15" i="43"/>
  <c r="AC4" i="43"/>
  <c r="D17" i="43"/>
  <c r="N17" i="43"/>
  <c r="AB34" i="43"/>
  <c r="C7" i="43"/>
  <c r="C15" i="43" s="1"/>
  <c r="Y34" i="43"/>
  <c r="L15" i="43"/>
  <c r="S17" i="43"/>
  <c r="R7" i="43"/>
  <c r="R15" i="43" s="1"/>
  <c r="M7" i="43"/>
  <c r="M15" i="43" s="1"/>
  <c r="J7" i="43"/>
  <c r="J15" i="43" s="1"/>
  <c r="F15" i="43"/>
  <c r="AC8" i="43"/>
  <c r="AC30" i="43"/>
  <c r="AB17" i="43"/>
  <c r="O17" i="43"/>
  <c r="L17" i="43"/>
  <c r="M17" i="43"/>
  <c r="V15" i="43"/>
  <c r="I7" i="43"/>
  <c r="I15" i="43" s="1"/>
  <c r="D29" i="43"/>
  <c r="Z17" i="43"/>
  <c r="Z29" i="43"/>
  <c r="Q15" i="43"/>
  <c r="F17" i="43"/>
  <c r="AC17" i="43" s="1"/>
  <c r="M29" i="43"/>
  <c r="G34" i="43"/>
  <c r="H7" i="43"/>
  <c r="H15" i="43" s="1"/>
  <c r="V40" i="23"/>
  <c r="N18" i="23"/>
  <c r="N26" i="31"/>
  <c r="N52" i="31" s="1"/>
  <c r="C56" i="40"/>
  <c r="V26" i="31"/>
  <c r="V52" i="31" s="1"/>
  <c r="I66" i="31"/>
  <c r="L56" i="31"/>
  <c r="Y56" i="31" s="1"/>
  <c r="X44" i="23"/>
  <c r="Y44" i="23" s="1"/>
  <c r="N54" i="23"/>
  <c r="N58" i="23" s="1"/>
  <c r="N59" i="23" s="1"/>
  <c r="V15" i="4"/>
  <c r="W15" i="4" s="1"/>
  <c r="I59" i="23"/>
  <c r="I40" i="23"/>
  <c r="O26" i="31"/>
  <c r="O52" i="31" s="1"/>
  <c r="X52" i="31" s="1"/>
  <c r="O18" i="23"/>
  <c r="O40" i="23" s="1"/>
  <c r="U52" i="31"/>
  <c r="E59" i="23"/>
  <c r="E40" i="23"/>
  <c r="L40" i="23" s="1"/>
  <c r="Y54" i="23"/>
  <c r="R26" i="31"/>
  <c r="R52" i="31" s="1"/>
  <c r="X18" i="23"/>
  <c r="Y18" i="23" s="1"/>
  <c r="X18" i="31"/>
  <c r="Y18" i="31" s="1"/>
  <c r="N20" i="31"/>
  <c r="X20" i="31" s="1"/>
  <c r="Y20" i="31" s="1"/>
  <c r="L14" i="31"/>
  <c r="N24" i="29"/>
  <c r="O24" i="29" s="1"/>
  <c r="O27" i="29" s="1"/>
  <c r="E27" i="29"/>
  <c r="E28" i="29" s="1"/>
  <c r="G15" i="14"/>
  <c r="I15" i="14" s="1"/>
  <c r="G27" i="14"/>
  <c r="I27" i="14" s="1"/>
  <c r="N29" i="16"/>
  <c r="N15" i="29"/>
  <c r="D19" i="29"/>
  <c r="D28" i="29" s="1"/>
  <c r="G17" i="14"/>
  <c r="I17" i="14" s="1"/>
  <c r="R18" i="23"/>
  <c r="R40" i="23" s="1"/>
  <c r="X34" i="31"/>
  <c r="Q48" i="31"/>
  <c r="Q52" i="31" s="1"/>
  <c r="U18" i="23"/>
  <c r="U40" i="23" s="1"/>
  <c r="E47" i="21"/>
  <c r="G13" i="13" s="1"/>
  <c r="I13" i="13" s="1"/>
  <c r="F28" i="29"/>
  <c r="P71" i="31"/>
  <c r="W57" i="20"/>
  <c r="M18" i="23"/>
  <c r="M40" i="23" s="1"/>
  <c r="W6" i="4"/>
  <c r="Y22" i="23"/>
  <c r="Y36" i="23" s="1"/>
  <c r="F71" i="31"/>
  <c r="F52" i="31"/>
  <c r="G19" i="14"/>
  <c r="I19" i="14" s="1"/>
  <c r="G33" i="14"/>
  <c r="I33" i="14" s="1"/>
  <c r="G17" i="15"/>
  <c r="N27" i="16"/>
  <c r="Y14" i="31"/>
  <c r="G52" i="31"/>
  <c r="G71" i="31"/>
  <c r="W56" i="23"/>
  <c r="G31" i="14"/>
  <c r="I31" i="14" s="1"/>
  <c r="G9" i="15"/>
  <c r="H52" i="31"/>
  <c r="H71" i="31"/>
  <c r="J71" i="31"/>
  <c r="J52" i="31"/>
  <c r="B28" i="29"/>
  <c r="G10" i="7"/>
  <c r="G21" i="7" s="1"/>
  <c r="F59" i="23"/>
  <c r="D16" i="43"/>
  <c r="AC16" i="43" s="1"/>
  <c r="F25" i="6"/>
  <c r="S47" i="20"/>
  <c r="D26" i="40"/>
  <c r="H87" i="42" s="1"/>
  <c r="H86" i="42"/>
  <c r="N12" i="31"/>
  <c r="X12" i="31" s="1"/>
  <c r="Y12" i="31" s="1"/>
  <c r="N7" i="29"/>
  <c r="F19" i="17"/>
  <c r="W12" i="20"/>
  <c r="W47" i="20" s="1"/>
  <c r="W60" i="20" s="1"/>
  <c r="G22" i="6"/>
  <c r="I22" i="6" s="1"/>
  <c r="M20" i="27"/>
  <c r="M21" i="27" s="1"/>
  <c r="G15" i="4"/>
  <c r="O15" i="4" s="1"/>
  <c r="Q15" i="4" s="1"/>
  <c r="F29" i="17"/>
  <c r="G13" i="6"/>
  <c r="AC14" i="43"/>
  <c r="H25" i="18"/>
  <c r="V9" i="4"/>
  <c r="W9" i="4" s="1"/>
  <c r="X31" i="39"/>
  <c r="H25" i="5"/>
  <c r="S57" i="21"/>
  <c r="O12" i="43"/>
  <c r="AC12" i="43" s="1"/>
  <c r="H45" i="14"/>
  <c r="I45" i="14" s="1"/>
  <c r="G19" i="5"/>
  <c r="O47" i="20"/>
  <c r="E20" i="6"/>
  <c r="G20" i="6" s="1"/>
  <c r="I20" i="6" s="1"/>
  <c r="S57" i="20"/>
  <c r="U13" i="4"/>
  <c r="E23" i="40"/>
  <c r="I47" i="20"/>
  <c r="E22" i="6"/>
  <c r="F47" i="20"/>
  <c r="T12" i="4"/>
  <c r="V12" i="4" s="1"/>
  <c r="W12" i="4" s="1"/>
  <c r="H24" i="6"/>
  <c r="T5" i="4"/>
  <c r="V5" i="4" s="1"/>
  <c r="W5" i="4" s="1"/>
  <c r="AC29" i="43" l="1"/>
  <c r="AC34" i="43"/>
  <c r="AC7" i="43"/>
  <c r="W13" i="4"/>
  <c r="H26" i="5"/>
  <c r="H30" i="5" s="1"/>
  <c r="M15" i="4" s="1"/>
  <c r="R57" i="21"/>
  <c r="H25" i="6"/>
  <c r="S60" i="20"/>
  <c r="G26" i="5"/>
  <c r="D22" i="2" s="1"/>
  <c r="E22" i="2" s="1"/>
  <c r="R47" i="21"/>
  <c r="G39" i="13" s="1"/>
  <c r="O15" i="29"/>
  <c r="O19" i="29" s="1"/>
  <c r="O28" i="29" s="1"/>
  <c r="N19" i="29"/>
  <c r="W58" i="23"/>
  <c r="X56" i="23"/>
  <c r="H29" i="6"/>
  <c r="I24" i="6"/>
  <c r="F47" i="21"/>
  <c r="G15" i="13" s="1"/>
  <c r="I15" i="13" s="1"/>
  <c r="F60" i="20"/>
  <c r="G14" i="5"/>
  <c r="O15" i="43"/>
  <c r="AC15" i="43" s="1"/>
  <c r="L66" i="31"/>
  <c r="Y66" i="31" s="1"/>
  <c r="I70" i="31"/>
  <c r="N47" i="21"/>
  <c r="G31" i="13" s="1"/>
  <c r="I31" i="13" s="1"/>
  <c r="G22" i="5"/>
  <c r="D16" i="2" s="1"/>
  <c r="E16" i="2" s="1"/>
  <c r="O60" i="20"/>
  <c r="G25" i="6"/>
  <c r="F29" i="6"/>
  <c r="I13" i="6"/>
  <c r="I9" i="6" s="1"/>
  <c r="G9" i="6"/>
  <c r="G29" i="6" s="1"/>
  <c r="O7" i="29"/>
  <c r="O11" i="29" s="1"/>
  <c r="N11" i="29"/>
  <c r="N27" i="29"/>
  <c r="Q71" i="31"/>
  <c r="N40" i="23"/>
  <c r="I47" i="21"/>
  <c r="G21" i="13" s="1"/>
  <c r="I21" i="13" s="1"/>
  <c r="I60" i="20"/>
  <c r="G17" i="5"/>
  <c r="Y34" i="31"/>
  <c r="Y48" i="31" s="1"/>
  <c r="X48" i="31"/>
  <c r="X71" i="31" s="1"/>
  <c r="E29" i="6"/>
  <c r="W9" i="27" s="1"/>
  <c r="H41" i="14"/>
  <c r="I41" i="14" s="1"/>
  <c r="H41" i="13"/>
  <c r="I41" i="13" s="1"/>
  <c r="V13" i="4"/>
  <c r="X40" i="23"/>
  <c r="Y40" i="23" s="1"/>
  <c r="R60" i="21" l="1"/>
  <c r="I26" i="5"/>
  <c r="C36" i="40" s="1"/>
  <c r="I71" i="31"/>
  <c r="L71" i="31" s="1"/>
  <c r="I52" i="31"/>
  <c r="L52" i="31" s="1"/>
  <c r="Y52" i="31" s="1"/>
  <c r="L70" i="31"/>
  <c r="Y70" i="31" s="1"/>
  <c r="Y71" i="31" s="1"/>
  <c r="Y56" i="23"/>
  <c r="X58" i="23"/>
  <c r="H39" i="13"/>
  <c r="H39" i="14"/>
  <c r="I39" i="14" s="1"/>
  <c r="I22" i="5"/>
  <c r="N60" i="21"/>
  <c r="N28" i="29"/>
  <c r="G10" i="5"/>
  <c r="W59" i="23"/>
  <c r="W40" i="23"/>
  <c r="I60" i="21"/>
  <c r="I17" i="5"/>
  <c r="I25" i="6"/>
  <c r="I29" i="6" s="1"/>
  <c r="I14" i="5"/>
  <c r="F60" i="21"/>
  <c r="I39" i="13"/>
  <c r="C39" i="13" s="1"/>
  <c r="X9" i="27"/>
  <c r="W10" i="27"/>
  <c r="S26" i="31" l="1"/>
  <c r="S52" i="31" s="1"/>
  <c r="S18" i="23"/>
  <c r="S40" i="23" s="1"/>
  <c r="C34" i="40"/>
  <c r="X7" i="27"/>
  <c r="X8" i="27"/>
  <c r="X59" i="23"/>
  <c r="Y58" i="23"/>
  <c r="Y59" i="23" s="1"/>
  <c r="P18" i="23"/>
  <c r="P40" i="23" s="1"/>
  <c r="P26" i="31"/>
  <c r="P52" i="31" s="1"/>
  <c r="I10" i="5"/>
  <c r="G30" i="5"/>
  <c r="L15" i="4" s="1"/>
  <c r="D10" i="2"/>
  <c r="E10" i="2" l="1"/>
  <c r="D31" i="2"/>
  <c r="E31" i="2" s="1"/>
  <c r="I30" i="5"/>
  <c r="N15" i="4" s="1"/>
  <c r="C35" i="40"/>
  <c r="C32" i="40" l="1"/>
  <c r="D33" i="40" l="1"/>
  <c r="D37" i="40"/>
  <c r="D36" i="40"/>
  <c r="D34" i="40"/>
  <c r="D35" i="40"/>
</calcChain>
</file>

<file path=xl/sharedStrings.xml><?xml version="1.0" encoding="utf-8"?>
<sst xmlns="http://schemas.openxmlformats.org/spreadsheetml/2006/main" count="1868" uniqueCount="832">
  <si>
    <t>ENERGÉTICOS PRIMARIOS</t>
  </si>
  <si>
    <t>DERIVADOS DE PETRÓLEO</t>
  </si>
  <si>
    <t>DERIVADOS DE CARBÓN</t>
  </si>
  <si>
    <t>CONSUMO FINAL</t>
  </si>
  <si>
    <t>C.TRANSFO.</t>
  </si>
  <si>
    <t>INTRO</t>
  </si>
  <si>
    <t>CONS_TERAC.</t>
  </si>
  <si>
    <t>DIAGRAMA DE FLUJO DE ENERGÍA</t>
  </si>
  <si>
    <t>BALANCE</t>
  </si>
  <si>
    <t>DIAGRAMA</t>
  </si>
  <si>
    <t>Introducción y Descripción BNE</t>
  </si>
  <si>
    <t>11. Cuadro consolidado de consumos sectoriales</t>
  </si>
  <si>
    <t>CONS_U.FIS.</t>
  </si>
  <si>
    <t>D. Anexos</t>
  </si>
  <si>
    <t>(*) Se incluyen las Gasolinas 93, 95 y 97</t>
  </si>
  <si>
    <t xml:space="preserve">(1) Se incluyen las Gasolinas 93, 95 y 97 </t>
  </si>
  <si>
    <t xml:space="preserve">(*) Se incluyen las Gasolinas 93, 95 y 97 </t>
  </si>
  <si>
    <t xml:space="preserve">         (TERACALORIAS)</t>
  </si>
  <si>
    <t>AÑOS</t>
  </si>
  <si>
    <t>VARIACION</t>
  </si>
  <si>
    <t>ENERGETICO</t>
  </si>
  <si>
    <t>%</t>
  </si>
  <si>
    <t>PETROLEO CRUDO</t>
  </si>
  <si>
    <t>GAS NATURAL</t>
  </si>
  <si>
    <t>CARBON</t>
  </si>
  <si>
    <t>HIDROELECTRICIDAD</t>
  </si>
  <si>
    <t>LEÑA</t>
  </si>
  <si>
    <t>BIOGAS</t>
  </si>
  <si>
    <t>TOTAL</t>
  </si>
  <si>
    <t xml:space="preserve">Nota: El factor de conversión utilizado para la hidroelectricidad corresponde al utilizado en </t>
  </si>
  <si>
    <t xml:space="preserve">        metodología internacional de generación de balances equivalente a 860 Kcal/Kwh</t>
  </si>
  <si>
    <t>Fuente: Encuestas CNE a empresas del sector energía e industrias intensivas en consumo energético</t>
  </si>
  <si>
    <t xml:space="preserve">    (TERACALORIAS)</t>
  </si>
  <si>
    <t>TOTAL DER. PETROLEO</t>
  </si>
  <si>
    <t>Y GAS NATURAL</t>
  </si>
  <si>
    <t>ELECTRICIDAD</t>
  </si>
  <si>
    <t>COKE Y ALQUITRAN</t>
  </si>
  <si>
    <t>GAS CORRIENTE</t>
  </si>
  <si>
    <t>GAS ALTOS HORNOS</t>
  </si>
  <si>
    <t>METANOL</t>
  </si>
  <si>
    <t>LEÑA Y OTROS</t>
  </si>
  <si>
    <t xml:space="preserve"> BALANCE ENERGIA PRIMARIA</t>
  </si>
  <si>
    <t>PRODUCCION</t>
  </si>
  <si>
    <t>IMPORTACION</t>
  </si>
  <si>
    <t>EXPORTACION</t>
  </si>
  <si>
    <t>VAR. STOCK +</t>
  </si>
  <si>
    <t>CONSUMO</t>
  </si>
  <si>
    <t>BRUTA</t>
  </si>
  <si>
    <t xml:space="preserve">PERD+CIERRE </t>
  </si>
  <si>
    <t>BRUTO</t>
  </si>
  <si>
    <t>PETROLEO CRUDO (a)</t>
  </si>
  <si>
    <t>GAS NATURAL (b,c,d,e)</t>
  </si>
  <si>
    <t>a) Producción Bruta Petroleo Crudo:               Producción Isla +     Producción Continente +     Producción Costa afuera</t>
  </si>
  <si>
    <t xml:space="preserve">b) Producción Bruta Gas Natural:                </t>
  </si>
  <si>
    <t xml:space="preserve"> Produccion total     - Reinyecciones </t>
  </si>
  <si>
    <t xml:space="preserve">c) Cierre Gas Natural : </t>
  </si>
  <si>
    <t xml:space="preserve">Gas lift  + </t>
  </si>
  <si>
    <t xml:space="preserve">Gas quemado </t>
  </si>
  <si>
    <t>e) : Gas Absorbido (Diferencia Gas Primario y Secundario ) =</t>
  </si>
  <si>
    <t>Nota 1: El factor de conversión utilizado para la hidroelectricidad corresponde al utilizado en metodología internacional de</t>
  </si>
  <si>
    <t xml:space="preserve">          generación de balances equivalente a 860 Kcal/Kwh</t>
  </si>
  <si>
    <t xml:space="preserve">Nota 2: El Consumo Bruto equivale a la suma de Producción Bruta e Importaciones menos las Exportacione y Variación de Stocks </t>
  </si>
  <si>
    <t xml:space="preserve">          Perdidas y Cierres para cada energético</t>
  </si>
  <si>
    <t>V. STOCK +</t>
  </si>
  <si>
    <t>Las siguientes cantidades están expresadas en Teracalorías</t>
  </si>
  <si>
    <t xml:space="preserve">                        BALANCE      ENERGIA      SECUNDARIA</t>
  </si>
  <si>
    <t xml:space="preserve">                    (TERACALORIAS)</t>
  </si>
  <si>
    <t>PERD Y CIERRE</t>
  </si>
  <si>
    <t xml:space="preserve"> FINAL</t>
  </si>
  <si>
    <t>CENT. DE TRANSF.</t>
  </si>
  <si>
    <t xml:space="preserve"> TOTAL</t>
  </si>
  <si>
    <t>PETROLEO COMBUSTIBLE</t>
  </si>
  <si>
    <t>DIESEL</t>
  </si>
  <si>
    <t>KEROSENE</t>
  </si>
  <si>
    <t>GAS LICUADO</t>
  </si>
  <si>
    <t>GASOLINA AVIACION</t>
  </si>
  <si>
    <t>KEROSENE AVIACION</t>
  </si>
  <si>
    <t>NAFTA</t>
  </si>
  <si>
    <t>GAS REFINERIA</t>
  </si>
  <si>
    <t>CARBON (**)</t>
  </si>
  <si>
    <t xml:space="preserve">COKE </t>
  </si>
  <si>
    <t>ALQUITRAN (***)</t>
  </si>
  <si>
    <t>GAS CORRIENTE.</t>
  </si>
  <si>
    <t>GAS ALTO HORNO</t>
  </si>
  <si>
    <t>GAS NATURAL (**)</t>
  </si>
  <si>
    <t>(**) Las Importaciones-Exportaciones se consideran en etapa de energético primario</t>
  </si>
  <si>
    <t>(*** ) Alquitrán de uso energético  (poducido en siderurgia)</t>
  </si>
  <si>
    <t xml:space="preserve">Nota 2: El Consumo Final equivale a la suma de Producción Bruta e Importaciones menos las Exportacione y Variación de Stocks </t>
  </si>
  <si>
    <t>Nota 3: El Consumo Total equivale a la suma del Consumo Final y Consumo en Centros de Transformación</t>
  </si>
  <si>
    <t>DERIVADOS PETRÓLEO</t>
  </si>
  <si>
    <t xml:space="preserve">  CONSUMO SECTORIAL</t>
  </si>
  <si>
    <t>(TERACALORIAS)</t>
  </si>
  <si>
    <t>Sector</t>
  </si>
  <si>
    <t>Consumo</t>
  </si>
  <si>
    <t xml:space="preserve">Consumo </t>
  </si>
  <si>
    <t>Transporte</t>
  </si>
  <si>
    <t>Ind. y Min.</t>
  </si>
  <si>
    <t>Com.Púb.Res.</t>
  </si>
  <si>
    <t>Final</t>
  </si>
  <si>
    <t>Cent.deTransf.</t>
  </si>
  <si>
    <t>Total</t>
  </si>
  <si>
    <t>TOTAL DERIVADOS</t>
  </si>
  <si>
    <t xml:space="preserve">     (TERACALORIAS)</t>
  </si>
  <si>
    <t xml:space="preserve">   SECTOR TRANSPORTE</t>
  </si>
  <si>
    <t>TERRESTRE</t>
  </si>
  <si>
    <t>FERROVIARIO</t>
  </si>
  <si>
    <t>MARITIMO</t>
  </si>
  <si>
    <t>AEREO</t>
  </si>
  <si>
    <t xml:space="preserve">             SECTOR INDUSTRIAL Y MINERO</t>
  </si>
  <si>
    <t>COBRE</t>
  </si>
  <si>
    <t>SALITRE</t>
  </si>
  <si>
    <t>HIERRO</t>
  </si>
  <si>
    <t xml:space="preserve">PAPEL Y </t>
  </si>
  <si>
    <t>SIDE_</t>
  </si>
  <si>
    <t>PETRO_</t>
  </si>
  <si>
    <t>CEMENTO</t>
  </si>
  <si>
    <t>AZUCAR</t>
  </si>
  <si>
    <t>PESCA</t>
  </si>
  <si>
    <t>INDUSTRIAS</t>
  </si>
  <si>
    <t>MINAS</t>
  </si>
  <si>
    <t>CELULOSA</t>
  </si>
  <si>
    <t>RURGIA</t>
  </si>
  <si>
    <t>QUIMICA</t>
  </si>
  <si>
    <t>VARIAS</t>
  </si>
  <si>
    <t>COKE</t>
  </si>
  <si>
    <t>GAS NATURAL (*)</t>
  </si>
  <si>
    <t>(*) Las Importaciones-Exportaciones se consideran en etapa de energético primario</t>
  </si>
  <si>
    <t xml:space="preserve">                                                         SECTOR COMERCIAL </t>
  </si>
  <si>
    <t>COMERCIAL</t>
  </si>
  <si>
    <t>PUBLICO</t>
  </si>
  <si>
    <t>RESIDENCIAL</t>
  </si>
  <si>
    <t>PETROLEO  COMBUSTIBLE</t>
  </si>
  <si>
    <t xml:space="preserve"> DIESEL</t>
  </si>
  <si>
    <t>CARBON   (*)</t>
  </si>
  <si>
    <t>PETROLEO Y</t>
  </si>
  <si>
    <t xml:space="preserve">CARBON </t>
  </si>
  <si>
    <t xml:space="preserve">      PRODUCCION BRUTA DERIVADOS</t>
  </si>
  <si>
    <t xml:space="preserve">     INDUSTRIALES DEL PETROLEO</t>
  </si>
  <si>
    <t xml:space="preserve">                   (TERACALORIAS)</t>
  </si>
  <si>
    <t>NO ENERGETICOS</t>
  </si>
  <si>
    <t>PROD.BRUTA</t>
  </si>
  <si>
    <t>Gasolina Blanca</t>
  </si>
  <si>
    <t>Aguarrás</t>
  </si>
  <si>
    <t>Solventes</t>
  </si>
  <si>
    <t>Fuel Fondo Vacío</t>
  </si>
  <si>
    <t>Asfalto</t>
  </si>
  <si>
    <t>Etileno</t>
  </si>
  <si>
    <t>Gas Oil</t>
  </si>
  <si>
    <t xml:space="preserve">                                             BALANCE DE ENERGIA PRIMARIA</t>
  </si>
  <si>
    <t xml:space="preserve">                                                       (Unidades Físicas)</t>
  </si>
  <si>
    <t xml:space="preserve">V. STOCK + </t>
  </si>
  <si>
    <t>PERD.Y CIERRE</t>
  </si>
  <si>
    <t>a) Producción Bruta : Isla+ Continente + Costa afuera</t>
  </si>
  <si>
    <t>Isla                =</t>
  </si>
  <si>
    <t>Continente      =</t>
  </si>
  <si>
    <t>Costa Afuera =</t>
  </si>
  <si>
    <t>b) Producción Bruta : (Prod. Total - Reinyecciones)</t>
  </si>
  <si>
    <t>Prod. Total     =</t>
  </si>
  <si>
    <t>Reinyecciones =</t>
  </si>
  <si>
    <t>Gas lift           =</t>
  </si>
  <si>
    <t>Gas Quemado  =</t>
  </si>
  <si>
    <t>d) Ventas Tot. y Consumos Propios Enap</t>
  </si>
  <si>
    <t>Ventas           =</t>
  </si>
  <si>
    <t>Cons. Propios  =</t>
  </si>
  <si>
    <t>e) : (Diferencia Gas Primario y Secundario )              =</t>
  </si>
  <si>
    <t>Gas Absorvido =</t>
  </si>
  <si>
    <t>Metalúrgico    =</t>
  </si>
  <si>
    <t xml:space="preserve">Térmico = </t>
  </si>
  <si>
    <t xml:space="preserve">         DERIVADOS DEL GAS NATURAL</t>
  </si>
  <si>
    <t xml:space="preserve">                                  (Miles m3)</t>
  </si>
  <si>
    <t xml:space="preserve">PRODUCCION GASOLINA NATURAL </t>
  </si>
  <si>
    <t>c) Var. Stock = Gas Lift + Gas Quemado</t>
  </si>
  <si>
    <t>BALANCE      ENERGIA      SECUNDARIA</t>
  </si>
  <si>
    <t xml:space="preserve">             (UNIDADES FISICAS)</t>
  </si>
  <si>
    <t>V. STOCK</t>
  </si>
  <si>
    <t>PERD.CIERRE</t>
  </si>
  <si>
    <t>FINAL</t>
  </si>
  <si>
    <t>(Miles m3)</t>
  </si>
  <si>
    <t>(Miles Ton)</t>
  </si>
  <si>
    <t>(Millones m3)</t>
  </si>
  <si>
    <t>(GWh)</t>
  </si>
  <si>
    <t>ALQUITRAN</t>
  </si>
  <si>
    <t>Mil Ton.</t>
  </si>
  <si>
    <t xml:space="preserve">                  Fuel 5</t>
  </si>
  <si>
    <t xml:space="preserve">                  Fuel 6</t>
  </si>
  <si>
    <t>Millón m3</t>
  </si>
  <si>
    <t>GWh</t>
  </si>
  <si>
    <t>(UNIDADES FISICAS)</t>
  </si>
  <si>
    <t>GAS 93 S/P</t>
  </si>
  <si>
    <t xml:space="preserve">GAS NATURAL </t>
  </si>
  <si>
    <t xml:space="preserve">  </t>
  </si>
  <si>
    <t xml:space="preserve"> (Unidades Físicas)</t>
  </si>
  <si>
    <t>PETROLEOS  COMBUSTIBLE</t>
  </si>
  <si>
    <t>GASOLINA  AVIACION</t>
  </si>
  <si>
    <t xml:space="preserve">                            (UNIDADES FISICAS)</t>
  </si>
  <si>
    <t xml:space="preserve">                       SECTOR INDUSTRIAL Y MINERO</t>
  </si>
  <si>
    <t>DURGIA</t>
  </si>
  <si>
    <t xml:space="preserve"> SECTOR CENTROS DE TRANSFORMACION</t>
  </si>
  <si>
    <t>(Miles ton.)</t>
  </si>
  <si>
    <t>GAS REFINERÍA</t>
  </si>
  <si>
    <t>(Mill. m3)</t>
  </si>
  <si>
    <t xml:space="preserve">  PRODUCCION BRUTA DERIVADOS</t>
  </si>
  <si>
    <t xml:space="preserve">   INDUSTRIALES DEL PETROLEO</t>
  </si>
  <si>
    <t xml:space="preserve">                       (Miles m3)</t>
  </si>
  <si>
    <t>Consumo Sectorial de Productos Secundarios</t>
  </si>
  <si>
    <t>Petróleo</t>
  </si>
  <si>
    <t>Petróleos</t>
  </si>
  <si>
    <t>Gasolina</t>
  </si>
  <si>
    <t>Kerosene</t>
  </si>
  <si>
    <t>Gas</t>
  </si>
  <si>
    <t>Nafta</t>
  </si>
  <si>
    <t>Gas de</t>
  </si>
  <si>
    <t>Total Derivados</t>
  </si>
  <si>
    <t>Electrici_</t>
  </si>
  <si>
    <t>Carbón</t>
  </si>
  <si>
    <t>Meta_</t>
  </si>
  <si>
    <t>Biogás</t>
  </si>
  <si>
    <t>Leña y</t>
  </si>
  <si>
    <t>SECTOR</t>
  </si>
  <si>
    <t>Diesel</t>
  </si>
  <si>
    <t>Combustibles</t>
  </si>
  <si>
    <t>Licuado</t>
  </si>
  <si>
    <t>Aviación</t>
  </si>
  <si>
    <t>Refinería</t>
  </si>
  <si>
    <t>Petróleo,Gas</t>
  </si>
  <si>
    <t>dad</t>
  </si>
  <si>
    <t>Alquitrán</t>
  </si>
  <si>
    <t>Corriente</t>
  </si>
  <si>
    <t>Altos Hornos</t>
  </si>
  <si>
    <t>Natural</t>
  </si>
  <si>
    <t>nol</t>
  </si>
  <si>
    <t>Otros</t>
  </si>
  <si>
    <t>Energéticos</t>
  </si>
  <si>
    <t>Transporte             :</t>
  </si>
  <si>
    <t>Caminero</t>
  </si>
  <si>
    <t>-</t>
  </si>
  <si>
    <t>Ferroviario</t>
  </si>
  <si>
    <t>Marítimo</t>
  </si>
  <si>
    <t>Aéreo</t>
  </si>
  <si>
    <t>Total en Transporte</t>
  </si>
  <si>
    <t>Industrial               :</t>
  </si>
  <si>
    <t>Cobre</t>
  </si>
  <si>
    <t>y Minero</t>
  </si>
  <si>
    <t>Salitre</t>
  </si>
  <si>
    <t>Hierro</t>
  </si>
  <si>
    <t>Papel y Celulosa</t>
  </si>
  <si>
    <t>Siderurgia</t>
  </si>
  <si>
    <t>Petroquímica</t>
  </si>
  <si>
    <t>Cemento</t>
  </si>
  <si>
    <t>Azúcar</t>
  </si>
  <si>
    <t>Pesca</t>
  </si>
  <si>
    <t>Industrias Varias</t>
  </si>
  <si>
    <t>Minas Varias</t>
  </si>
  <si>
    <t>Total Industrial y Minero</t>
  </si>
  <si>
    <t>Comercial, Público :</t>
  </si>
  <si>
    <t>Zona Carbonífera</t>
  </si>
  <si>
    <t>y Residencial</t>
  </si>
  <si>
    <t>Comercial</t>
  </si>
  <si>
    <t>Público</t>
  </si>
  <si>
    <t>Residencial</t>
  </si>
  <si>
    <t>Total Comercial Público, Residencial</t>
  </si>
  <si>
    <t>Consumo Final</t>
  </si>
  <si>
    <t>Centros  de               :</t>
  </si>
  <si>
    <t>Electricidad: Autoproductores</t>
  </si>
  <si>
    <t>Gas,Coke: GasCorriente</t>
  </si>
  <si>
    <t>Petróleo, Gas Natural</t>
  </si>
  <si>
    <t>Carbón y Leña</t>
  </si>
  <si>
    <t>Gas Natural-Metanol</t>
  </si>
  <si>
    <t>Total en Centros de Transformación</t>
  </si>
  <si>
    <t>Consumo Total</t>
  </si>
  <si>
    <t>Coke</t>
  </si>
  <si>
    <t>Metanol</t>
  </si>
  <si>
    <t>Miles</t>
  </si>
  <si>
    <t>Alto Horno</t>
  </si>
  <si>
    <t xml:space="preserve">Mill. </t>
  </si>
  <si>
    <t>Miles m3</t>
  </si>
  <si>
    <t>Miles Ton.</t>
  </si>
  <si>
    <t xml:space="preserve"> m3</t>
  </si>
  <si>
    <t>Mill. m3</t>
  </si>
  <si>
    <t>Ton.</t>
  </si>
  <si>
    <t xml:space="preserve"> Ton.</t>
  </si>
  <si>
    <t xml:space="preserve">               : Siderurgia</t>
  </si>
  <si>
    <t xml:space="preserve">                 : Servicio Público</t>
  </si>
  <si>
    <t xml:space="preserve"> </t>
  </si>
  <si>
    <t xml:space="preserve">       </t>
  </si>
  <si>
    <t>O L A D E</t>
  </si>
  <si>
    <t xml:space="preserve">     Unidad de medida :</t>
  </si>
  <si>
    <t>Tcal</t>
  </si>
  <si>
    <t>Energia Primaria</t>
  </si>
  <si>
    <t xml:space="preserve">   Energia Secundaria</t>
  </si>
  <si>
    <t>A Ñ O :</t>
  </si>
  <si>
    <t xml:space="preserve">   GAS</t>
  </si>
  <si>
    <t xml:space="preserve"> HIDRO</t>
  </si>
  <si>
    <t>GEO</t>
  </si>
  <si>
    <t xml:space="preserve">  LEÑA</t>
  </si>
  <si>
    <t>PROD</t>
  </si>
  <si>
    <t xml:space="preserve"> OTRAS</t>
  </si>
  <si>
    <t xml:space="preserve">  TOTAL</t>
  </si>
  <si>
    <t xml:space="preserve">  ELEC</t>
  </si>
  <si>
    <t>GASOLI</t>
  </si>
  <si>
    <t xml:space="preserve">  KERO</t>
  </si>
  <si>
    <t xml:space="preserve">  FUEL</t>
  </si>
  <si>
    <t>COQUE</t>
  </si>
  <si>
    <t xml:space="preserve"> GASES</t>
  </si>
  <si>
    <t xml:space="preserve">    NO </t>
  </si>
  <si>
    <t xml:space="preserve">   LEO</t>
  </si>
  <si>
    <t xml:space="preserve">    DE</t>
  </si>
  <si>
    <t xml:space="preserve"> NA/AL</t>
  </si>
  <si>
    <t xml:space="preserve">  SENE</t>
  </si>
  <si>
    <t xml:space="preserve">   OIL</t>
  </si>
  <si>
    <t>VEGETAL</t>
  </si>
  <si>
    <t>ENERGE</t>
  </si>
  <si>
    <t xml:space="preserve">  SECUN</t>
  </si>
  <si>
    <t xml:space="preserve"> CAÑA</t>
  </si>
  <si>
    <t xml:space="preserve"> COHOL</t>
  </si>
  <si>
    <t xml:space="preserve"> TURBO</t>
  </si>
  <si>
    <t xml:space="preserve"> TICOS</t>
  </si>
  <si>
    <t>T</t>
  </si>
  <si>
    <t>VARIACION INVENTARIO</t>
  </si>
  <si>
    <t>NO APROVECHADO</t>
  </si>
  <si>
    <t>OFERTA TOTAL</t>
  </si>
  <si>
    <t>REFINERIA</t>
  </si>
  <si>
    <t>CENTRALES ELECTRICAS</t>
  </si>
  <si>
    <t>AUTOPRODUCTORES</t>
  </si>
  <si>
    <t>CENTRO DE GAS</t>
  </si>
  <si>
    <t>CARBONERA</t>
  </si>
  <si>
    <t>COQUERIA/ALTO HORNO</t>
  </si>
  <si>
    <t>M</t>
  </si>
  <si>
    <t>DESTILERIA</t>
  </si>
  <si>
    <t>OTROS CENTROS</t>
  </si>
  <si>
    <t>TOTAL TRANSFORMACION</t>
  </si>
  <si>
    <t>CONSUMO PROPIO</t>
  </si>
  <si>
    <t>PERDIDAS(TR,AL,DI)</t>
  </si>
  <si>
    <t>AJUSTE</t>
  </si>
  <si>
    <t>TRANSPORTE</t>
  </si>
  <si>
    <t>INDUSTRIAL</t>
  </si>
  <si>
    <t>COMERCIAL,PUB,SERV.</t>
  </si>
  <si>
    <t>AGRO,PESCA,MINERIA</t>
  </si>
  <si>
    <t>CONSTRUCCION Y OTROS</t>
  </si>
  <si>
    <t>CONSUMO ENERGETICO</t>
  </si>
  <si>
    <t>CONS NO ENERGETICO</t>
  </si>
  <si>
    <t xml:space="preserve">CONSUMO FINAL </t>
  </si>
  <si>
    <t xml:space="preserve">  BALANCE DE ENERGIA ELECTRICA</t>
  </si>
  <si>
    <t>Porcentajes</t>
  </si>
  <si>
    <t>cr/Total</t>
  </si>
  <si>
    <t>cr/SubTotal</t>
  </si>
  <si>
    <t>POTENCIA ELECTRICA INSTALADA(***)</t>
  </si>
  <si>
    <t>(Miles de KW)</t>
  </si>
  <si>
    <t>Termoeléctrica</t>
  </si>
  <si>
    <t>Autoproductores</t>
  </si>
  <si>
    <t>Servicios Públicos</t>
  </si>
  <si>
    <t>Hidroeléctrica</t>
  </si>
  <si>
    <t>GENERACION DE ENERGIA (**)</t>
  </si>
  <si>
    <t>(Millones de KWh)</t>
  </si>
  <si>
    <t xml:space="preserve">SEGUN FUENTES </t>
  </si>
  <si>
    <t>(Teracalorías)</t>
  </si>
  <si>
    <t>Electricidad (*)</t>
  </si>
  <si>
    <t>Carbón, Coke y Alquitrán</t>
  </si>
  <si>
    <t>Derivados de Petróleo y de Gas Natural</t>
  </si>
  <si>
    <t>Gas(Natural,Corriente,Alto Horno,Metanol)</t>
  </si>
  <si>
    <t>Leña y otros</t>
  </si>
  <si>
    <t>CONSUMO ELECTRICO INDUSTRIAL</t>
  </si>
  <si>
    <t>Y MINERO SEGUN ACTIVIDAD</t>
  </si>
  <si>
    <t>Azucar</t>
  </si>
  <si>
    <t>CONSUMO BRUTO DE ENERGIA</t>
  </si>
  <si>
    <t>(KWh/Año)</t>
  </si>
  <si>
    <t>(*) Equivalente calórico de la electricidad : 860 Kcal/KWh</t>
  </si>
  <si>
    <t>(***) Incluye Capacidad Instalada de Gener en Salta (642.8 MW)</t>
  </si>
  <si>
    <t>Fuente</t>
  </si>
  <si>
    <t xml:space="preserve">(3) Información proporcionada a la CNE por empresas generadoras </t>
  </si>
  <si>
    <t>ELECTRICA POR HABITANTE  (*****)</t>
  </si>
  <si>
    <t>CAPACIDAD NACIONAL INSTALADA POR SISTEMA</t>
  </si>
  <si>
    <t>INTERCONECTADO EN MW.</t>
  </si>
  <si>
    <t>SING</t>
  </si>
  <si>
    <t>SIC</t>
  </si>
  <si>
    <t>SISTEMA</t>
  </si>
  <si>
    <t>TOTAL PAIS</t>
  </si>
  <si>
    <t>AYSEN (****)</t>
  </si>
  <si>
    <t>MAGALLANES</t>
  </si>
  <si>
    <t>SISTEMAS</t>
  </si>
  <si>
    <t>N/D</t>
  </si>
  <si>
    <t>%TÉRMICA</t>
  </si>
  <si>
    <t>%HIDRO</t>
  </si>
  <si>
    <t>0.0%</t>
  </si>
  <si>
    <t>%térmica</t>
  </si>
  <si>
    <t>%hidro</t>
  </si>
  <si>
    <t>%térmico</t>
  </si>
  <si>
    <t xml:space="preserve">GENERACION BRUTA NACIONAL POR SISTEMA </t>
  </si>
  <si>
    <t>INTERCONECTADO EN GWh</t>
  </si>
  <si>
    <t>AÑO</t>
  </si>
  <si>
    <t xml:space="preserve">SISTEMA </t>
  </si>
  <si>
    <t>TIPO</t>
  </si>
  <si>
    <t>AYSEN</t>
  </si>
  <si>
    <t>Fuente:</t>
  </si>
  <si>
    <t>(3) Información proporcionada a la CNE por empresas generadoras</t>
  </si>
  <si>
    <t>Petróleo Crudo</t>
  </si>
  <si>
    <t>Electricidad</t>
  </si>
  <si>
    <t>Consumo Sectorial</t>
  </si>
  <si>
    <t xml:space="preserve"> Teracalorías </t>
  </si>
  <si>
    <t>Sectores</t>
  </si>
  <si>
    <t>Industrial y Minero</t>
  </si>
  <si>
    <t>Comercial Público Residencial</t>
  </si>
  <si>
    <t>Considera electricidad con equivalente calórico de 860 Kcal/KWh.</t>
  </si>
  <si>
    <t>Dependencia Energética</t>
  </si>
  <si>
    <t xml:space="preserve"> Teracalorías</t>
  </si>
  <si>
    <t>Origen</t>
  </si>
  <si>
    <t>Gas Natural</t>
  </si>
  <si>
    <t xml:space="preserve">Capacidad </t>
  </si>
  <si>
    <t>[MW]</t>
  </si>
  <si>
    <t>Generación</t>
  </si>
  <si>
    <t>[GWh]</t>
  </si>
  <si>
    <t>Servicio Público</t>
  </si>
  <si>
    <t>Sistema</t>
  </si>
  <si>
    <t>Potencia Bruta</t>
  </si>
  <si>
    <t>Interconectado</t>
  </si>
  <si>
    <t>Instalada [MW]</t>
  </si>
  <si>
    <t>Instalada [%]</t>
  </si>
  <si>
    <t>Bruta        [GWh]</t>
  </si>
  <si>
    <t>Bruta         [%]</t>
  </si>
  <si>
    <t>Generación Eléctrica Nacional Por Tipo de Planta</t>
  </si>
  <si>
    <t>Planta</t>
  </si>
  <si>
    <t>Hidraulica</t>
  </si>
  <si>
    <t>Gas Natural (*)</t>
  </si>
  <si>
    <t>Diesel Fuel Oil</t>
  </si>
  <si>
    <t>(*) Incluye Importaciónes de AES Gener desde Salta, Argentina</t>
  </si>
  <si>
    <t>Capacidad Instalada Nacional Por Tipo de Planta</t>
  </si>
  <si>
    <t>MW</t>
  </si>
  <si>
    <t>La fuente de información sobre Capacidades Instaladas y Generación son los CDEC y empresas generadoras</t>
  </si>
  <si>
    <t>Coal</t>
  </si>
  <si>
    <t>Crude</t>
  </si>
  <si>
    <t>Petrole.</t>
  </si>
  <si>
    <t xml:space="preserve">Town </t>
  </si>
  <si>
    <t>Hydro</t>
  </si>
  <si>
    <t>Nuclear</t>
  </si>
  <si>
    <t>Geother</t>
  </si>
  <si>
    <t>Electricity</t>
  </si>
  <si>
    <t>Heat</t>
  </si>
  <si>
    <t>Product</t>
  </si>
  <si>
    <t>Oil</t>
  </si>
  <si>
    <t>Products</t>
  </si>
  <si>
    <t>Nat.</t>
  </si>
  <si>
    <t>Solar, etc</t>
  </si>
  <si>
    <t>1.- Indigenous Production</t>
  </si>
  <si>
    <t>2.- Import</t>
  </si>
  <si>
    <t>3.- Export</t>
  </si>
  <si>
    <t>4.- International Marine Bunkers</t>
  </si>
  <si>
    <t>5.- Stock Changes</t>
  </si>
  <si>
    <t>6.- Total Primary Energy Supply</t>
  </si>
  <si>
    <t>7.- Public Electricity</t>
  </si>
  <si>
    <t>8.- Autoprod. of Electricity</t>
  </si>
  <si>
    <t>9.- Gas Procesing</t>
  </si>
  <si>
    <t>10.- Petroleum Refineries</t>
  </si>
  <si>
    <t>11.- Coal Transformation</t>
  </si>
  <si>
    <t>12.- Loss &amp; Own Use</t>
  </si>
  <si>
    <t>15.- Industry Sector</t>
  </si>
  <si>
    <t>16.- Transport Sector</t>
  </si>
  <si>
    <t>17.- Other Sector (Mining)</t>
  </si>
  <si>
    <t>18.- Agriculture</t>
  </si>
  <si>
    <t>19.- Residential &amp; Commercial</t>
  </si>
  <si>
    <t>21.- Non-Energy</t>
  </si>
  <si>
    <t>Others</t>
  </si>
  <si>
    <t>14.- Total Transformation Energy</t>
  </si>
  <si>
    <t>22.- Total Final Energy</t>
  </si>
  <si>
    <t>23.- Total Energy</t>
  </si>
  <si>
    <t>Total Secundary Energy</t>
  </si>
  <si>
    <t>Notes:</t>
  </si>
  <si>
    <t>Others:  High Furnance gas (gas de altos hornos)+ methanol (metanol)</t>
  </si>
  <si>
    <t xml:space="preserve">13.- Discrepancy </t>
  </si>
  <si>
    <t>The Gap in Natural Gas is the absorved gas</t>
  </si>
  <si>
    <t>The Gap in Petrole Productos is the non energy products</t>
  </si>
  <si>
    <t>Coal Products: coke + alquitran</t>
  </si>
  <si>
    <t>(*) This result does not consider Crude oil neither non - energy</t>
  </si>
  <si>
    <t>(*)</t>
  </si>
  <si>
    <t>APEC  BALANCE</t>
  </si>
  <si>
    <t>TCAL</t>
  </si>
  <si>
    <t>TERMIA</t>
  </si>
  <si>
    <t>NUCLEAR</t>
  </si>
  <si>
    <t xml:space="preserve">             OFERTA</t>
  </si>
  <si>
    <t xml:space="preserve">                   TRANSFORMACIÓN</t>
  </si>
  <si>
    <t xml:space="preserve">                     CONSUMO   FINAL</t>
  </si>
  <si>
    <t xml:space="preserve"> PETRO</t>
  </si>
  <si>
    <t xml:space="preserve">  NATUTAL</t>
  </si>
  <si>
    <t xml:space="preserve">  MINERAL</t>
  </si>
  <si>
    <t xml:space="preserve">  ENERGIA</t>
  </si>
  <si>
    <t xml:space="preserve">  PRIMARIA</t>
  </si>
  <si>
    <t xml:space="preserve"> TRICIDAD</t>
  </si>
  <si>
    <t xml:space="preserve"> LICUADO</t>
  </si>
  <si>
    <t>CONSUMO TOTAL</t>
  </si>
  <si>
    <t>Notas:</t>
  </si>
  <si>
    <t>(1) Gasolina/Alcohol = gas93SP + gas93CP + gasolina aviación</t>
  </si>
  <si>
    <t>(2) Kerosene Turbo = Kerosene + Kerosene aviación</t>
  </si>
  <si>
    <t>(3) Gases = Gas de refinería + Gas corriente + Gas Alto Horno</t>
  </si>
  <si>
    <t>(4) Otros = Nafta + Metanol + Alquitran</t>
  </si>
  <si>
    <t>(5) El consumo total de energía primaria de cuadro 3, equivale a la oferta total del Total Primario de este cuadro.</t>
  </si>
  <si>
    <t>M E R C O S U R</t>
  </si>
  <si>
    <t xml:space="preserve">         INTRA MERCOSUR</t>
  </si>
  <si>
    <t xml:space="preserve">         EXTRA MERCOSUR</t>
  </si>
  <si>
    <t xml:space="preserve">         Hidroeléctrica</t>
  </si>
  <si>
    <t xml:space="preserve">         Térmica</t>
  </si>
  <si>
    <t xml:space="preserve">                                 OFERTA</t>
  </si>
  <si>
    <t xml:space="preserve">                               TRANSFORMACIÓN</t>
  </si>
  <si>
    <t>descontando los no energéticos</t>
  </si>
  <si>
    <t xml:space="preserve">(6) El consumo de energia Total total secundaria de cuadro 4, equivale al consumo total de este cuadro </t>
  </si>
  <si>
    <t>BALANCE NACIONAL</t>
  </si>
  <si>
    <t>DE ENERGÍA</t>
  </si>
  <si>
    <t>Santiago - Chile</t>
  </si>
  <si>
    <t xml:space="preserve">                  CONSUMO SECTORIAL</t>
  </si>
  <si>
    <t xml:space="preserve">               (TERACALORIAS)</t>
  </si>
  <si>
    <t xml:space="preserve">                 SECTOR CENTROS DE TRANSFORMACION</t>
  </si>
  <si>
    <t xml:space="preserve">                                            VARIACION CONSUMO BRUTO ENERGIA PRIMARIA</t>
  </si>
  <si>
    <t xml:space="preserve">                                         (TERACALORIAS)</t>
  </si>
  <si>
    <t xml:space="preserve"> CONSUMO SECTORIAL</t>
  </si>
  <si>
    <t xml:space="preserve">                         (TERACALORIAS)</t>
  </si>
  <si>
    <t>SECTOR TRANSPORTE</t>
  </si>
  <si>
    <t xml:space="preserve">                                                           (UNIDADES FISICAS)</t>
  </si>
  <si>
    <t xml:space="preserve">          (Unidades Físicas)</t>
  </si>
  <si>
    <t xml:space="preserve">DENSIDADES Y PODERES CALORIFICOS </t>
  </si>
  <si>
    <t>UTILIZADOS EN EL BALANCE</t>
  </si>
  <si>
    <t>PRODUCTO</t>
  </si>
  <si>
    <t>DENSIDAD</t>
  </si>
  <si>
    <t>PODER CALORIF.</t>
  </si>
  <si>
    <t>Ton/m3</t>
  </si>
  <si>
    <t>KCal/Kg</t>
  </si>
  <si>
    <t>PETR. CRUDO NACIONAL</t>
  </si>
  <si>
    <t>PETR. CRUDO  IMPORTADO</t>
  </si>
  <si>
    <t>PETR. COMBUSTIBLE 5</t>
  </si>
  <si>
    <t>PETR. COMBUSTIBLE IFO 180</t>
  </si>
  <si>
    <t>PETR. COMBUSTIBLE  6</t>
  </si>
  <si>
    <t>GASOLINA  AUTOMOVILES</t>
  </si>
  <si>
    <t>GAS NATURAL PROCESADO</t>
  </si>
  <si>
    <t xml:space="preserve">  (**)</t>
  </si>
  <si>
    <t>GAS DE REFINERIA</t>
  </si>
  <si>
    <t xml:space="preserve"> (***)</t>
  </si>
  <si>
    <t>(****)(1)</t>
  </si>
  <si>
    <t>(*)     Promedio Isla, Continente y Costa Afuera</t>
  </si>
  <si>
    <t>(**)    KCal/m3</t>
  </si>
  <si>
    <t>(***)   KCal/m3</t>
  </si>
  <si>
    <t>(****)  KCal/KWh (Equivelente Calórico Teórico Internacional)</t>
  </si>
  <si>
    <t>(1) Equivalente Calórico práctico para Chile 2.750 KCal/KWh hasta 1997</t>
  </si>
  <si>
    <t>(1) Equivalente Calórico práctico para Chile 2.504 KCal/KWh desde 1998</t>
  </si>
  <si>
    <t>TABLA DE CONVERSION UNIDADES ENERGETICAS</t>
  </si>
  <si>
    <t xml:space="preserve">     INTERNACIONALES   (OLADE)</t>
  </si>
  <si>
    <t xml:space="preserve"> (*)</t>
  </si>
  <si>
    <t>BEEP</t>
  </si>
  <si>
    <t>TEP</t>
  </si>
  <si>
    <t>TJOULE</t>
  </si>
  <si>
    <t>10E+3BTU</t>
  </si>
  <si>
    <t>MWH</t>
  </si>
  <si>
    <t>KGGLP</t>
  </si>
  <si>
    <t xml:space="preserve">   M3 GAS NAT.</t>
  </si>
  <si>
    <t>PIE3 GAS NAT.</t>
  </si>
  <si>
    <t>M3 GAS NAT.</t>
  </si>
  <si>
    <t>(Nota: E + x = 10 elevado a x )</t>
  </si>
  <si>
    <t xml:space="preserve">                          ABREVIATURAS</t>
  </si>
  <si>
    <t>EQUIVAL.  OLADE</t>
  </si>
  <si>
    <t>EQUIVAL. BALANCE NACIONAL</t>
  </si>
  <si>
    <t>EQUIVALENCIA</t>
  </si>
  <si>
    <t>SIMBOLO</t>
  </si>
  <si>
    <t>1BBL GLP</t>
  </si>
  <si>
    <t>0,670BEP</t>
  </si>
  <si>
    <t>1Bpe</t>
  </si>
  <si>
    <t xml:space="preserve">         1,05 BEEP</t>
  </si>
  <si>
    <t>BARRIL EQUIVAL.  PETROLEO</t>
  </si>
  <si>
    <t>1BBL</t>
  </si>
  <si>
    <t>0,15893M3</t>
  </si>
  <si>
    <t>1 m3 gas nat.          1,13 M3 GAS NAT</t>
  </si>
  <si>
    <t>TON. EQUIV. PETROLEO</t>
  </si>
  <si>
    <t>1M3 GLP</t>
  </si>
  <si>
    <t>552,4 KG</t>
  </si>
  <si>
    <t>(Bpe = Barril de Petroleo Equivalente, Balance)</t>
  </si>
  <si>
    <t>BARRILES</t>
  </si>
  <si>
    <t>BBL</t>
  </si>
  <si>
    <t>1PIE3</t>
  </si>
  <si>
    <t>0,028317 M3</t>
  </si>
  <si>
    <t>METROS CUBICOS</t>
  </si>
  <si>
    <t>M3</t>
  </si>
  <si>
    <t>TERACALORIAS</t>
  </si>
  <si>
    <t>MULTIPLOS</t>
  </si>
  <si>
    <t>TONELADAS METRICAS</t>
  </si>
  <si>
    <t>TON</t>
  </si>
  <si>
    <t>PREFIJO</t>
  </si>
  <si>
    <t>FACTOR</t>
  </si>
  <si>
    <t>GIGAWATTS</t>
  </si>
  <si>
    <t>GW</t>
  </si>
  <si>
    <t>K</t>
  </si>
  <si>
    <t>KILO</t>
  </si>
  <si>
    <t>TERAWATTS-HORA</t>
  </si>
  <si>
    <t>TWH</t>
  </si>
  <si>
    <t>MEGA</t>
  </si>
  <si>
    <t>GIGAWATTS-HORA</t>
  </si>
  <si>
    <t>GWH</t>
  </si>
  <si>
    <t>G</t>
  </si>
  <si>
    <t>GIGA</t>
  </si>
  <si>
    <t>KILOWATTS-HORA</t>
  </si>
  <si>
    <t>KWH</t>
  </si>
  <si>
    <t>TERA</t>
  </si>
  <si>
    <t>MEGAWATTS-HORA</t>
  </si>
  <si>
    <t>P</t>
  </si>
  <si>
    <t>PETA</t>
  </si>
  <si>
    <t xml:space="preserve">(*) PARA OBTENER EQUIVALENCIAS INTERNACIONALES, SE DEBEN TENER EN CUENTA LAS EQUIVALENCIAS DEL BALANCE NACIONAL DE ENERGIA , PRINCIPALMENTE </t>
  </si>
  <si>
    <t xml:space="preserve"> RESPECTO A PODERES CALORIFICOS Y DENSIDADES</t>
  </si>
  <si>
    <t>fuente de la Cámara de Comercio de Santiago.</t>
  </si>
  <si>
    <t xml:space="preserve">(7) Porcentajes de exportaciones/importaciones dentro o fuera del Mercosur, se obtuvieron con </t>
  </si>
  <si>
    <t>CUADRO1</t>
  </si>
  <si>
    <t>CUADRO2</t>
  </si>
  <si>
    <t>INDICE</t>
  </si>
  <si>
    <t>VOLVER A INDICE</t>
  </si>
  <si>
    <t>CUADRO3</t>
  </si>
  <si>
    <t>A. Balance Calórico (Teracalorías)</t>
  </si>
  <si>
    <t>CUADRO4</t>
  </si>
  <si>
    <t>CUADRO5</t>
  </si>
  <si>
    <t>CUADRO6</t>
  </si>
  <si>
    <t>CUADRO7</t>
  </si>
  <si>
    <t>CUADRO8</t>
  </si>
  <si>
    <t>CUADRO9</t>
  </si>
  <si>
    <t>CUADRO10</t>
  </si>
  <si>
    <t>B. Balance Físico (Unidades Físicas)</t>
  </si>
  <si>
    <t>CUADRO11</t>
  </si>
  <si>
    <t>CUADRO12</t>
  </si>
  <si>
    <t>CUADRO13</t>
  </si>
  <si>
    <t>CUADRO14</t>
  </si>
  <si>
    <t>CUADRO15</t>
  </si>
  <si>
    <t>CUADRO16</t>
  </si>
  <si>
    <t>CUADRO17</t>
  </si>
  <si>
    <t>CUADRO18</t>
  </si>
  <si>
    <t>C. Evolución Energía</t>
  </si>
  <si>
    <t>1. Evolución Energía Primaria, Secundaria y  Consumo Sectorial.</t>
  </si>
  <si>
    <t>CUADRO19</t>
  </si>
  <si>
    <t>CUADRO20</t>
  </si>
  <si>
    <t xml:space="preserve">    de planta.</t>
  </si>
  <si>
    <t xml:space="preserve">   Evolución Generación y Capacidades Eléctricas, por tipo</t>
  </si>
  <si>
    <t>1. Balance Eléctrico</t>
  </si>
  <si>
    <t>BALANCE_ELECT</t>
  </si>
  <si>
    <t>2. Evolución Capacidades Eléctricas.</t>
  </si>
  <si>
    <t>CAPACIDADES</t>
  </si>
  <si>
    <t>3. Evolución Generaciones Eléctricas.</t>
  </si>
  <si>
    <t>GENERACION EE</t>
  </si>
  <si>
    <t>4. Cuadro Densidades y Poderes Caloríficos usados.</t>
  </si>
  <si>
    <t>CUADROA2</t>
  </si>
  <si>
    <t>5. Cuadro Factores Internacionales de Conversión</t>
  </si>
  <si>
    <t>CUADROA3</t>
  </si>
  <si>
    <t>1. Variación Consumo Bruto Energía Primaria.</t>
  </si>
  <si>
    <t>2. Variación Consumo Total de Energía Secundaria.</t>
  </si>
  <si>
    <t>1. Balance de Energía Primaria.</t>
  </si>
  <si>
    <t>2. Balance Energía Secundaria.</t>
  </si>
  <si>
    <t>3. Distribución Consumo Total.</t>
  </si>
  <si>
    <t>4. Distribución Consumo Sector Transporte.</t>
  </si>
  <si>
    <t>5. Distribución Consumo Sector Industrial y Minero.</t>
  </si>
  <si>
    <t>6.  Distribución Consumo sector Residencial.</t>
  </si>
  <si>
    <t xml:space="preserve">PRODUCCION GAS LICUADO                </t>
  </si>
  <si>
    <t xml:space="preserve">(6) El consumo de energia  total secundaria de cuadro 4, equivale al consumo total de este cuadro </t>
  </si>
  <si>
    <t>Transformación</t>
  </si>
  <si>
    <t xml:space="preserve"> Sector Energético</t>
  </si>
  <si>
    <t>Total Consumo propio sector Energético</t>
  </si>
  <si>
    <t xml:space="preserve">Sector </t>
  </si>
  <si>
    <t>Energético</t>
  </si>
  <si>
    <t xml:space="preserve">                 SECTOR ENERGÉTICO</t>
  </si>
  <si>
    <t>GAS DE ALTOS HORNOS</t>
  </si>
  <si>
    <t xml:space="preserve"> SECTOR ENERGÉTICO</t>
  </si>
  <si>
    <t>7. Distribución Consumo del Sector Energético</t>
  </si>
  <si>
    <t>8. Distribución en Centros de Transformación.</t>
  </si>
  <si>
    <t>9. Producción bruta derivados del petróleo.</t>
  </si>
  <si>
    <t>CUADRO21</t>
  </si>
  <si>
    <t>CUADRO22</t>
  </si>
  <si>
    <t>Nota 4: El Consumo Total equivale a la suma del Consumo Final y Consumo en Centros de Transformación</t>
  </si>
  <si>
    <t>Nota 2: Com.Pub.Res. corresponde al sector Comercial, Público y Residencial.</t>
  </si>
  <si>
    <t xml:space="preserve">Nota 3: El Consumo Final equivale a la suma de los sectores: Transporte, Industrial y Minero, Com.Pub.Res. y Energético </t>
  </si>
  <si>
    <t xml:space="preserve">                                                                  SECTOR COMERCIAL,</t>
  </si>
  <si>
    <t xml:space="preserve"> PUBLICO Y RESIDENCIAL (CPR)</t>
  </si>
  <si>
    <t xml:space="preserve">      VARIACION CONSUMO FINAL ENERGIA SECUNDARIA</t>
  </si>
  <si>
    <t>20.- Other: Energy sector</t>
  </si>
  <si>
    <t>Heat is  wood and wood waste</t>
  </si>
  <si>
    <t>Hydro is included in Electricity</t>
  </si>
  <si>
    <t xml:space="preserve">  DARIA '</t>
  </si>
  <si>
    <t xml:space="preserve">  DARIA'</t>
  </si>
  <si>
    <t>Energy Balance Table of Chile 2004</t>
  </si>
  <si>
    <t>(1) Incluye a Generadoras de Servicio Público y Auto Generadoras</t>
  </si>
  <si>
    <t>(2) Incluye a la Siderurgia y a Plantas de Gas Corriente</t>
  </si>
  <si>
    <t>(3) Incluye el consumo de carboneras.</t>
  </si>
  <si>
    <t>(4) Planta  elaboradora de Metanol</t>
  </si>
  <si>
    <t>ELECTRICIDAD (1)</t>
  </si>
  <si>
    <t>GAS Y COKE (2)</t>
  </si>
  <si>
    <t>Y LEÑA (3)</t>
  </si>
  <si>
    <t>METANOL (4)</t>
  </si>
  <si>
    <t>trafo refineria</t>
  </si>
  <si>
    <t>trafo pgas</t>
  </si>
  <si>
    <t>energ-pgas</t>
  </si>
  <si>
    <t>trafo planta gas</t>
  </si>
  <si>
    <t>energia planta gas</t>
  </si>
  <si>
    <t>Ahornos +</t>
  </si>
  <si>
    <t>HCOQUE</t>
  </si>
  <si>
    <t>cons energ</t>
  </si>
  <si>
    <t>Cuadro 22 - A</t>
  </si>
  <si>
    <t>Cuadro 22 - B</t>
  </si>
  <si>
    <t>Cuadro 22 - C</t>
  </si>
  <si>
    <t>Cuadro 22 - D</t>
  </si>
  <si>
    <t>CONSUMO DE ENERGIA</t>
  </si>
  <si>
    <t>(1) Estadística de Operación CDEC-SIC 1990 - 2005</t>
  </si>
  <si>
    <t>(2) Estadístca de Operación CDEC-SING 1993 - 2005</t>
  </si>
  <si>
    <t>altos hornos</t>
  </si>
  <si>
    <t>Consumo en</t>
  </si>
  <si>
    <t>f) Carbón Importado (Mton 7000 Kcal/Kg)</t>
  </si>
  <si>
    <t>trafo gas coque</t>
  </si>
  <si>
    <t>(esta ya incluye al gas q se convierte en gas coque)</t>
  </si>
  <si>
    <t>ITEM</t>
  </si>
  <si>
    <t>Biomasa - Leña</t>
  </si>
  <si>
    <t>Energía Hídrica</t>
  </si>
  <si>
    <t>Energía Eólica</t>
  </si>
  <si>
    <t>Petróleo Diesel</t>
  </si>
  <si>
    <t>Petróleo Combustible</t>
  </si>
  <si>
    <t>Gasolina de motor</t>
  </si>
  <si>
    <t>Gas Licuado</t>
  </si>
  <si>
    <t>Gasolina de Aviación</t>
  </si>
  <si>
    <t>Kerosene de Aviación</t>
  </si>
  <si>
    <t>Gas de Refinería</t>
  </si>
  <si>
    <t>Coque de Petróleo</t>
  </si>
  <si>
    <t>D.I. de Petróleo</t>
  </si>
  <si>
    <t>Gas Coque</t>
  </si>
  <si>
    <t>Gas de Altos Hornos</t>
  </si>
  <si>
    <t>Gas Corriente</t>
  </si>
  <si>
    <t>Importación</t>
  </si>
  <si>
    <t>Exportación</t>
  </si>
  <si>
    <t>Var.Stock + Perdidas + Cierre</t>
  </si>
  <si>
    <t>Centrales Eléctricas: Autoproductores</t>
  </si>
  <si>
    <t>Centrales Eléctricas: Servicio Publico</t>
  </si>
  <si>
    <t>Siderurgia: Altos Hornos</t>
  </si>
  <si>
    <t>Siderurgia: Hornos de Coque</t>
  </si>
  <si>
    <t>Plantas de Gas</t>
  </si>
  <si>
    <t>Liquefacción de Gas</t>
  </si>
  <si>
    <t>Refinería Petróleo - Gas Natural</t>
  </si>
  <si>
    <t>Sector Energético: Auto Consumo</t>
  </si>
  <si>
    <t>Sector Industrial y Minero</t>
  </si>
  <si>
    <t>Sector Transporte</t>
  </si>
  <si>
    <t>Sector Comercial, Público y Residencial</t>
  </si>
  <si>
    <t>Cons. No Energético - Industrial</t>
  </si>
  <si>
    <t>ENERGIA EOLICA</t>
  </si>
  <si>
    <t xml:space="preserve">Notas: </t>
  </si>
  <si>
    <t xml:space="preserve">El factor de conversión utilizado para la hidroelectricidad corresponde al utilizado en metodología internacional de generación de balances equivalente a 860 Kcal/Kwh </t>
  </si>
  <si>
    <t>Producción Primaria</t>
  </si>
  <si>
    <t>Oferta Total</t>
  </si>
  <si>
    <t>GASOLINA MOTOR (*)</t>
  </si>
  <si>
    <t xml:space="preserve">             PUBLICO, RESIDENCIAL (CPR)</t>
  </si>
  <si>
    <t>ALQUITRAN   (***)</t>
  </si>
  <si>
    <t>(***) Alquitrán de uso energético  (poducido en siderurgia)</t>
  </si>
  <si>
    <t>GAS NATURAL (b,c y d) [Mill. m3]</t>
  </si>
  <si>
    <t>HIDROELECTRICIDAD [GWh]</t>
  </si>
  <si>
    <t>BIOGAS [Mill. m3]</t>
  </si>
  <si>
    <t>PETROLEO  CRUDO (a) [Mil m3]</t>
  </si>
  <si>
    <t>CARBON [Mil Ton]</t>
  </si>
  <si>
    <t>LEÑA Y OTROS [Mil Ton]</t>
  </si>
  <si>
    <t>GASOLINA MOTOR (1)</t>
  </si>
  <si>
    <t>GAS NATURAL (2)</t>
  </si>
  <si>
    <t>CARBON (2)</t>
  </si>
  <si>
    <t>GAS CORRIENTE (4)</t>
  </si>
  <si>
    <t>(2) Las Importaciones-Exportaciones y Var. Stock, Perdidas se consideran en etapa de energético primario</t>
  </si>
  <si>
    <t>PETROLEO COMBUSTIBLE (3)</t>
  </si>
  <si>
    <t>(3)  Prod. IFO 180</t>
  </si>
  <si>
    <t>(4) Gas Prod. En Siderurgia</t>
  </si>
  <si>
    <t>(Miles Tons)</t>
  </si>
  <si>
    <t>Motor</t>
  </si>
  <si>
    <t>motor</t>
  </si>
  <si>
    <t>(*) Incluye capacidad de central Salta, Argentina</t>
  </si>
  <si>
    <t>(*) Incluye capacidad instalada de AES Gener en Salta Argentina (642,8 MW año 2000)</t>
  </si>
  <si>
    <t>(1) Estadística de Operación CDEC-SIC</t>
  </si>
  <si>
    <t>(2) Estadístca de Operación CDEC-SING</t>
  </si>
  <si>
    <t>- Los valores SING entre 1990 y 1992 fueron estimados.</t>
  </si>
  <si>
    <t>- El SING incluye la capacidad instalada de Gener Salta, de 642.8 MW a partir del año 2000.</t>
  </si>
  <si>
    <t>- Aysén incluye en componente hidro, una central eólica de 2 MW en Aysén desde el 2001.</t>
  </si>
  <si>
    <t>(1) Estadísticas de Operación CDEC-SIC</t>
  </si>
  <si>
    <t>(2) Estadísticas de Operación CDEC-SING</t>
  </si>
  <si>
    <t>Coque Mineral</t>
  </si>
  <si>
    <t xml:space="preserve">         AÑO 2009</t>
  </si>
  <si>
    <t>Año 2009 (Teracalorías)</t>
  </si>
  <si>
    <t>Elaboración: Ministerio de Energía, Octubre 2010</t>
  </si>
  <si>
    <t>AÑO 2009</t>
  </si>
  <si>
    <t>Año 2009 (Unidades Físicas)</t>
  </si>
  <si>
    <t>2. Generación y Capacidad Elétrica, por sistema.</t>
  </si>
  <si>
    <t xml:space="preserve">                     AÑO 2009</t>
  </si>
  <si>
    <t xml:space="preserve">   AÑO 2009</t>
  </si>
  <si>
    <t xml:space="preserve">        AÑO 2009</t>
  </si>
  <si>
    <t xml:space="preserve">                                                                    AÑO 2009</t>
  </si>
  <si>
    <t xml:space="preserve">     AÑO 2009</t>
  </si>
  <si>
    <t>ENERGÍA EÓLICA</t>
  </si>
  <si>
    <t>3. Balance Energía Primaria.</t>
  </si>
  <si>
    <t>4. Balance Energía Secundaria.</t>
  </si>
  <si>
    <t>5. Distribución Consumo Total.</t>
  </si>
  <si>
    <t>6. Distribución Consumo sector Transporte.</t>
  </si>
  <si>
    <t>7. Distribución Consumo sector Industrial y Minero.</t>
  </si>
  <si>
    <t>8. Distribución Consumo sector Residencial.</t>
  </si>
  <si>
    <t>9. Distribución Consumo del Sector Energético</t>
  </si>
  <si>
    <t>10. Distribución Consumo sector Centros de Transformación.</t>
  </si>
  <si>
    <t>11. Producción Bruta derivados Industriales del Petróleo.</t>
  </si>
  <si>
    <t>12. Cuadro consolidado de consumos sectoriales</t>
  </si>
  <si>
    <t>13. Balance de Energía Global</t>
  </si>
  <si>
    <t>14. Diagrama de flujos de energía</t>
  </si>
  <si>
    <t>Fuente: Encuestas a empresas del sector energía e industrias intensivas en consumo energético</t>
  </si>
  <si>
    <t>(todo el consumo GN es para producir GLP)</t>
  </si>
  <si>
    <t>GNL</t>
  </si>
  <si>
    <t>El 21% de la producción de Gas Natural proviene de GNL</t>
  </si>
  <si>
    <t>PRIMARIO</t>
  </si>
  <si>
    <t>SECUNDARIO</t>
  </si>
  <si>
    <t>CENT. DE TR.</t>
  </si>
  <si>
    <t>TPES</t>
  </si>
  <si>
    <t>IMP</t>
  </si>
  <si>
    <t>IMP/TPES</t>
  </si>
  <si>
    <t>NAC</t>
  </si>
  <si>
    <t>PRIM</t>
  </si>
  <si>
    <t>PROD/(PROD+IMP)</t>
  </si>
  <si>
    <t>INT</t>
  </si>
  <si>
    <t>TOT</t>
  </si>
  <si>
    <t>INT/TPES</t>
  </si>
  <si>
    <t>NETAS</t>
  </si>
  <si>
    <t>Importaciones netas</t>
  </si>
  <si>
    <t>Consumo total de energía *</t>
  </si>
  <si>
    <t>Imp.Netas/ Consumo Total</t>
  </si>
  <si>
    <t>La aporte de energía eléctrica se consideró con un equivalente de 860 Kcal/KWh</t>
  </si>
  <si>
    <t>* El consumo total de energía presentado en el cuadro es una aproximación al TPES (Total Primary Energy Supply o Demand) de los balances de energía que publica la Agencia Internacional de energía. Este equivale al consumo primario de energía, más importaciones secundarias menos exportaciones secundarias y menos variación de stock secundario. Este consumo difiere del TPES calculado en la hoja "BALANCE" debido a que el gas natural del balance primario incluye el gas absorvido y el gas propano producido como sustituto al gas natural, mientras que el gas natural de la hoja "BALANCE" no incluye estos dos últimos conceptos.</t>
  </si>
  <si>
    <t>Capacidad  y Generación por Tipo de Servicio 2009</t>
  </si>
  <si>
    <t>Capacidad  y Generación por Sistema 2009</t>
  </si>
  <si>
    <t>* TC = Tera Caloría</t>
  </si>
  <si>
    <t>- El SIC incluye en componente hidro capacidad eólica por 81 MW.</t>
  </si>
  <si>
    <t>- El SIC incluye en componente hidro, la generación eólica que el 2009 fue de 72 GWh.</t>
  </si>
  <si>
    <t>- Aysén incluye en componente hidro, la generación de una central eólica por 7.3 GWh</t>
  </si>
  <si>
    <t>Autoproductores Cogeneración</t>
  </si>
  <si>
    <t>Autoproductores Térmicos</t>
  </si>
  <si>
    <t>(****) Hidroelectricidad de servicios público considera capacidad eólica de 83 MW y generación de 79 GWh</t>
  </si>
  <si>
    <t>(**) Incluye Importaciones desde Argentina de 1348 GWh</t>
  </si>
  <si>
    <t>(*****) Población estimada 2009, es de  16,928,873 personas. Fuente INE.</t>
  </si>
  <si>
    <t>La siguiente figura resume las transacciones involucradas en la cadena energética nacional, pasando desde su adquisición o generación hasta sus transformaciones y consumos finales. Las flechas corresponden aproximadamente a la proporción de su participación dentro de la matriz nacional en cada flujo. De esta manera es posible apreciar los distintos aportes de los energéticos según cada fase de la cadena productiva.</t>
  </si>
  <si>
    <t>23568 =</t>
  </si>
  <si>
    <t>1765 =</t>
  </si>
  <si>
    <t>1957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</si>
</sst>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164" formatCode="#,##0.0"/>
    <numFmt numFmtId="165" formatCode="0.0"/>
    <numFmt numFmtId="166" formatCode="0.0%"/>
    <numFmt numFmtId="167" formatCode="mm/dd/yy"/>
    <numFmt numFmtId="168" formatCode="###0"/>
    <numFmt numFmtId="169" formatCode="#,##0.00_ _P_t_s_);[Red]\(#,##0.00_ _P_t_s\)"/>
    <numFmt numFmtId="170" formatCode="0.000"/>
    <numFmt numFmtId="171" formatCode="0.00000"/>
  </numFmts>
  <fonts count="105">
    <font>
      <sz val="10"/>
      <name val="Arial"/>
    </font>
    <font>
      <sz val="10"/>
      <name val="Arial"/>
      <family val="2"/>
    </font>
    <font>
      <sz val="10"/>
      <name val="MS Sans Serif"/>
      <family val="2"/>
    </font>
    <font>
      <b/>
      <sz val="10"/>
      <name val="MS Sans Serif"/>
      <family val="2"/>
    </font>
    <font>
      <b/>
      <sz val="8"/>
      <name val="MS Sans Serif"/>
      <family val="2"/>
    </font>
    <font>
      <sz val="10"/>
      <color indexed="9"/>
      <name val="Arial"/>
      <family val="2"/>
    </font>
    <font>
      <sz val="10"/>
      <name val="Arial"/>
      <family val="2"/>
    </font>
    <font>
      <b/>
      <sz val="10"/>
      <name val="Arial"/>
      <family val="2"/>
    </font>
    <font>
      <sz val="8.5"/>
      <color indexed="9"/>
      <name val="MS Sans Serif"/>
      <family val="2"/>
    </font>
    <font>
      <b/>
      <sz val="10"/>
      <name val="MS Sans Serif"/>
      <family val="2"/>
    </font>
    <font>
      <sz val="8"/>
      <name val="MS Sans Serif"/>
      <family val="2"/>
    </font>
    <font>
      <sz val="10"/>
      <name val="MS Sans Serif"/>
      <family val="2"/>
    </font>
    <font>
      <b/>
      <sz val="10"/>
      <color indexed="8"/>
      <name val="Arial"/>
      <family val="2"/>
    </font>
    <font>
      <sz val="8"/>
      <color indexed="21"/>
      <name val="MS Sans Serif"/>
      <family val="2"/>
    </font>
    <font>
      <sz val="12"/>
      <name val="MS Sans Serif"/>
      <family val="2"/>
    </font>
    <font>
      <b/>
      <sz val="12"/>
      <color indexed="12"/>
      <name val="Geneva"/>
    </font>
    <font>
      <sz val="10"/>
      <name val="Geneva"/>
    </font>
    <font>
      <sz val="10"/>
      <color indexed="12"/>
      <name val="Geneva"/>
    </font>
    <font>
      <b/>
      <u/>
      <sz val="12"/>
      <color indexed="12"/>
      <name val="Geneva"/>
    </font>
    <font>
      <b/>
      <sz val="10"/>
      <color indexed="12"/>
      <name val="Geneva"/>
    </font>
    <font>
      <b/>
      <sz val="8"/>
      <color indexed="8"/>
      <name val="Arial"/>
      <family val="2"/>
    </font>
    <font>
      <b/>
      <u/>
      <sz val="8"/>
      <name val="Arial"/>
      <family val="2"/>
    </font>
    <font>
      <sz val="8"/>
      <name val="Arial"/>
      <family val="2"/>
    </font>
    <font>
      <b/>
      <sz val="10"/>
      <color indexed="48"/>
      <name val="Arial"/>
      <family val="2"/>
    </font>
    <font>
      <sz val="10"/>
      <color indexed="48"/>
      <name val="Arial"/>
      <family val="2"/>
    </font>
    <font>
      <b/>
      <sz val="8"/>
      <color indexed="9"/>
      <name val="Arial"/>
      <family val="2"/>
    </font>
    <font>
      <b/>
      <sz val="10"/>
      <color indexed="8"/>
      <name val="Arial"/>
      <family val="2"/>
    </font>
    <font>
      <sz val="10"/>
      <name val="Arial"/>
      <family val="2"/>
    </font>
    <font>
      <b/>
      <sz val="14"/>
      <color indexed="18"/>
      <name val="Arial"/>
      <family val="2"/>
    </font>
    <font>
      <b/>
      <sz val="12"/>
      <color indexed="18"/>
      <name val="Arial"/>
      <family val="2"/>
    </font>
    <font>
      <b/>
      <sz val="10"/>
      <color indexed="62"/>
      <name val="Arial"/>
      <family val="2"/>
    </font>
    <font>
      <b/>
      <sz val="11"/>
      <color indexed="54"/>
      <name val="Arial"/>
      <family val="2"/>
    </font>
    <font>
      <b/>
      <sz val="14"/>
      <color indexed="54"/>
      <name val="Arial"/>
      <family val="2"/>
    </font>
    <font>
      <b/>
      <sz val="8"/>
      <name val="Arial"/>
      <family val="2"/>
    </font>
    <font>
      <b/>
      <sz val="14"/>
      <name val="Arial"/>
      <family val="2"/>
    </font>
    <font>
      <b/>
      <sz val="12"/>
      <name val="Arial"/>
      <family val="2"/>
    </font>
    <font>
      <sz val="11"/>
      <name val="Arial"/>
      <family val="2"/>
    </font>
    <font>
      <b/>
      <sz val="26"/>
      <name val="Arial"/>
      <family val="2"/>
    </font>
    <font>
      <b/>
      <sz val="24"/>
      <name val="Arial"/>
      <family val="2"/>
    </font>
    <font>
      <b/>
      <sz val="20"/>
      <name val="Arial"/>
      <family val="2"/>
    </font>
    <font>
      <sz val="10"/>
      <color indexed="9"/>
      <name val="Geneva"/>
    </font>
    <font>
      <b/>
      <sz val="10"/>
      <color indexed="9"/>
      <name val="Geneva"/>
    </font>
    <font>
      <sz val="8"/>
      <color indexed="12"/>
      <name val="Geneva"/>
    </font>
    <font>
      <b/>
      <sz val="8"/>
      <color indexed="9"/>
      <name val="MS Sans Serif"/>
      <family val="2"/>
    </font>
    <font>
      <b/>
      <sz val="8"/>
      <color indexed="21"/>
      <name val="MS Sans Serif"/>
      <family val="2"/>
    </font>
    <font>
      <sz val="8"/>
      <color indexed="8"/>
      <name val="MS Sans Serif"/>
      <family val="2"/>
    </font>
    <font>
      <b/>
      <sz val="8"/>
      <color indexed="8"/>
      <name val="MS Sans Serif"/>
      <family val="2"/>
    </font>
    <font>
      <u/>
      <sz val="10"/>
      <color indexed="12"/>
      <name val="Arial"/>
      <family val="2"/>
    </font>
    <font>
      <b/>
      <u/>
      <sz val="12"/>
      <color indexed="12"/>
      <name val="Arial"/>
      <family val="2"/>
    </font>
    <font>
      <sz val="10"/>
      <color indexed="10"/>
      <name val="Arial"/>
      <family val="2"/>
    </font>
    <font>
      <sz val="8"/>
      <name val="Arial"/>
      <family val="2"/>
    </font>
    <font>
      <sz val="10"/>
      <color indexed="12"/>
      <name val="Arial"/>
      <family val="2"/>
    </font>
    <font>
      <b/>
      <sz val="8.5"/>
      <name val="Arial"/>
      <family val="2"/>
    </font>
    <font>
      <sz val="10"/>
      <color indexed="8"/>
      <name val="Arial"/>
      <family val="2"/>
    </font>
    <font>
      <b/>
      <sz val="10"/>
      <color indexed="12"/>
      <name val="Arial"/>
      <family val="2"/>
    </font>
    <font>
      <b/>
      <sz val="12"/>
      <color indexed="12"/>
      <name val="Arial"/>
      <family val="2"/>
    </font>
    <font>
      <b/>
      <sz val="10"/>
      <color indexed="12"/>
      <name val="Arial"/>
      <family val="2"/>
    </font>
    <font>
      <sz val="10"/>
      <color indexed="12"/>
      <name val="Arial"/>
      <family val="2"/>
    </font>
    <font>
      <b/>
      <sz val="12"/>
      <color indexed="9"/>
      <name val="Arial"/>
      <family val="2"/>
    </font>
    <font>
      <b/>
      <sz val="8.5"/>
      <color indexed="9"/>
      <name val="Arial"/>
      <family val="2"/>
    </font>
    <font>
      <sz val="8.5"/>
      <color indexed="9"/>
      <name val="Arial"/>
      <family val="2"/>
    </font>
    <font>
      <b/>
      <i/>
      <sz val="10"/>
      <color indexed="8"/>
      <name val="Arial"/>
      <family val="2"/>
    </font>
    <font>
      <u/>
      <sz val="10"/>
      <color indexed="12"/>
      <name val="Arial"/>
      <family val="2"/>
    </font>
    <font>
      <b/>
      <sz val="10"/>
      <color indexed="18"/>
      <name val="Arial"/>
      <family val="2"/>
    </font>
    <font>
      <sz val="12"/>
      <color indexed="9"/>
      <name val="Arial"/>
      <family val="2"/>
    </font>
    <font>
      <sz val="20"/>
      <name val="Arial"/>
      <family val="2"/>
    </font>
    <font>
      <sz val="10"/>
      <name val="Arial"/>
      <family val="2"/>
    </font>
    <font>
      <b/>
      <sz val="10"/>
      <name val="Arial"/>
      <family val="2"/>
    </font>
    <font>
      <sz val="10"/>
      <name val="Arial"/>
      <family val="2"/>
    </font>
    <font>
      <sz val="8"/>
      <color indexed="21"/>
      <name val="Arial"/>
      <family val="2"/>
    </font>
    <font>
      <b/>
      <sz val="11"/>
      <name val="Arial"/>
      <family val="2"/>
    </font>
    <font>
      <sz val="12"/>
      <name val="Arial"/>
      <family val="2"/>
    </font>
    <font>
      <b/>
      <sz val="12"/>
      <color indexed="8"/>
      <name val="Arial"/>
      <family val="2"/>
    </font>
    <font>
      <b/>
      <sz val="11"/>
      <color indexed="8"/>
      <name val="Arial"/>
      <family val="2"/>
    </font>
    <font>
      <b/>
      <sz val="11"/>
      <color indexed="18"/>
      <name val="Arial"/>
      <family val="2"/>
    </font>
    <font>
      <sz val="9"/>
      <color indexed="9"/>
      <name val="Arial"/>
      <family val="2"/>
    </font>
    <font>
      <b/>
      <sz val="9"/>
      <color indexed="9"/>
      <name val="Arial"/>
      <family val="2"/>
    </font>
    <font>
      <b/>
      <sz val="12"/>
      <color indexed="48"/>
      <name val="Arial"/>
      <family val="2"/>
    </font>
    <font>
      <sz val="10"/>
      <name val="Arial"/>
      <family val="2"/>
    </font>
    <font>
      <b/>
      <sz val="10"/>
      <color indexed="48"/>
      <name val="Arial"/>
      <family val="2"/>
    </font>
    <font>
      <sz val="10"/>
      <color indexed="48"/>
      <name val="Arial"/>
      <family val="2"/>
    </font>
    <font>
      <sz val="10"/>
      <name val="Arial"/>
      <family val="2"/>
    </font>
    <font>
      <sz val="10"/>
      <color indexed="9"/>
      <name val="Arial"/>
      <family val="2"/>
    </font>
    <font>
      <b/>
      <sz val="8"/>
      <color indexed="9"/>
      <name val="Arial"/>
      <family val="2"/>
    </font>
    <font>
      <sz val="10"/>
      <name val="Arial"/>
      <family val="2"/>
    </font>
    <font>
      <b/>
      <sz val="8"/>
      <color indexed="8"/>
      <name val="Arial"/>
      <family val="2"/>
    </font>
    <font>
      <sz val="10"/>
      <name val="Arial"/>
      <family val="2"/>
    </font>
    <font>
      <b/>
      <u/>
      <sz val="8"/>
      <name val="Arial"/>
      <family val="2"/>
    </font>
    <font>
      <sz val="8"/>
      <color indexed="8"/>
      <name val="Arial"/>
      <family val="2"/>
    </font>
    <font>
      <b/>
      <sz val="12"/>
      <name val="Arial"/>
      <family val="2"/>
    </font>
    <font>
      <b/>
      <sz val="11"/>
      <color indexed="9"/>
      <name val="Arial"/>
      <family val="2"/>
    </font>
    <font>
      <b/>
      <sz val="14"/>
      <color indexed="18"/>
      <name val="Arial"/>
      <family val="2"/>
    </font>
    <font>
      <sz val="10"/>
      <name val="Arial"/>
      <family val="2"/>
    </font>
    <font>
      <b/>
      <sz val="12"/>
      <color indexed="18"/>
      <name val="Arial"/>
      <family val="2"/>
    </font>
    <font>
      <sz val="10"/>
      <name val="Arial"/>
      <family val="2"/>
    </font>
    <font>
      <b/>
      <sz val="10"/>
      <color indexed="62"/>
      <name val="Arial"/>
      <family val="2"/>
    </font>
    <font>
      <sz val="10"/>
      <name val="Arial"/>
      <family val="2"/>
    </font>
    <font>
      <b/>
      <sz val="12"/>
      <color indexed="53"/>
      <name val="Arial"/>
      <family val="2"/>
    </font>
    <font>
      <sz val="10"/>
      <color indexed="53"/>
      <name val="Arial"/>
      <family val="2"/>
    </font>
    <font>
      <sz val="10"/>
      <name val="Arial"/>
      <family val="2"/>
    </font>
    <font>
      <b/>
      <sz val="10"/>
      <color indexed="9"/>
      <name val="Arial"/>
      <family val="2"/>
    </font>
    <font>
      <b/>
      <sz val="8.5"/>
      <color indexed="9"/>
      <name val="MS Sans Serif"/>
      <family val="2"/>
    </font>
    <font>
      <b/>
      <sz val="8.5"/>
      <color indexed="9"/>
      <name val="MS Sans Serif"/>
      <family val="2"/>
    </font>
    <font>
      <sz val="11"/>
      <name val="Arial"/>
      <family val="2"/>
    </font>
    <font>
      <b/>
      <sz val="18"/>
      <name val="Arial"/>
      <family val="2"/>
    </font>
  </fonts>
  <fills count="25">
    <fill>
      <patternFill patternType="none"/>
    </fill>
    <fill>
      <patternFill patternType="gray125"/>
    </fill>
    <fill>
      <patternFill patternType="solid">
        <fgColor indexed="62"/>
        <bgColor indexed="64"/>
      </patternFill>
    </fill>
    <fill>
      <patternFill patternType="solid">
        <fgColor indexed="9"/>
        <bgColor indexed="64"/>
      </patternFill>
    </fill>
    <fill>
      <patternFill patternType="solid">
        <fgColor indexed="62"/>
        <bgColor indexed="24"/>
      </patternFill>
    </fill>
    <fill>
      <patternFill patternType="solid">
        <fgColor indexed="22"/>
        <bgColor indexed="64"/>
      </patternFill>
    </fill>
    <fill>
      <patternFill patternType="solid">
        <fgColor indexed="22"/>
        <bgColor indexed="22"/>
      </patternFill>
    </fill>
    <fill>
      <patternFill patternType="solid">
        <fgColor indexed="10"/>
        <bgColor indexed="64"/>
      </patternFill>
    </fill>
    <fill>
      <patternFill patternType="solid">
        <fgColor indexed="65"/>
        <bgColor indexed="64"/>
      </patternFill>
    </fill>
    <fill>
      <patternFill patternType="solid">
        <fgColor indexed="22"/>
        <bgColor indexed="24"/>
      </patternFill>
    </fill>
    <fill>
      <patternFill patternType="mediumGray">
        <fgColor indexed="22"/>
        <bgColor indexed="22"/>
      </patternFill>
    </fill>
    <fill>
      <patternFill patternType="solid">
        <fgColor indexed="57"/>
        <bgColor indexed="64"/>
      </patternFill>
    </fill>
    <fill>
      <patternFill patternType="solid">
        <fgColor indexed="47"/>
        <bgColor indexed="64"/>
      </patternFill>
    </fill>
    <fill>
      <patternFill patternType="solid">
        <fgColor indexed="9"/>
        <bgColor indexed="24"/>
      </patternFill>
    </fill>
    <fill>
      <patternFill patternType="solid">
        <fgColor indexed="20"/>
        <bgColor indexed="24"/>
      </patternFill>
    </fill>
    <fill>
      <patternFill patternType="solid">
        <fgColor indexed="9"/>
        <bgColor indexed="22"/>
      </patternFill>
    </fill>
    <fill>
      <patternFill patternType="solid">
        <fgColor indexed="15"/>
        <bgColor indexed="64"/>
      </patternFill>
    </fill>
    <fill>
      <patternFill patternType="solid">
        <fgColor indexed="42"/>
        <bgColor indexed="64"/>
      </patternFill>
    </fill>
    <fill>
      <patternFill patternType="solid">
        <fgColor indexed="52"/>
        <bgColor indexed="64"/>
      </patternFill>
    </fill>
    <fill>
      <patternFill patternType="solid">
        <fgColor indexed="11"/>
        <bgColor indexed="64"/>
      </patternFill>
    </fill>
    <fill>
      <patternFill patternType="solid">
        <fgColor indexed="41"/>
        <bgColor indexed="64"/>
      </patternFill>
    </fill>
    <fill>
      <patternFill patternType="solid">
        <fgColor indexed="43"/>
        <bgColor indexed="64"/>
      </patternFill>
    </fill>
    <fill>
      <patternFill patternType="solid">
        <fgColor indexed="40"/>
        <bgColor indexed="64"/>
      </patternFill>
    </fill>
    <fill>
      <patternFill patternType="solid">
        <fgColor indexed="46"/>
        <bgColor indexed="64"/>
      </patternFill>
    </fill>
    <fill>
      <patternFill patternType="solid">
        <fgColor indexed="9"/>
        <bgColor indexed="9"/>
      </patternFill>
    </fill>
  </fills>
  <borders count="122">
    <border>
      <left/>
      <right/>
      <top/>
      <bottom/>
      <diagonal/>
    </border>
    <border>
      <left/>
      <right/>
      <top/>
      <bottom style="thin">
        <color indexed="64"/>
      </bottom>
      <diagonal/>
    </border>
    <border>
      <left/>
      <right/>
      <top style="medium">
        <color indexed="64"/>
      </top>
      <bottom/>
      <diagonal/>
    </border>
    <border>
      <left/>
      <right/>
      <top style="thin">
        <color indexed="10"/>
      </top>
      <bottom/>
      <diagonal/>
    </border>
    <border>
      <left/>
      <right/>
      <top/>
      <bottom style="thin">
        <color indexed="10"/>
      </bottom>
      <diagonal/>
    </border>
    <border>
      <left style="medium">
        <color indexed="64"/>
      </left>
      <right/>
      <top/>
      <bottom style="medium">
        <color indexed="64"/>
      </bottom>
      <diagonal/>
    </border>
    <border>
      <left/>
      <right/>
      <top/>
      <bottom style="medium">
        <color indexed="64"/>
      </bottom>
      <diagonal/>
    </border>
    <border>
      <left style="medium">
        <color indexed="64"/>
      </left>
      <right/>
      <top style="thin">
        <color indexed="64"/>
      </top>
      <bottom/>
      <diagonal/>
    </border>
    <border>
      <left style="medium">
        <color indexed="64"/>
      </left>
      <right/>
      <top/>
      <bottom/>
      <diagonal/>
    </border>
    <border>
      <left style="thin">
        <color indexed="64"/>
      </left>
      <right style="thin">
        <color indexed="64"/>
      </right>
      <top style="thin">
        <color indexed="64"/>
      </top>
      <bottom/>
      <diagonal/>
    </border>
    <border>
      <left/>
      <right/>
      <top style="thin">
        <color indexed="64"/>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bottom style="thin">
        <color indexed="64"/>
      </bottom>
      <diagonal/>
    </border>
    <border>
      <left/>
      <right/>
      <top style="thick">
        <color indexed="64"/>
      </top>
      <bottom style="thin">
        <color indexed="64"/>
      </bottom>
      <diagonal/>
    </border>
    <border>
      <left style="thin">
        <color indexed="64"/>
      </left>
      <right style="thin">
        <color indexed="64"/>
      </right>
      <top style="thick">
        <color indexed="64"/>
      </top>
      <bottom style="thin">
        <color indexed="64"/>
      </bottom>
      <diagonal/>
    </border>
    <border>
      <left style="thin">
        <color indexed="64"/>
      </left>
      <right/>
      <top style="thin">
        <color indexed="64"/>
      </top>
      <bottom/>
      <diagonal/>
    </border>
    <border>
      <left style="thin">
        <color indexed="64"/>
      </left>
      <right/>
      <top/>
      <bottom/>
      <diagonal/>
    </border>
    <border>
      <left style="medium">
        <color indexed="64"/>
      </left>
      <right style="thin">
        <color indexed="64"/>
      </right>
      <top style="thin">
        <color indexed="64"/>
      </top>
      <bottom/>
      <diagonal/>
    </border>
    <border>
      <left/>
      <right style="thin">
        <color indexed="64"/>
      </right>
      <top style="thin">
        <color indexed="64"/>
      </top>
      <bottom/>
      <diagonal/>
    </border>
    <border>
      <left style="thick">
        <color indexed="64"/>
      </left>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ck">
        <color indexed="64"/>
      </left>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bottom/>
      <diagonal/>
    </border>
    <border>
      <left style="thick">
        <color indexed="64"/>
      </left>
      <right style="thin">
        <color indexed="64"/>
      </right>
      <top/>
      <bottom/>
      <diagonal/>
    </border>
    <border>
      <left/>
      <right style="medium">
        <color indexed="64"/>
      </right>
      <top/>
      <bottom/>
      <diagonal/>
    </border>
    <border>
      <left style="thick">
        <color indexed="64"/>
      </left>
      <right style="thin">
        <color indexed="64"/>
      </right>
      <top/>
      <bottom style="thin">
        <color indexed="64"/>
      </bottom>
      <diagonal/>
    </border>
    <border>
      <left style="medium">
        <color indexed="64"/>
      </left>
      <right style="thin">
        <color indexed="64"/>
      </right>
      <top/>
      <bottom style="medium">
        <color indexed="64"/>
      </bottom>
      <diagonal/>
    </border>
    <border>
      <left/>
      <right style="thin">
        <color indexed="64"/>
      </right>
      <top/>
      <bottom style="medium">
        <color indexed="64"/>
      </bottom>
      <diagonal/>
    </border>
    <border>
      <left style="thin">
        <color indexed="64"/>
      </left>
      <right style="thick">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top style="thick">
        <color indexed="64"/>
      </top>
      <bottom style="thin">
        <color indexed="64"/>
      </bottom>
      <diagonal/>
    </border>
    <border>
      <left style="thin">
        <color indexed="64"/>
      </left>
      <right style="medium">
        <color indexed="64"/>
      </right>
      <top style="thick">
        <color indexed="64"/>
      </top>
      <bottom style="thin">
        <color indexed="64"/>
      </bottom>
      <diagonal/>
    </border>
    <border>
      <left style="thin">
        <color indexed="64"/>
      </left>
      <right style="medium">
        <color indexed="64"/>
      </right>
      <top/>
      <bottom/>
      <diagonal/>
    </border>
    <border>
      <left style="medium">
        <color indexed="64"/>
      </left>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medium">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diagonal/>
    </border>
    <border>
      <left/>
      <right style="medium">
        <color indexed="64"/>
      </right>
      <top/>
      <bottom style="medium">
        <color indexed="64"/>
      </bottom>
      <diagonal/>
    </border>
    <border>
      <left style="thin">
        <color indexed="64"/>
      </left>
      <right style="thin">
        <color indexed="64"/>
      </right>
      <top style="medium">
        <color indexed="64"/>
      </top>
      <bottom/>
      <diagonal/>
    </border>
    <border>
      <left/>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double">
        <color indexed="12"/>
      </left>
      <right/>
      <top style="double">
        <color indexed="12"/>
      </top>
      <bottom/>
      <diagonal/>
    </border>
    <border>
      <left/>
      <right style="double">
        <color indexed="12"/>
      </right>
      <top style="double">
        <color indexed="12"/>
      </top>
      <bottom/>
      <diagonal/>
    </border>
    <border>
      <left style="double">
        <color indexed="12"/>
      </left>
      <right/>
      <top/>
      <bottom/>
      <diagonal/>
    </border>
    <border>
      <left/>
      <right style="double">
        <color indexed="12"/>
      </right>
      <top/>
      <bottom/>
      <diagonal/>
    </border>
    <border>
      <left style="double">
        <color indexed="12"/>
      </left>
      <right/>
      <top/>
      <bottom style="double">
        <color indexed="12"/>
      </bottom>
      <diagonal/>
    </border>
    <border>
      <left/>
      <right style="double">
        <color indexed="12"/>
      </right>
      <top/>
      <bottom style="double">
        <color indexed="12"/>
      </bottom>
      <diagonal/>
    </border>
    <border>
      <left/>
      <right style="thin">
        <color indexed="10"/>
      </right>
      <top/>
      <bottom/>
      <diagonal/>
    </border>
    <border>
      <left/>
      <right/>
      <top/>
      <bottom style="thin">
        <color indexed="9"/>
      </bottom>
      <diagonal/>
    </border>
    <border>
      <left/>
      <right/>
      <top style="thin">
        <color indexed="23"/>
      </top>
      <bottom style="thin">
        <color indexed="9"/>
      </bottom>
      <diagonal/>
    </border>
    <border>
      <left/>
      <right style="thin">
        <color indexed="10"/>
      </right>
      <top style="thin">
        <color indexed="23"/>
      </top>
      <bottom style="thin">
        <color indexed="9"/>
      </bottom>
      <diagonal/>
    </border>
    <border>
      <left/>
      <right style="thin">
        <color indexed="10"/>
      </right>
      <top style="thin">
        <color indexed="23"/>
      </top>
      <bottom style="thin">
        <color indexed="10"/>
      </bottom>
      <diagonal/>
    </border>
    <border>
      <left style="thin">
        <color indexed="10"/>
      </left>
      <right/>
      <top style="thin">
        <color indexed="10"/>
      </top>
      <bottom/>
      <diagonal/>
    </border>
    <border>
      <left/>
      <right style="thin">
        <color indexed="10"/>
      </right>
      <top style="thin">
        <color indexed="10"/>
      </top>
      <bottom/>
      <diagonal/>
    </border>
    <border>
      <left style="thin">
        <color indexed="10"/>
      </left>
      <right style="thin">
        <color indexed="9"/>
      </right>
      <top style="thin">
        <color indexed="23"/>
      </top>
      <bottom style="thin">
        <color indexed="9"/>
      </bottom>
      <diagonal/>
    </border>
    <border>
      <left style="thin">
        <color indexed="10"/>
      </left>
      <right/>
      <top style="thin">
        <color indexed="23"/>
      </top>
      <bottom style="thin">
        <color indexed="9"/>
      </bottom>
      <diagonal/>
    </border>
    <border>
      <left style="thin">
        <color indexed="10"/>
      </left>
      <right/>
      <top style="thin">
        <color indexed="23"/>
      </top>
      <bottom/>
      <diagonal/>
    </border>
    <border>
      <left/>
      <right/>
      <top style="thin">
        <color indexed="23"/>
      </top>
      <bottom/>
      <diagonal/>
    </border>
    <border>
      <left/>
      <right style="thin">
        <color indexed="10"/>
      </right>
      <top style="thin">
        <color indexed="23"/>
      </top>
      <bottom/>
      <diagonal/>
    </border>
    <border>
      <left style="thin">
        <color indexed="10"/>
      </left>
      <right/>
      <top/>
      <bottom/>
      <diagonal/>
    </border>
    <border>
      <left style="thin">
        <color indexed="10"/>
      </left>
      <right/>
      <top/>
      <bottom style="thin">
        <color indexed="10"/>
      </bottom>
      <diagonal/>
    </border>
    <border>
      <left/>
      <right style="thin">
        <color indexed="10"/>
      </right>
      <top/>
      <bottom style="thin">
        <color indexed="10"/>
      </bottom>
      <diagonal/>
    </border>
    <border>
      <left style="thin">
        <color indexed="23"/>
      </left>
      <right/>
      <top style="thin">
        <color indexed="23"/>
      </top>
      <bottom style="thin">
        <color indexed="9"/>
      </bottom>
      <diagonal/>
    </border>
    <border>
      <left style="thin">
        <color indexed="10"/>
      </left>
      <right/>
      <top style="thin">
        <color indexed="23"/>
      </top>
      <bottom style="thin">
        <color indexed="10"/>
      </bottom>
      <diagonal/>
    </border>
    <border>
      <left/>
      <right/>
      <top style="thin">
        <color indexed="23"/>
      </top>
      <bottom style="thin">
        <color indexed="10"/>
      </bottom>
      <diagonal/>
    </border>
    <border>
      <left/>
      <right style="medium">
        <color indexed="64"/>
      </right>
      <top style="thin">
        <color indexed="64"/>
      </top>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bottom style="thin">
        <color indexed="9"/>
      </bottom>
      <diagonal/>
    </border>
    <border>
      <left/>
      <right style="medium">
        <color indexed="64"/>
      </right>
      <top/>
      <bottom style="thin">
        <color indexed="9"/>
      </bottom>
      <diagonal/>
    </border>
    <border>
      <left style="medium">
        <color indexed="64"/>
      </left>
      <right/>
      <top style="thin">
        <color indexed="23"/>
      </top>
      <bottom style="thin">
        <color indexed="9"/>
      </bottom>
      <diagonal/>
    </border>
    <border>
      <left/>
      <right style="medium">
        <color indexed="64"/>
      </right>
      <top style="thin">
        <color indexed="23"/>
      </top>
      <bottom style="thin">
        <color indexed="9"/>
      </bottom>
      <diagonal/>
    </border>
    <border>
      <left style="medium">
        <color indexed="64"/>
      </left>
      <right/>
      <top style="thin">
        <color indexed="23"/>
      </top>
      <bottom style="medium">
        <color indexed="64"/>
      </bottom>
      <diagonal/>
    </border>
    <border>
      <left/>
      <right/>
      <top style="thin">
        <color indexed="23"/>
      </top>
      <bottom style="medium">
        <color indexed="64"/>
      </bottom>
      <diagonal/>
    </border>
    <border>
      <left/>
      <right style="medium">
        <color indexed="64"/>
      </right>
      <top style="thin">
        <color indexed="23"/>
      </top>
      <bottom style="medium">
        <color indexed="64"/>
      </bottom>
      <diagonal/>
    </border>
    <border>
      <left/>
      <right style="thin">
        <color indexed="64"/>
      </right>
      <top style="medium">
        <color indexed="64"/>
      </top>
      <bottom/>
      <diagonal/>
    </border>
    <border>
      <left style="thin">
        <color indexed="64"/>
      </left>
      <right style="medium">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top style="medium">
        <color indexed="64"/>
      </top>
      <bottom/>
      <diagonal/>
    </border>
    <border>
      <left style="thin">
        <color indexed="64"/>
      </left>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medium">
        <color indexed="64"/>
      </right>
      <top style="medium">
        <color indexed="64"/>
      </top>
      <bottom/>
      <diagonal/>
    </border>
    <border>
      <left style="thin">
        <color indexed="64"/>
      </left>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diagonal/>
    </border>
    <border>
      <left/>
      <right/>
      <top/>
      <bottom style="double">
        <color indexed="64"/>
      </bottom>
      <diagonal/>
    </border>
    <border>
      <left style="medium">
        <color indexed="64"/>
      </left>
      <right/>
      <top style="thin">
        <color indexed="64"/>
      </top>
      <bottom style="thin">
        <color indexed="64"/>
      </bottom>
      <diagonal/>
    </border>
    <border>
      <left/>
      <right style="thin">
        <color indexed="64"/>
      </right>
      <top style="thin">
        <color indexed="64"/>
      </top>
      <bottom style="medium">
        <color indexed="64"/>
      </bottom>
      <diagonal/>
    </border>
    <border>
      <left style="thick">
        <color indexed="64"/>
      </left>
      <right/>
      <top style="medium">
        <color indexed="64"/>
      </top>
      <bottom/>
      <diagonal/>
    </border>
    <border>
      <left style="thick">
        <color indexed="64"/>
      </left>
      <right style="thin">
        <color indexed="64"/>
      </right>
      <top/>
      <bottom style="medium">
        <color indexed="64"/>
      </bottom>
      <diagonal/>
    </border>
    <border>
      <left style="medium">
        <color indexed="64"/>
      </left>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s>
  <cellStyleXfs count="27">
    <xf numFmtId="0" fontId="0" fillId="0" borderId="0"/>
    <xf numFmtId="0" fontId="47" fillId="0" borderId="0" applyNumberFormat="0" applyFill="0" applyBorder="0" applyAlignment="0" applyProtection="0">
      <alignment vertical="top"/>
      <protection locked="0"/>
    </xf>
    <xf numFmtId="38" fontId="2" fillId="0" borderId="0" applyFont="0" applyFill="0" applyBorder="0" applyAlignment="0" applyProtection="0"/>
    <xf numFmtId="38" fontId="2" fillId="0" borderId="0" applyFont="0" applyFill="0" applyBorder="0" applyAlignment="0" applyProtection="0"/>
    <xf numFmtId="38" fontId="2" fillId="0" borderId="0" applyFont="0" applyFill="0" applyBorder="0" applyAlignment="0" applyProtection="0"/>
    <xf numFmtId="0" fontId="16" fillId="0" borderId="0"/>
    <xf numFmtId="0" fontId="1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6" fillId="0" borderId="0"/>
    <xf numFmtId="0" fontId="2" fillId="0" borderId="0"/>
    <xf numFmtId="9" fontId="1" fillId="0" borderId="0" applyFont="0" applyFill="0" applyBorder="0" applyAlignment="0" applyProtection="0"/>
  </cellStyleXfs>
  <cellXfs count="1430">
    <xf numFmtId="0" fontId="0" fillId="0" borderId="0" xfId="0"/>
    <xf numFmtId="0" fontId="5" fillId="2" borderId="1" xfId="0" applyFont="1" applyFill="1" applyBorder="1" applyAlignment="1">
      <alignment horizontal="center"/>
    </xf>
    <xf numFmtId="1" fontId="4" fillId="3" borderId="0" xfId="4" applyNumberFormat="1" applyFont="1" applyFill="1"/>
    <xf numFmtId="0" fontId="0" fillId="3" borderId="0" xfId="0" applyFill="1"/>
    <xf numFmtId="0" fontId="2" fillId="3" borderId="0" xfId="18" applyFill="1"/>
    <xf numFmtId="3" fontId="0" fillId="3" borderId="0" xfId="0" applyNumberFormat="1" applyFill="1"/>
    <xf numFmtId="1" fontId="9" fillId="3" borderId="0" xfId="4" applyNumberFormat="1" applyFont="1" applyFill="1"/>
    <xf numFmtId="3" fontId="3" fillId="3" borderId="0" xfId="19" applyNumberFormat="1" applyFont="1" applyFill="1" applyBorder="1" applyAlignment="1"/>
    <xf numFmtId="3" fontId="2" fillId="3" borderId="0" xfId="19" applyNumberFormat="1" applyFill="1"/>
    <xf numFmtId="0" fontId="2" fillId="3" borderId="0" xfId="19" applyFill="1"/>
    <xf numFmtId="0" fontId="2" fillId="3" borderId="0" xfId="19" applyFill="1" applyBorder="1" applyAlignment="1"/>
    <xf numFmtId="0" fontId="2" fillId="3" borderId="0" xfId="21" applyFill="1"/>
    <xf numFmtId="3" fontId="2" fillId="3" borderId="0" xfId="21" applyNumberFormat="1" applyFill="1"/>
    <xf numFmtId="0" fontId="2" fillId="3" borderId="0" xfId="21" applyFont="1" applyFill="1"/>
    <xf numFmtId="0" fontId="11" fillId="3" borderId="0" xfId="22" applyFont="1" applyFill="1"/>
    <xf numFmtId="3" fontId="10" fillId="3" borderId="0" xfId="22" applyNumberFormat="1" applyFont="1" applyFill="1"/>
    <xf numFmtId="0" fontId="10" fillId="3" borderId="0" xfId="22" applyFont="1" applyFill="1"/>
    <xf numFmtId="3" fontId="11" fillId="3" borderId="0" xfId="22" applyNumberFormat="1" applyFont="1" applyFill="1"/>
    <xf numFmtId="0" fontId="2" fillId="3" borderId="0" xfId="23" applyFill="1"/>
    <xf numFmtId="3" fontId="2" fillId="3" borderId="0" xfId="23" applyNumberFormat="1" applyFill="1"/>
    <xf numFmtId="0" fontId="5" fillId="4" borderId="2" xfId="0" applyFont="1" applyFill="1" applyBorder="1" applyAlignment="1">
      <alignment horizontal="left"/>
    </xf>
    <xf numFmtId="0" fontId="5" fillId="4" borderId="2" xfId="0" applyFont="1" applyFill="1" applyBorder="1" applyAlignment="1">
      <alignment horizontal="right"/>
    </xf>
    <xf numFmtId="0" fontId="5" fillId="4" borderId="0" xfId="0" applyFont="1" applyFill="1" applyBorder="1" applyAlignment="1">
      <alignment horizontal="right"/>
    </xf>
    <xf numFmtId="0" fontId="5" fillId="4" borderId="0" xfId="0" applyFont="1" applyFill="1" applyBorder="1" applyAlignment="1">
      <alignment horizontal="center"/>
    </xf>
    <xf numFmtId="0" fontId="5" fillId="4" borderId="0" xfId="0" applyFont="1" applyFill="1" applyBorder="1" applyAlignment="1">
      <alignment horizontal="left"/>
    </xf>
    <xf numFmtId="0" fontId="2" fillId="3" borderId="0" xfId="9" applyFill="1"/>
    <xf numFmtId="0" fontId="2" fillId="3" borderId="0" xfId="11" applyFill="1"/>
    <xf numFmtId="3" fontId="2" fillId="3" borderId="0" xfId="11" applyNumberFormat="1" applyFill="1"/>
    <xf numFmtId="0" fontId="14" fillId="3" borderId="0" xfId="11" applyFont="1" applyFill="1"/>
    <xf numFmtId="0" fontId="10" fillId="3" borderId="0" xfId="14" applyFont="1" applyFill="1"/>
    <xf numFmtId="0" fontId="0" fillId="3" borderId="0" xfId="0" applyFill="1" applyBorder="1"/>
    <xf numFmtId="0" fontId="2" fillId="3" borderId="0" xfId="17" applyFill="1"/>
    <xf numFmtId="0" fontId="17" fillId="0" borderId="0" xfId="5" applyFont="1" applyAlignment="1">
      <alignment horizontal="center"/>
    </xf>
    <xf numFmtId="0" fontId="17" fillId="0" borderId="0" xfId="5" applyFont="1"/>
    <xf numFmtId="0" fontId="19" fillId="0" borderId="0" xfId="5" applyFont="1"/>
    <xf numFmtId="0" fontId="15" fillId="0" borderId="0" xfId="6" applyFont="1"/>
    <xf numFmtId="0" fontId="17" fillId="0" borderId="0" xfId="6" applyFont="1" applyAlignment="1">
      <alignment horizontal="center"/>
    </xf>
    <xf numFmtId="3" fontId="17" fillId="0" borderId="0" xfId="6" applyNumberFormat="1" applyFont="1" applyAlignment="1">
      <alignment horizontal="center"/>
    </xf>
    <xf numFmtId="3" fontId="17" fillId="0" borderId="1" xfId="6" applyNumberFormat="1" applyFont="1" applyBorder="1" applyAlignment="1">
      <alignment horizontal="center"/>
    </xf>
    <xf numFmtId="3" fontId="18" fillId="0" borderId="1" xfId="6" applyNumberFormat="1" applyFont="1" applyBorder="1" applyAlignment="1">
      <alignment horizontal="center"/>
    </xf>
    <xf numFmtId="0" fontId="16" fillId="0" borderId="0" xfId="6"/>
    <xf numFmtId="0" fontId="17" fillId="0" borderId="3" xfId="6" applyFont="1" applyBorder="1" applyAlignment="1">
      <alignment horizontal="center"/>
    </xf>
    <xf numFmtId="3" fontId="17" fillId="0" borderId="3" xfId="6" applyNumberFormat="1" applyFont="1" applyBorder="1" applyAlignment="1">
      <alignment horizontal="center"/>
    </xf>
    <xf numFmtId="0" fontId="19" fillId="0" borderId="0" xfId="6" applyFont="1" applyBorder="1" applyAlignment="1">
      <alignment horizontal="center"/>
    </xf>
    <xf numFmtId="0" fontId="17" fillId="0" borderId="0" xfId="6" applyFont="1" applyBorder="1" applyAlignment="1">
      <alignment horizontal="center"/>
    </xf>
    <xf numFmtId="3" fontId="17" fillId="0" borderId="0" xfId="6" applyNumberFormat="1" applyFont="1" applyBorder="1" applyAlignment="1">
      <alignment horizontal="center"/>
    </xf>
    <xf numFmtId="3" fontId="17" fillId="0" borderId="0" xfId="6" applyNumberFormat="1" applyFont="1" applyBorder="1" applyAlignment="1">
      <alignment horizontal="left"/>
    </xf>
    <xf numFmtId="0" fontId="17" fillId="0" borderId="4" xfId="6" applyFont="1" applyBorder="1" applyAlignment="1">
      <alignment horizontal="center"/>
    </xf>
    <xf numFmtId="3" fontId="17" fillId="0" borderId="4" xfId="6" applyNumberFormat="1" applyFont="1" applyBorder="1" applyAlignment="1">
      <alignment horizontal="center"/>
    </xf>
    <xf numFmtId="0" fontId="17" fillId="0" borderId="0" xfId="6" applyFont="1"/>
    <xf numFmtId="3" fontId="16" fillId="0" borderId="0" xfId="6" applyNumberFormat="1" applyAlignment="1">
      <alignment horizontal="center"/>
    </xf>
    <xf numFmtId="3" fontId="16" fillId="0" borderId="0" xfId="6" applyNumberFormat="1" applyFont="1" applyAlignment="1">
      <alignment horizontal="center"/>
    </xf>
    <xf numFmtId="0" fontId="16" fillId="0" borderId="0" xfId="6" applyBorder="1"/>
    <xf numFmtId="3" fontId="16" fillId="0" borderId="0" xfId="6" applyNumberFormat="1" applyBorder="1" applyAlignment="1">
      <alignment horizontal="center"/>
    </xf>
    <xf numFmtId="3" fontId="0" fillId="0" borderId="0" xfId="0" applyNumberFormat="1"/>
    <xf numFmtId="0" fontId="21" fillId="3" borderId="0" xfId="0" applyFont="1" applyFill="1"/>
    <xf numFmtId="0" fontId="22" fillId="3" borderId="0" xfId="0" applyFont="1" applyFill="1"/>
    <xf numFmtId="0" fontId="5" fillId="2" borderId="5" xfId="0" applyFont="1" applyFill="1" applyBorder="1"/>
    <xf numFmtId="0" fontId="0" fillId="3" borderId="0" xfId="0" applyFill="1" applyAlignment="1">
      <alignment horizontal="center"/>
    </xf>
    <xf numFmtId="0" fontId="23" fillId="3" borderId="0" xfId="0" applyFont="1" applyFill="1"/>
    <xf numFmtId="0" fontId="24" fillId="3" borderId="0" xfId="0" applyFont="1" applyFill="1"/>
    <xf numFmtId="0" fontId="5" fillId="2" borderId="6" xfId="0" applyFont="1" applyFill="1" applyBorder="1" applyAlignment="1">
      <alignment horizontal="center"/>
    </xf>
    <xf numFmtId="0" fontId="27" fillId="3" borderId="0" xfId="0" applyFont="1" applyFill="1"/>
    <xf numFmtId="0" fontId="7" fillId="5" borderId="7" xfId="0" applyFont="1" applyFill="1" applyBorder="1"/>
    <xf numFmtId="0" fontId="7" fillId="5" borderId="8" xfId="0" applyFont="1" applyFill="1" applyBorder="1"/>
    <xf numFmtId="3" fontId="0" fillId="3" borderId="9" xfId="0" applyNumberFormat="1" applyFill="1" applyBorder="1" applyAlignment="1">
      <alignment horizontal="center"/>
    </xf>
    <xf numFmtId="3" fontId="0" fillId="3" borderId="10" xfId="0" applyNumberFormat="1" applyFill="1" applyBorder="1" applyAlignment="1">
      <alignment horizontal="center"/>
    </xf>
    <xf numFmtId="3" fontId="0" fillId="3" borderId="11" xfId="0" applyNumberFormat="1" applyFill="1" applyBorder="1" applyAlignment="1">
      <alignment horizontal="center"/>
    </xf>
    <xf numFmtId="0" fontId="0" fillId="3" borderId="0" xfId="0" applyFill="1" applyBorder="1" applyAlignment="1">
      <alignment horizontal="center"/>
    </xf>
    <xf numFmtId="0" fontId="0" fillId="3" borderId="11" xfId="0" applyFill="1" applyBorder="1" applyAlignment="1">
      <alignment horizontal="center"/>
    </xf>
    <xf numFmtId="3" fontId="0" fillId="3" borderId="0" xfId="0" applyNumberFormat="1" applyFill="1" applyBorder="1" applyAlignment="1">
      <alignment horizontal="center"/>
    </xf>
    <xf numFmtId="3" fontId="0" fillId="3" borderId="12" xfId="0" applyNumberFormat="1" applyFill="1" applyBorder="1" applyAlignment="1">
      <alignment horizontal="center"/>
    </xf>
    <xf numFmtId="3" fontId="0" fillId="3" borderId="13" xfId="0" applyNumberFormat="1" applyFill="1" applyBorder="1" applyAlignment="1">
      <alignment horizontal="center"/>
    </xf>
    <xf numFmtId="3" fontId="0" fillId="3" borderId="1" xfId="0" applyNumberFormat="1" applyFill="1" applyBorder="1" applyAlignment="1">
      <alignment horizontal="center"/>
    </xf>
    <xf numFmtId="3" fontId="0" fillId="3" borderId="0" xfId="0" applyNumberFormat="1" applyFill="1" applyAlignment="1">
      <alignment horizontal="center"/>
    </xf>
    <xf numFmtId="0" fontId="5" fillId="2" borderId="14" xfId="0" applyFont="1" applyFill="1" applyBorder="1" applyAlignment="1">
      <alignment horizontal="right"/>
    </xf>
    <xf numFmtId="0" fontId="5" fillId="2" borderId="15" xfId="0" applyFont="1" applyFill="1" applyBorder="1"/>
    <xf numFmtId="3" fontId="7" fillId="5" borderId="16" xfId="0" applyNumberFormat="1" applyFont="1" applyFill="1" applyBorder="1" applyAlignment="1">
      <alignment horizontal="right"/>
    </xf>
    <xf numFmtId="166" fontId="7" fillId="5" borderId="9" xfId="26" applyNumberFormat="1" applyFont="1" applyFill="1" applyBorder="1"/>
    <xf numFmtId="3" fontId="7" fillId="5" borderId="17" xfId="0" applyNumberFormat="1" applyFont="1" applyFill="1" applyBorder="1" applyAlignment="1">
      <alignment horizontal="right"/>
    </xf>
    <xf numFmtId="166" fontId="7" fillId="5" borderId="11" xfId="26" applyNumberFormat="1" applyFont="1" applyFill="1" applyBorder="1"/>
    <xf numFmtId="0" fontId="5" fillId="2" borderId="18" xfId="0" applyFont="1" applyFill="1" applyBorder="1" applyAlignment="1">
      <alignment horizontal="center" vertical="center" wrapText="1"/>
    </xf>
    <xf numFmtId="0" fontId="5" fillId="2" borderId="1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20" xfId="0" applyFont="1" applyFill="1" applyBorder="1" applyAlignment="1">
      <alignment horizontal="center" vertical="center" wrapText="1"/>
    </xf>
    <xf numFmtId="0" fontId="5" fillId="2" borderId="21" xfId="0" applyFont="1" applyFill="1" applyBorder="1" applyAlignment="1">
      <alignment horizontal="center" vertical="center" wrapText="1"/>
    </xf>
    <xf numFmtId="0" fontId="5" fillId="2" borderId="22" xfId="0" applyFont="1" applyFill="1" applyBorder="1" applyAlignment="1">
      <alignment horizontal="center" vertical="center" wrapText="1"/>
    </xf>
    <xf numFmtId="0" fontId="5" fillId="2" borderId="23"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5" fillId="2" borderId="24" xfId="0" applyFont="1" applyFill="1" applyBorder="1" applyAlignment="1">
      <alignment horizontal="center" vertical="center" wrapText="1"/>
    </xf>
    <xf numFmtId="0" fontId="5" fillId="2" borderId="25" xfId="0" applyFont="1" applyFill="1" applyBorder="1" applyAlignment="1">
      <alignment horizontal="center" vertical="center" wrapText="1"/>
    </xf>
    <xf numFmtId="0" fontId="33" fillId="6" borderId="26" xfId="0" applyFont="1" applyFill="1" applyBorder="1" applyAlignment="1">
      <alignment horizontal="left" wrapText="1"/>
    </xf>
    <xf numFmtId="3" fontId="33" fillId="6" borderId="12" xfId="0" applyNumberFormat="1" applyFont="1" applyFill="1" applyBorder="1" applyAlignment="1">
      <alignment horizontal="center" wrapText="1"/>
    </xf>
    <xf numFmtId="166" fontId="33" fillId="6" borderId="0" xfId="0" applyNumberFormat="1" applyFont="1" applyFill="1" applyBorder="1" applyAlignment="1">
      <alignment horizontal="center" wrapText="1"/>
    </xf>
    <xf numFmtId="3" fontId="33" fillId="6" borderId="27" xfId="0" applyNumberFormat="1" applyFont="1" applyFill="1" applyBorder="1" applyAlignment="1">
      <alignment horizontal="center" wrapText="1"/>
    </xf>
    <xf numFmtId="166" fontId="33" fillId="6" borderId="28" xfId="0" applyNumberFormat="1" applyFont="1" applyFill="1" applyBorder="1" applyAlignment="1">
      <alignment horizontal="center" wrapText="1"/>
    </xf>
    <xf numFmtId="164" fontId="33" fillId="6" borderId="27" xfId="0" applyNumberFormat="1" applyFont="1" applyFill="1" applyBorder="1" applyAlignment="1">
      <alignment horizontal="center" wrapText="1"/>
    </xf>
    <xf numFmtId="0" fontId="33" fillId="6" borderId="22" xfId="0" applyFont="1" applyFill="1" applyBorder="1" applyAlignment="1">
      <alignment horizontal="left" wrapText="1"/>
    </xf>
    <xf numFmtId="3" fontId="33" fillId="6" borderId="23" xfId="0" applyNumberFormat="1" applyFont="1" applyFill="1" applyBorder="1" applyAlignment="1">
      <alignment horizontal="center" wrapText="1"/>
    </xf>
    <xf numFmtId="164" fontId="33" fillId="6" borderId="29" xfId="0" applyNumberFormat="1" applyFont="1" applyFill="1" applyBorder="1" applyAlignment="1">
      <alignment horizontal="center" wrapText="1"/>
    </xf>
    <xf numFmtId="0" fontId="33" fillId="6" borderId="30" xfId="0" applyFont="1" applyFill="1" applyBorder="1" applyAlignment="1">
      <alignment horizontal="left" wrapText="1"/>
    </xf>
    <xf numFmtId="3" fontId="33" fillId="6" borderId="31" xfId="0" applyNumberFormat="1" applyFont="1" applyFill="1" applyBorder="1" applyAlignment="1">
      <alignment horizontal="center" wrapText="1"/>
    </xf>
    <xf numFmtId="166" fontId="33" fillId="6" borderId="32" xfId="0" applyNumberFormat="1" applyFont="1" applyFill="1" applyBorder="1" applyAlignment="1">
      <alignment horizontal="center" wrapText="1"/>
    </xf>
    <xf numFmtId="166" fontId="33" fillId="6" borderId="33" xfId="0" applyNumberFormat="1" applyFont="1" applyFill="1" applyBorder="1" applyAlignment="1">
      <alignment horizontal="center" wrapText="1"/>
    </xf>
    <xf numFmtId="0" fontId="7" fillId="3" borderId="0" xfId="0" applyFont="1" applyFill="1"/>
    <xf numFmtId="0" fontId="5" fillId="3" borderId="0" xfId="0" applyFont="1" applyFill="1" applyBorder="1" applyAlignment="1">
      <alignment horizontal="right"/>
    </xf>
    <xf numFmtId="0" fontId="5" fillId="3" borderId="0" xfId="0" applyFont="1" applyFill="1" applyBorder="1" applyAlignment="1">
      <alignment horizontal="center"/>
    </xf>
    <xf numFmtId="0" fontId="25" fillId="3" borderId="0" xfId="0" applyFont="1" applyFill="1" applyBorder="1" applyAlignment="1">
      <alignment horizontal="left" wrapText="1"/>
    </xf>
    <xf numFmtId="0" fontId="33" fillId="3" borderId="0" xfId="0" applyFont="1" applyFill="1" applyBorder="1" applyAlignment="1">
      <alignment horizontal="left" vertical="center" wrapText="1"/>
    </xf>
    <xf numFmtId="164" fontId="33" fillId="3" borderId="0" xfId="0" applyNumberFormat="1" applyFont="1" applyFill="1" applyBorder="1" applyAlignment="1">
      <alignment horizontal="center" wrapText="1"/>
    </xf>
    <xf numFmtId="0" fontId="33" fillId="3" borderId="0" xfId="0" applyFont="1" applyFill="1" applyBorder="1" applyAlignment="1">
      <alignment horizontal="left" wrapText="1"/>
    </xf>
    <xf numFmtId="0" fontId="7" fillId="3" borderId="0" xfId="0" applyFont="1" applyFill="1" applyBorder="1"/>
    <xf numFmtId="0" fontId="31" fillId="3" borderId="0" xfId="0" applyFont="1" applyFill="1"/>
    <xf numFmtId="0" fontId="32" fillId="3" borderId="0" xfId="0" applyFont="1" applyFill="1"/>
    <xf numFmtId="0" fontId="5" fillId="2" borderId="34" xfId="0" applyFont="1" applyFill="1" applyBorder="1"/>
    <xf numFmtId="0" fontId="5" fillId="2" borderId="35" xfId="0" applyFont="1" applyFill="1" applyBorder="1"/>
    <xf numFmtId="166" fontId="7" fillId="5" borderId="21" xfId="26" applyNumberFormat="1" applyFont="1" applyFill="1" applyBorder="1"/>
    <xf numFmtId="166" fontId="7" fillId="5" borderId="36" xfId="26" applyNumberFormat="1" applyFont="1" applyFill="1" applyBorder="1"/>
    <xf numFmtId="0" fontId="7" fillId="5" borderId="37" xfId="0" applyFont="1" applyFill="1" applyBorder="1"/>
    <xf numFmtId="3" fontId="7" fillId="5" borderId="38" xfId="0" applyNumberFormat="1" applyFont="1" applyFill="1" applyBorder="1" applyAlignment="1">
      <alignment horizontal="right"/>
    </xf>
    <xf numFmtId="0" fontId="7" fillId="5" borderId="39" xfId="0" applyFont="1" applyFill="1" applyBorder="1"/>
    <xf numFmtId="0" fontId="7" fillId="5" borderId="33" xfId="0" applyFont="1" applyFill="1" applyBorder="1"/>
    <xf numFmtId="0" fontId="24" fillId="3" borderId="16" xfId="0" applyFont="1" applyFill="1" applyBorder="1"/>
    <xf numFmtId="0" fontId="24" fillId="3" borderId="16" xfId="0" applyFont="1" applyFill="1" applyBorder="1" applyAlignment="1">
      <alignment horizontal="center"/>
    </xf>
    <xf numFmtId="0" fontId="24" fillId="3" borderId="9" xfId="0" applyFont="1" applyFill="1" applyBorder="1" applyAlignment="1">
      <alignment horizontal="center"/>
    </xf>
    <xf numFmtId="0" fontId="24" fillId="3" borderId="10" xfId="0" applyFont="1" applyFill="1" applyBorder="1" applyAlignment="1">
      <alignment horizontal="center"/>
    </xf>
    <xf numFmtId="0" fontId="24" fillId="3" borderId="40" xfId="0" applyFont="1" applyFill="1" applyBorder="1"/>
    <xf numFmtId="0" fontId="24" fillId="3" borderId="40" xfId="0" applyFont="1" applyFill="1" applyBorder="1" applyAlignment="1">
      <alignment horizontal="center"/>
    </xf>
    <xf numFmtId="0" fontId="24" fillId="3" borderId="13" xfId="0" applyFont="1" applyFill="1" applyBorder="1" applyAlignment="1">
      <alignment horizontal="center"/>
    </xf>
    <xf numFmtId="0" fontId="24" fillId="3" borderId="1" xfId="0" applyFont="1" applyFill="1" applyBorder="1" applyAlignment="1">
      <alignment horizontal="center"/>
    </xf>
    <xf numFmtId="0" fontId="24" fillId="3" borderId="17" xfId="0" applyFont="1" applyFill="1" applyBorder="1"/>
    <xf numFmtId="3" fontId="24" fillId="3" borderId="17" xfId="0" applyNumberFormat="1" applyFont="1" applyFill="1" applyBorder="1" applyAlignment="1">
      <alignment horizontal="center"/>
    </xf>
    <xf numFmtId="3" fontId="24" fillId="3" borderId="11" xfId="0" applyNumberFormat="1" applyFont="1" applyFill="1" applyBorder="1" applyAlignment="1">
      <alignment horizontal="center"/>
    </xf>
    <xf numFmtId="3" fontId="24" fillId="3" borderId="0" xfId="0" applyNumberFormat="1" applyFont="1" applyFill="1" applyBorder="1" applyAlignment="1">
      <alignment horizontal="center"/>
    </xf>
    <xf numFmtId="0" fontId="24" fillId="3" borderId="11" xfId="0" applyFont="1" applyFill="1" applyBorder="1" applyAlignment="1">
      <alignment horizontal="center"/>
    </xf>
    <xf numFmtId="0" fontId="24" fillId="3" borderId="0" xfId="0" applyFont="1" applyFill="1" applyBorder="1" applyAlignment="1">
      <alignment horizontal="center"/>
    </xf>
    <xf numFmtId="0" fontId="24" fillId="3" borderId="17" xfId="0" applyFont="1" applyFill="1" applyBorder="1" applyAlignment="1">
      <alignment horizontal="center"/>
    </xf>
    <xf numFmtId="0" fontId="24" fillId="3" borderId="41" xfId="0" applyFont="1" applyFill="1" applyBorder="1"/>
    <xf numFmtId="3" fontId="24" fillId="3" borderId="41" xfId="0" applyNumberFormat="1" applyFont="1" applyFill="1" applyBorder="1" applyAlignment="1">
      <alignment horizontal="center"/>
    </xf>
    <xf numFmtId="3" fontId="24" fillId="3" borderId="42" xfId="0" applyNumberFormat="1" applyFont="1" applyFill="1" applyBorder="1" applyAlignment="1">
      <alignment horizontal="center"/>
    </xf>
    <xf numFmtId="3" fontId="24" fillId="3" borderId="43" xfId="0" applyNumberFormat="1" applyFont="1" applyFill="1" applyBorder="1" applyAlignment="1">
      <alignment horizontal="center"/>
    </xf>
    <xf numFmtId="0" fontId="23" fillId="3" borderId="17" xfId="0" applyFont="1" applyFill="1" applyBorder="1"/>
    <xf numFmtId="3" fontId="24" fillId="3" borderId="40" xfId="0" applyNumberFormat="1" applyFont="1" applyFill="1" applyBorder="1" applyAlignment="1">
      <alignment horizontal="center"/>
    </xf>
    <xf numFmtId="3" fontId="24" fillId="3" borderId="13" xfId="0" applyNumberFormat="1" applyFont="1" applyFill="1" applyBorder="1" applyAlignment="1">
      <alignment horizontal="center"/>
    </xf>
    <xf numFmtId="3" fontId="24" fillId="3" borderId="1" xfId="0" applyNumberFormat="1" applyFont="1" applyFill="1" applyBorder="1" applyAlignment="1">
      <alignment horizontal="center"/>
    </xf>
    <xf numFmtId="0" fontId="24" fillId="3" borderId="0" xfId="0" applyFont="1" applyFill="1" applyBorder="1"/>
    <xf numFmtId="3" fontId="24" fillId="3" borderId="0" xfId="0" applyNumberFormat="1" applyFont="1" applyFill="1" applyBorder="1"/>
    <xf numFmtId="0" fontId="27" fillId="3" borderId="0" xfId="0" applyFont="1" applyFill="1" applyBorder="1"/>
    <xf numFmtId="0" fontId="0" fillId="3" borderId="0" xfId="0" applyNumberFormat="1" applyFill="1"/>
    <xf numFmtId="167" fontId="0" fillId="3" borderId="0" xfId="0" applyNumberFormat="1" applyFill="1"/>
    <xf numFmtId="0" fontId="0" fillId="3" borderId="0" xfId="0" applyNumberFormat="1" applyFill="1" applyAlignment="1">
      <alignment horizontal="center"/>
    </xf>
    <xf numFmtId="0" fontId="12" fillId="5" borderId="44" xfId="0" applyNumberFormat="1" applyFont="1" applyFill="1" applyBorder="1"/>
    <xf numFmtId="0" fontId="12" fillId="5" borderId="45" xfId="0" applyNumberFormat="1" applyFont="1" applyFill="1" applyBorder="1"/>
    <xf numFmtId="0" fontId="12" fillId="5" borderId="46" xfId="0" applyNumberFormat="1" applyFont="1" applyFill="1" applyBorder="1"/>
    <xf numFmtId="0" fontId="0" fillId="3" borderId="47" xfId="0" applyNumberFormat="1" applyFill="1" applyBorder="1"/>
    <xf numFmtId="0" fontId="0" fillId="3" borderId="8" xfId="0" applyNumberFormat="1" applyFill="1" applyBorder="1"/>
    <xf numFmtId="0" fontId="0" fillId="5" borderId="48" xfId="0" applyNumberFormat="1" applyFill="1" applyBorder="1"/>
    <xf numFmtId="0" fontId="7" fillId="3" borderId="44" xfId="0" applyNumberFormat="1" applyFont="1" applyFill="1" applyBorder="1"/>
    <xf numFmtId="0" fontId="7" fillId="3" borderId="45" xfId="0" applyNumberFormat="1" applyFont="1" applyFill="1" applyBorder="1"/>
    <xf numFmtId="0" fontId="0" fillId="3" borderId="45" xfId="0" applyNumberFormat="1" applyFill="1" applyBorder="1"/>
    <xf numFmtId="3" fontId="0" fillId="3" borderId="6" xfId="0" applyNumberFormat="1" applyFill="1" applyBorder="1" applyAlignment="1">
      <alignment horizontal="center"/>
    </xf>
    <xf numFmtId="3" fontId="0" fillId="3" borderId="2" xfId="0" applyNumberFormat="1" applyFill="1" applyBorder="1" applyAlignment="1">
      <alignment horizontal="center"/>
    </xf>
    <xf numFmtId="3" fontId="0" fillId="3" borderId="47" xfId="0" applyNumberFormat="1" applyFill="1" applyBorder="1" applyAlignment="1">
      <alignment horizontal="center"/>
    </xf>
    <xf numFmtId="3" fontId="0" fillId="3" borderId="8" xfId="0" applyNumberFormat="1" applyFill="1" applyBorder="1" applyAlignment="1">
      <alignment horizontal="center"/>
    </xf>
    <xf numFmtId="0" fontId="12" fillId="5" borderId="49" xfId="0" applyNumberFormat="1" applyFont="1" applyFill="1" applyBorder="1" applyAlignment="1">
      <alignment horizontal="center"/>
    </xf>
    <xf numFmtId="3" fontId="0" fillId="5" borderId="6" xfId="0" applyNumberFormat="1" applyFill="1" applyBorder="1" applyAlignment="1">
      <alignment horizontal="center"/>
    </xf>
    <xf numFmtId="0" fontId="0" fillId="5" borderId="5" xfId="0" applyNumberFormat="1" applyFill="1" applyBorder="1"/>
    <xf numFmtId="3" fontId="0" fillId="5" borderId="47" xfId="0" applyNumberFormat="1" applyFill="1" applyBorder="1" applyAlignment="1">
      <alignment horizontal="center"/>
    </xf>
    <xf numFmtId="3" fontId="0" fillId="5" borderId="8" xfId="0" applyNumberFormat="1" applyFill="1" applyBorder="1" applyAlignment="1">
      <alignment horizontal="center"/>
    </xf>
    <xf numFmtId="3" fontId="0" fillId="5" borderId="5" xfId="0" applyNumberFormat="1" applyFill="1" applyBorder="1" applyAlignment="1">
      <alignment horizontal="center"/>
    </xf>
    <xf numFmtId="0" fontId="7" fillId="3" borderId="0" xfId="0" applyNumberFormat="1" applyFont="1" applyFill="1" applyAlignment="1">
      <alignment horizontal="center"/>
    </xf>
    <xf numFmtId="17" fontId="0" fillId="3" borderId="0" xfId="0" applyNumberFormat="1" applyFill="1" applyAlignment="1">
      <alignment horizontal="center"/>
    </xf>
    <xf numFmtId="0" fontId="12" fillId="5" borderId="28" xfId="0" applyNumberFormat="1" applyFont="1" applyFill="1" applyBorder="1" applyAlignment="1">
      <alignment horizontal="center"/>
    </xf>
    <xf numFmtId="3" fontId="0" fillId="5" borderId="28" xfId="0" applyNumberFormat="1" applyFill="1" applyBorder="1" applyAlignment="1">
      <alignment horizontal="center"/>
    </xf>
    <xf numFmtId="3" fontId="0" fillId="3" borderId="39" xfId="0" applyNumberFormat="1" applyFill="1" applyBorder="1" applyAlignment="1">
      <alignment horizontal="center"/>
    </xf>
    <xf numFmtId="3" fontId="0" fillId="5" borderId="50" xfId="0" applyNumberFormat="1" applyFill="1" applyBorder="1" applyAlignment="1">
      <alignment horizontal="center"/>
    </xf>
    <xf numFmtId="3" fontId="0" fillId="5" borderId="39" xfId="0" applyNumberFormat="1" applyFill="1" applyBorder="1" applyAlignment="1">
      <alignment horizontal="center"/>
    </xf>
    <xf numFmtId="3" fontId="0" fillId="3" borderId="51" xfId="0" applyNumberFormat="1" applyFill="1" applyBorder="1" applyAlignment="1">
      <alignment horizontal="center"/>
    </xf>
    <xf numFmtId="3" fontId="0" fillId="5" borderId="49" xfId="0" applyNumberFormat="1" applyFill="1" applyBorder="1" applyAlignment="1">
      <alignment horizontal="center"/>
    </xf>
    <xf numFmtId="3" fontId="0" fillId="5" borderId="51" xfId="0" applyNumberFormat="1" applyFill="1" applyBorder="1" applyAlignment="1">
      <alignment horizontal="center"/>
    </xf>
    <xf numFmtId="3" fontId="0" fillId="5" borderId="2" xfId="0" applyNumberFormat="1" applyFill="1" applyBorder="1" applyAlignment="1">
      <alignment horizontal="center"/>
    </xf>
    <xf numFmtId="3" fontId="0" fillId="5" borderId="11" xfId="0" applyNumberFormat="1" applyFill="1" applyBorder="1" applyAlignment="1">
      <alignment horizontal="center"/>
    </xf>
    <xf numFmtId="3" fontId="0" fillId="5" borderId="0" xfId="0" applyNumberFormat="1" applyFill="1" applyBorder="1" applyAlignment="1">
      <alignment horizontal="center"/>
    </xf>
    <xf numFmtId="3" fontId="0" fillId="5" borderId="52" xfId="0" applyNumberFormat="1" applyFill="1" applyBorder="1" applyAlignment="1">
      <alignment horizontal="center"/>
    </xf>
    <xf numFmtId="3" fontId="0" fillId="5" borderId="53" xfId="0" applyNumberFormat="1" applyFill="1" applyBorder="1" applyAlignment="1">
      <alignment horizontal="center"/>
    </xf>
    <xf numFmtId="3" fontId="0" fillId="5" borderId="54" xfId="0" applyNumberFormat="1" applyFill="1" applyBorder="1" applyAlignment="1">
      <alignment horizontal="center"/>
    </xf>
    <xf numFmtId="0" fontId="12" fillId="5" borderId="2" xfId="0" applyNumberFormat="1" applyFont="1" applyFill="1" applyBorder="1" applyAlignment="1">
      <alignment horizontal="center"/>
    </xf>
    <xf numFmtId="0" fontId="12" fillId="5" borderId="51" xfId="0" applyNumberFormat="1" applyFont="1" applyFill="1" applyBorder="1" applyAlignment="1">
      <alignment horizontal="center"/>
    </xf>
    <xf numFmtId="0" fontId="20" fillId="5" borderId="51" xfId="0" applyNumberFormat="1" applyFont="1" applyFill="1" applyBorder="1" applyAlignment="1">
      <alignment horizontal="center"/>
    </xf>
    <xf numFmtId="0" fontId="12" fillId="5" borderId="11" xfId="0" applyNumberFormat="1" applyFont="1" applyFill="1" applyBorder="1" applyAlignment="1">
      <alignment horizontal="center"/>
    </xf>
    <xf numFmtId="0" fontId="12" fillId="5" borderId="0" xfId="0" applyNumberFormat="1" applyFont="1" applyFill="1" applyBorder="1" applyAlignment="1">
      <alignment horizontal="center"/>
    </xf>
    <xf numFmtId="0" fontId="20" fillId="5" borderId="0" xfId="0" applyNumberFormat="1" applyFont="1" applyFill="1" applyBorder="1" applyAlignment="1">
      <alignment horizontal="center"/>
    </xf>
    <xf numFmtId="0" fontId="0" fillId="5" borderId="11" xfId="0" applyFill="1" applyBorder="1" applyAlignment="1">
      <alignment horizontal="center"/>
    </xf>
    <xf numFmtId="3" fontId="0" fillId="5" borderId="55" xfId="0" applyNumberFormat="1" applyFill="1" applyBorder="1" applyAlignment="1">
      <alignment horizontal="center"/>
    </xf>
    <xf numFmtId="0" fontId="0" fillId="5" borderId="8" xfId="0" applyNumberFormat="1" applyFill="1" applyBorder="1"/>
    <xf numFmtId="0" fontId="0" fillId="3" borderId="0" xfId="0" applyFill="1" applyAlignment="1">
      <alignment horizontal="left"/>
    </xf>
    <xf numFmtId="0" fontId="0" fillId="3" borderId="56" xfId="0" applyFill="1" applyBorder="1"/>
    <xf numFmtId="0" fontId="12" fillId="5" borderId="48" xfId="0" applyNumberFormat="1" applyFont="1" applyFill="1" applyBorder="1"/>
    <xf numFmtId="0" fontId="7" fillId="5" borderId="48" xfId="0" applyFont="1" applyFill="1" applyBorder="1"/>
    <xf numFmtId="0" fontId="20" fillId="5" borderId="45" xfId="0" applyNumberFormat="1" applyFont="1" applyFill="1" applyBorder="1"/>
    <xf numFmtId="3" fontId="22" fillId="3" borderId="0" xfId="0" applyNumberFormat="1" applyFont="1" applyFill="1" applyBorder="1" applyAlignment="1">
      <alignment horizontal="center"/>
    </xf>
    <xf numFmtId="3" fontId="22" fillId="3" borderId="11" xfId="0" applyNumberFormat="1" applyFont="1" applyFill="1" applyBorder="1" applyAlignment="1">
      <alignment horizontal="center"/>
    </xf>
    <xf numFmtId="3" fontId="22" fillId="5" borderId="11" xfId="0" applyNumberFormat="1" applyFont="1" applyFill="1" applyBorder="1" applyAlignment="1">
      <alignment horizontal="center"/>
    </xf>
    <xf numFmtId="3" fontId="22" fillId="3" borderId="0" xfId="0" applyNumberFormat="1" applyFont="1" applyFill="1"/>
    <xf numFmtId="164" fontId="22" fillId="3" borderId="11" xfId="0" applyNumberFormat="1" applyFont="1" applyFill="1" applyBorder="1" applyAlignment="1">
      <alignment horizontal="center"/>
    </xf>
    <xf numFmtId="3" fontId="22" fillId="5" borderId="28" xfId="0" applyNumberFormat="1" applyFont="1" applyFill="1" applyBorder="1" applyAlignment="1">
      <alignment horizontal="center"/>
    </xf>
    <xf numFmtId="0" fontId="34" fillId="3" borderId="0" xfId="0" applyFont="1" applyFill="1" applyBorder="1" applyAlignment="1">
      <alignment horizontal="center"/>
    </xf>
    <xf numFmtId="0" fontId="27" fillId="3" borderId="0" xfId="0" applyFont="1" applyFill="1" applyAlignment="1">
      <alignment horizontal="center"/>
    </xf>
    <xf numFmtId="0" fontId="35" fillId="3" borderId="57" xfId="0" applyFont="1" applyFill="1" applyBorder="1"/>
    <xf numFmtId="0" fontId="35" fillId="3" borderId="58" xfId="0" applyFont="1" applyFill="1" applyBorder="1"/>
    <xf numFmtId="0" fontId="35" fillId="3" borderId="59" xfId="0" applyFont="1" applyFill="1" applyBorder="1"/>
    <xf numFmtId="0" fontId="35" fillId="3" borderId="60" xfId="0" applyFont="1" applyFill="1" applyBorder="1"/>
    <xf numFmtId="0" fontId="36" fillId="3" borderId="59" xfId="0" applyFont="1" applyFill="1" applyBorder="1"/>
    <xf numFmtId="0" fontId="37" fillId="3" borderId="60" xfId="0" applyFont="1" applyFill="1" applyBorder="1" applyAlignment="1">
      <alignment horizontal="center"/>
    </xf>
    <xf numFmtId="17" fontId="37" fillId="3" borderId="60" xfId="0" applyNumberFormat="1" applyFont="1" applyFill="1" applyBorder="1" applyAlignment="1">
      <alignment horizontal="center"/>
    </xf>
    <xf numFmtId="0" fontId="36" fillId="3" borderId="60" xfId="0" applyFont="1" applyFill="1" applyBorder="1"/>
    <xf numFmtId="0" fontId="38" fillId="3" borderId="60" xfId="0" applyFont="1" applyFill="1" applyBorder="1" applyAlignment="1">
      <alignment horizontal="center"/>
    </xf>
    <xf numFmtId="0" fontId="34" fillId="3" borderId="59" xfId="0" applyFont="1" applyFill="1" applyBorder="1"/>
    <xf numFmtId="0" fontId="34" fillId="3" borderId="60" xfId="0" applyFont="1" applyFill="1" applyBorder="1" applyAlignment="1">
      <alignment horizontal="center"/>
    </xf>
    <xf numFmtId="0" fontId="36" fillId="3" borderId="61" xfId="0" applyFont="1" applyFill="1" applyBorder="1" applyAlignment="1">
      <alignment horizontal="left"/>
    </xf>
    <xf numFmtId="0" fontId="36" fillId="3" borderId="62" xfId="0" applyFont="1" applyFill="1" applyBorder="1" applyAlignment="1">
      <alignment horizontal="left"/>
    </xf>
    <xf numFmtId="0" fontId="39" fillId="3" borderId="60" xfId="0" applyFont="1" applyFill="1" applyBorder="1" applyAlignment="1">
      <alignment horizontal="center"/>
    </xf>
    <xf numFmtId="3" fontId="2" fillId="3" borderId="0" xfId="21" applyNumberFormat="1" applyFill="1" applyBorder="1"/>
    <xf numFmtId="0" fontId="2" fillId="3" borderId="0" xfId="21" applyFill="1" applyBorder="1"/>
    <xf numFmtId="0" fontId="2" fillId="3" borderId="0" xfId="12" applyFill="1"/>
    <xf numFmtId="0" fontId="41" fillId="2" borderId="0" xfId="24" applyFont="1" applyFill="1" applyBorder="1" applyAlignment="1">
      <alignment horizontal="center"/>
    </xf>
    <xf numFmtId="0" fontId="16" fillId="2" borderId="0" xfId="24" applyFill="1" applyBorder="1"/>
    <xf numFmtId="0" fontId="16" fillId="3" borderId="0" xfId="24" applyFill="1"/>
    <xf numFmtId="0" fontId="16" fillId="7" borderId="16" xfId="24" applyFill="1" applyBorder="1"/>
    <xf numFmtId="0" fontId="16" fillId="7" borderId="10" xfId="24" applyFill="1" applyBorder="1"/>
    <xf numFmtId="0" fontId="16" fillId="7" borderId="19" xfId="24" applyFill="1" applyBorder="1"/>
    <xf numFmtId="0" fontId="40" fillId="2" borderId="17" xfId="24" applyFont="1" applyFill="1" applyBorder="1"/>
    <xf numFmtId="0" fontId="40" fillId="2" borderId="12" xfId="24" applyFont="1" applyFill="1" applyBorder="1"/>
    <xf numFmtId="0" fontId="17" fillId="2" borderId="17" xfId="24" applyFont="1" applyFill="1" applyBorder="1"/>
    <xf numFmtId="0" fontId="16" fillId="2" borderId="12" xfId="24" applyFill="1" applyBorder="1"/>
    <xf numFmtId="0" fontId="40" fillId="2" borderId="16" xfId="24" applyFont="1" applyFill="1" applyBorder="1"/>
    <xf numFmtId="0" fontId="40" fillId="2" borderId="19" xfId="24" applyFont="1" applyFill="1" applyBorder="1"/>
    <xf numFmtId="0" fontId="17" fillId="2" borderId="40" xfId="24" applyFont="1" applyFill="1" applyBorder="1"/>
    <xf numFmtId="0" fontId="16" fillId="2" borderId="1" xfId="24" applyFill="1" applyBorder="1"/>
    <xf numFmtId="0" fontId="16" fillId="2" borderId="23" xfId="24" applyFill="1" applyBorder="1"/>
    <xf numFmtId="0" fontId="43" fillId="2" borderId="0" xfId="25" applyNumberFormat="1" applyFont="1" applyFill="1" applyBorder="1" applyAlignment="1">
      <alignment horizontal="center"/>
    </xf>
    <xf numFmtId="0" fontId="43" fillId="2" borderId="0" xfId="25" applyNumberFormat="1" applyFont="1" applyFill="1" applyBorder="1" applyAlignment="1">
      <alignment horizontal="left"/>
    </xf>
    <xf numFmtId="0" fontId="43" fillId="2" borderId="10" xfId="25" applyNumberFormat="1" applyFont="1" applyFill="1" applyBorder="1" applyAlignment="1">
      <alignment horizontal="center"/>
    </xf>
    <xf numFmtId="0" fontId="10" fillId="2" borderId="10" xfId="25" applyNumberFormat="1" applyFont="1" applyFill="1" applyBorder="1"/>
    <xf numFmtId="0" fontId="43" fillId="2" borderId="1" xfId="25" applyNumberFormat="1" applyFont="1" applyFill="1" applyBorder="1" applyAlignment="1">
      <alignment horizontal="center"/>
    </xf>
    <xf numFmtId="0" fontId="10" fillId="3" borderId="0" xfId="25" applyNumberFormat="1" applyFont="1" applyFill="1"/>
    <xf numFmtId="0" fontId="10" fillId="3" borderId="0" xfId="25" applyFont="1" applyFill="1"/>
    <xf numFmtId="0" fontId="10" fillId="3" borderId="63" xfId="25" applyFont="1" applyFill="1" applyBorder="1"/>
    <xf numFmtId="0" fontId="10" fillId="3" borderId="17" xfId="25" applyFont="1" applyFill="1" applyBorder="1"/>
    <xf numFmtId="3" fontId="22" fillId="3" borderId="26" xfId="0" applyNumberFormat="1" applyFont="1" applyFill="1" applyBorder="1" applyAlignment="1">
      <alignment horizontal="center"/>
    </xf>
    <xf numFmtId="3" fontId="0" fillId="3" borderId="17" xfId="0" applyNumberFormat="1" applyFill="1" applyBorder="1" applyAlignment="1">
      <alignment horizontal="center"/>
    </xf>
    <xf numFmtId="3" fontId="22" fillId="3" borderId="17" xfId="0" applyNumberFormat="1" applyFont="1" applyFill="1" applyBorder="1" applyAlignment="1">
      <alignment horizontal="center"/>
    </xf>
    <xf numFmtId="0" fontId="47" fillId="3" borderId="0" xfId="1" applyFill="1" applyAlignment="1" applyProtection="1"/>
    <xf numFmtId="0" fontId="47" fillId="3" borderId="0" xfId="1" applyNumberFormat="1" applyFill="1" applyAlignment="1" applyProtection="1">
      <alignment horizontal="center"/>
    </xf>
    <xf numFmtId="0" fontId="47" fillId="3" borderId="0" xfId="1" applyNumberFormat="1" applyFill="1" applyAlignment="1" applyProtection="1"/>
    <xf numFmtId="3" fontId="9" fillId="3" borderId="0" xfId="4" applyNumberFormat="1" applyFont="1" applyFill="1"/>
    <xf numFmtId="0" fontId="48" fillId="3" borderId="0" xfId="0" applyFont="1" applyFill="1"/>
    <xf numFmtId="0" fontId="6" fillId="3" borderId="0" xfId="0" applyFont="1" applyFill="1" applyBorder="1"/>
    <xf numFmtId="3" fontId="6" fillId="3" borderId="0" xfId="0" applyNumberFormat="1" applyFont="1" applyFill="1" applyBorder="1"/>
    <xf numFmtId="0" fontId="0" fillId="8" borderId="0" xfId="0" applyFill="1" applyBorder="1"/>
    <xf numFmtId="0" fontId="0" fillId="8" borderId="0" xfId="0" applyFill="1"/>
    <xf numFmtId="3" fontId="0" fillId="8" borderId="0" xfId="0" applyNumberFormat="1" applyFill="1"/>
    <xf numFmtId="0" fontId="22" fillId="8" borderId="0" xfId="0" applyFont="1" applyFill="1"/>
    <xf numFmtId="11" fontId="45" fillId="5" borderId="64" xfId="25" applyNumberFormat="1" applyFont="1" applyFill="1" applyBorder="1" applyAlignment="1">
      <alignment horizontal="center"/>
    </xf>
    <xf numFmtId="11" fontId="45" fillId="5" borderId="0" xfId="25" applyNumberFormat="1" applyFont="1" applyFill="1" applyBorder="1" applyAlignment="1">
      <alignment horizontal="center"/>
    </xf>
    <xf numFmtId="11" fontId="45" fillId="5" borderId="63" xfId="25" applyNumberFormat="1" applyFont="1" applyFill="1" applyBorder="1" applyAlignment="1"/>
    <xf numFmtId="11" fontId="45" fillId="5" borderId="65" xfId="25" applyNumberFormat="1" applyFont="1" applyFill="1" applyBorder="1" applyAlignment="1">
      <alignment horizontal="center"/>
    </xf>
    <xf numFmtId="11" fontId="45" fillId="5" borderId="66" xfId="25" applyNumberFormat="1" applyFont="1" applyFill="1" applyBorder="1" applyAlignment="1"/>
    <xf numFmtId="11" fontId="45" fillId="5" borderId="67" xfId="25" applyNumberFormat="1" applyFont="1" applyFill="1" applyBorder="1" applyAlignment="1"/>
    <xf numFmtId="0" fontId="44" fillId="5" borderId="68" xfId="25" applyFont="1" applyFill="1" applyBorder="1" applyAlignment="1">
      <alignment horizontal="center"/>
    </xf>
    <xf numFmtId="0" fontId="46" fillId="5" borderId="3" xfId="25" applyFont="1" applyFill="1" applyBorder="1" applyAlignment="1">
      <alignment horizontal="center"/>
    </xf>
    <xf numFmtId="0" fontId="46" fillId="5" borderId="69" xfId="25" applyFont="1" applyFill="1" applyBorder="1" applyAlignment="1">
      <alignment horizontal="center"/>
    </xf>
    <xf numFmtId="0" fontId="44" fillId="5" borderId="68" xfId="25" applyFont="1" applyFill="1" applyBorder="1" applyAlignment="1">
      <alignment horizontal="left"/>
    </xf>
    <xf numFmtId="0" fontId="44" fillId="5" borderId="70" xfId="25" applyFont="1" applyFill="1" applyBorder="1" applyAlignment="1"/>
    <xf numFmtId="0" fontId="13" fillId="5" borderId="65" xfId="25" applyFont="1" applyFill="1" applyBorder="1" applyAlignment="1"/>
    <xf numFmtId="0" fontId="44" fillId="5" borderId="66" xfId="25" applyFont="1" applyFill="1" applyBorder="1" applyAlignment="1"/>
    <xf numFmtId="0" fontId="10" fillId="5" borderId="71" xfId="25" applyFont="1" applyFill="1" applyBorder="1" applyAlignment="1"/>
    <xf numFmtId="0" fontId="45" fillId="5" borderId="66" xfId="25" applyFont="1" applyFill="1" applyBorder="1" applyAlignment="1"/>
    <xf numFmtId="0" fontId="10" fillId="5" borderId="72" xfId="25" quotePrefix="1" applyFont="1" applyFill="1" applyBorder="1" applyAlignment="1">
      <alignment horizontal="left"/>
    </xf>
    <xf numFmtId="0" fontId="45" fillId="5" borderId="73" xfId="25" applyFont="1" applyFill="1" applyBorder="1" applyAlignment="1"/>
    <xf numFmtId="0" fontId="45" fillId="5" borderId="74" xfId="25" applyFont="1" applyFill="1" applyBorder="1" applyAlignment="1"/>
    <xf numFmtId="0" fontId="13" fillId="5" borderId="75" xfId="25" applyFont="1" applyFill="1" applyBorder="1" applyAlignment="1"/>
    <xf numFmtId="0" fontId="45" fillId="5" borderId="0" xfId="25" applyNumberFormat="1" applyFont="1" applyFill="1" applyBorder="1" applyAlignment="1">
      <alignment horizontal="left"/>
    </xf>
    <xf numFmtId="0" fontId="45" fillId="5" borderId="63" xfId="25" applyNumberFormat="1" applyFont="1" applyFill="1" applyBorder="1" applyAlignment="1">
      <alignment horizontal="left"/>
    </xf>
    <xf numFmtId="0" fontId="10" fillId="5" borderId="75" xfId="25" applyFont="1" applyFill="1" applyBorder="1" applyAlignment="1"/>
    <xf numFmtId="0" fontId="45" fillId="5" borderId="63" xfId="25" applyFont="1" applyFill="1" applyBorder="1" applyAlignment="1"/>
    <xf numFmtId="0" fontId="10" fillId="5" borderId="76" xfId="25" applyFont="1" applyFill="1" applyBorder="1" applyAlignment="1"/>
    <xf numFmtId="0" fontId="45" fillId="5" borderId="4" xfId="25" applyFont="1" applyFill="1" applyBorder="1" applyAlignment="1"/>
    <xf numFmtId="0" fontId="45" fillId="5" borderId="77" xfId="25" applyFont="1" applyFill="1" applyBorder="1" applyAlignment="1"/>
    <xf numFmtId="0" fontId="13" fillId="5" borderId="70" xfId="25" applyFont="1" applyFill="1" applyBorder="1" applyAlignment="1"/>
    <xf numFmtId="0" fontId="45" fillId="5" borderId="78" xfId="25" applyNumberFormat="1" applyFont="1" applyFill="1" applyBorder="1" applyAlignment="1">
      <alignment horizontal="left"/>
    </xf>
    <xf numFmtId="0" fontId="45" fillId="5" borderId="66" xfId="25" applyNumberFormat="1" applyFont="1" applyFill="1" applyBorder="1" applyAlignment="1">
      <alignment horizontal="left"/>
    </xf>
    <xf numFmtId="0" fontId="45" fillId="5" borderId="0" xfId="25" applyFont="1" applyFill="1" applyBorder="1" applyAlignment="1">
      <alignment horizontal="left"/>
    </xf>
    <xf numFmtId="0" fontId="45" fillId="5" borderId="63" xfId="25" applyFont="1" applyFill="1" applyBorder="1" applyAlignment="1">
      <alignment horizontal="left"/>
    </xf>
    <xf numFmtId="0" fontId="45" fillId="5" borderId="65" xfId="25" applyFont="1" applyFill="1" applyBorder="1" applyAlignment="1">
      <alignment horizontal="left"/>
    </xf>
    <xf numFmtId="0" fontId="45" fillId="5" borderId="66" xfId="25" applyFont="1" applyFill="1" applyBorder="1" applyAlignment="1">
      <alignment horizontal="left"/>
    </xf>
    <xf numFmtId="0" fontId="44" fillId="5" borderId="3" xfId="25" applyFont="1" applyFill="1" applyBorder="1" applyAlignment="1">
      <alignment horizontal="center"/>
    </xf>
    <xf numFmtId="0" fontId="44" fillId="5" borderId="69" xfId="25" applyFont="1" applyFill="1" applyBorder="1" applyAlignment="1">
      <alignment horizontal="center"/>
    </xf>
    <xf numFmtId="0" fontId="44" fillId="5" borderId="75" xfId="25" applyFont="1" applyFill="1" applyBorder="1" applyAlignment="1">
      <alignment horizontal="left"/>
    </xf>
    <xf numFmtId="0" fontId="44" fillId="5" borderId="0" xfId="25" applyFont="1" applyFill="1" applyBorder="1" applyAlignment="1">
      <alignment horizontal="left"/>
    </xf>
    <xf numFmtId="0" fontId="44" fillId="5" borderId="63" xfId="25" applyFont="1" applyFill="1" applyBorder="1" applyAlignment="1">
      <alignment horizontal="right"/>
    </xf>
    <xf numFmtId="0" fontId="45" fillId="5" borderId="71" xfId="25" applyFont="1" applyFill="1" applyBorder="1" applyAlignment="1"/>
    <xf numFmtId="0" fontId="45" fillId="5" borderId="65" xfId="25" applyFont="1" applyFill="1" applyBorder="1" applyAlignment="1"/>
    <xf numFmtId="0" fontId="45" fillId="5" borderId="65" xfId="25" applyNumberFormat="1" applyFont="1" applyFill="1" applyBorder="1" applyAlignment="1">
      <alignment horizontal="left"/>
    </xf>
    <xf numFmtId="0" fontId="45" fillId="5" borderId="75" xfId="25" applyFont="1" applyFill="1" applyBorder="1" applyAlignment="1"/>
    <xf numFmtId="0" fontId="45" fillId="5" borderId="0" xfId="25" applyFont="1" applyFill="1" applyBorder="1" applyAlignment="1"/>
    <xf numFmtId="0" fontId="13" fillId="5" borderId="76" xfId="25" applyNumberFormat="1" applyFont="1" applyFill="1" applyBorder="1" applyAlignment="1"/>
    <xf numFmtId="0" fontId="45" fillId="5" borderId="4" xfId="25" applyNumberFormat="1" applyFont="1" applyFill="1" applyBorder="1" applyAlignment="1">
      <alignment horizontal="left"/>
    </xf>
    <xf numFmtId="0" fontId="45" fillId="5" borderId="77" xfId="25" applyNumberFormat="1" applyFont="1" applyFill="1" applyBorder="1" applyAlignment="1">
      <alignment horizontal="left"/>
    </xf>
    <xf numFmtId="0" fontId="45" fillId="5" borderId="79" xfId="25" applyNumberFormat="1" applyFont="1" applyFill="1" applyBorder="1" applyAlignment="1"/>
    <xf numFmtId="0" fontId="45" fillId="5" borderId="80" xfId="25" applyNumberFormat="1" applyFont="1" applyFill="1" applyBorder="1" applyAlignment="1"/>
    <xf numFmtId="3" fontId="7" fillId="3" borderId="0" xfId="0" applyNumberFormat="1" applyFont="1" applyFill="1" applyBorder="1" applyAlignment="1">
      <alignment horizontal="center"/>
    </xf>
    <xf numFmtId="0" fontId="7" fillId="3" borderId="0" xfId="0" applyFont="1" applyFill="1" applyBorder="1" applyAlignment="1">
      <alignment horizontal="center"/>
    </xf>
    <xf numFmtId="0" fontId="49" fillId="7" borderId="48" xfId="0" applyFont="1" applyFill="1" applyBorder="1"/>
    <xf numFmtId="0" fontId="49" fillId="7" borderId="52" xfId="0" applyFont="1" applyFill="1" applyBorder="1"/>
    <xf numFmtId="0" fontId="49" fillId="7" borderId="54" xfId="0" applyFont="1" applyFill="1" applyBorder="1"/>
    <xf numFmtId="0" fontId="17" fillId="5" borderId="17" xfId="24" applyFont="1" applyFill="1" applyBorder="1"/>
    <xf numFmtId="0" fontId="17" fillId="5" borderId="0" xfId="24" applyFont="1" applyFill="1" applyBorder="1" applyAlignment="1">
      <alignment horizontal="center"/>
    </xf>
    <xf numFmtId="0" fontId="17" fillId="5" borderId="12" xfId="24" applyFont="1" applyFill="1" applyBorder="1" applyAlignment="1">
      <alignment horizontal="center"/>
    </xf>
    <xf numFmtId="170" fontId="16" fillId="5" borderId="0" xfId="24" applyNumberFormat="1" applyFill="1" applyBorder="1" applyAlignment="1">
      <alignment horizontal="center"/>
    </xf>
    <xf numFmtId="3" fontId="16" fillId="5" borderId="12" xfId="24" applyNumberFormat="1" applyFill="1" applyBorder="1" applyAlignment="1">
      <alignment horizontal="center"/>
    </xf>
    <xf numFmtId="0" fontId="16" fillId="5" borderId="0" xfId="24" applyFill="1" applyBorder="1" applyAlignment="1">
      <alignment horizontal="center"/>
    </xf>
    <xf numFmtId="0" fontId="17" fillId="5" borderId="17" xfId="24" applyFont="1" applyFill="1" applyBorder="1" applyAlignment="1">
      <alignment horizontal="left"/>
    </xf>
    <xf numFmtId="0" fontId="16" fillId="5" borderId="0" xfId="24" applyFill="1" applyBorder="1"/>
    <xf numFmtId="0" fontId="16" fillId="5" borderId="12" xfId="24" applyFill="1" applyBorder="1"/>
    <xf numFmtId="0" fontId="42" fillId="5" borderId="17" xfId="24" applyFont="1" applyFill="1" applyBorder="1" applyAlignment="1">
      <alignment horizontal="left"/>
    </xf>
    <xf numFmtId="0" fontId="42" fillId="5" borderId="40" xfId="24" applyFont="1" applyFill="1" applyBorder="1" applyAlignment="1">
      <alignment horizontal="left"/>
    </xf>
    <xf numFmtId="0" fontId="16" fillId="5" borderId="1" xfId="24" applyFill="1" applyBorder="1"/>
    <xf numFmtId="0" fontId="16" fillId="5" borderId="23" xfId="24" applyFill="1" applyBorder="1"/>
    <xf numFmtId="0" fontId="10" fillId="7" borderId="47" xfId="25" applyNumberFormat="1" applyFont="1" applyFill="1" applyBorder="1"/>
    <xf numFmtId="0" fontId="10" fillId="7" borderId="2" xfId="25" applyNumberFormat="1" applyFont="1" applyFill="1" applyBorder="1"/>
    <xf numFmtId="0" fontId="10" fillId="7" borderId="49" xfId="25" applyNumberFormat="1" applyFont="1" applyFill="1" applyBorder="1"/>
    <xf numFmtId="0" fontId="43" fillId="2" borderId="7" xfId="25" applyNumberFormat="1" applyFont="1" applyFill="1" applyBorder="1" applyAlignment="1">
      <alignment horizontal="left"/>
    </xf>
    <xf numFmtId="0" fontId="43" fillId="2" borderId="81" xfId="25" applyNumberFormat="1" applyFont="1" applyFill="1" applyBorder="1" applyAlignment="1">
      <alignment horizontal="center"/>
    </xf>
    <xf numFmtId="0" fontId="43" fillId="2" borderId="8" xfId="25" applyNumberFormat="1" applyFont="1" applyFill="1" applyBorder="1" applyAlignment="1">
      <alignment horizontal="left"/>
    </xf>
    <xf numFmtId="0" fontId="43" fillId="2" borderId="28" xfId="25" applyNumberFormat="1" applyFont="1" applyFill="1" applyBorder="1" applyAlignment="1">
      <alignment horizontal="center"/>
    </xf>
    <xf numFmtId="0" fontId="43" fillId="2" borderId="8" xfId="25" applyNumberFormat="1" applyFont="1" applyFill="1" applyBorder="1" applyAlignment="1">
      <alignment horizontal="center"/>
    </xf>
    <xf numFmtId="0" fontId="43" fillId="2" borderId="82" xfId="25" applyNumberFormat="1" applyFont="1" applyFill="1" applyBorder="1" applyAlignment="1">
      <alignment horizontal="right"/>
    </xf>
    <xf numFmtId="0" fontId="43" fillId="2" borderId="83" xfId="25" applyNumberFormat="1" applyFont="1" applyFill="1" applyBorder="1" applyAlignment="1">
      <alignment horizontal="right"/>
    </xf>
    <xf numFmtId="0" fontId="44" fillId="5" borderId="84" xfId="25" applyNumberFormat="1" applyFont="1" applyFill="1" applyBorder="1" applyAlignment="1"/>
    <xf numFmtId="11" fontId="45" fillId="5" borderId="85" xfId="25" applyNumberFormat="1" applyFont="1" applyFill="1" applyBorder="1" applyAlignment="1"/>
    <xf numFmtId="0" fontId="44" fillId="5" borderId="8" xfId="25" applyNumberFormat="1" applyFont="1" applyFill="1" applyBorder="1" applyAlignment="1"/>
    <xf numFmtId="11" fontId="45" fillId="5" borderId="28" xfId="25" applyNumberFormat="1" applyFont="1" applyFill="1" applyBorder="1" applyAlignment="1"/>
    <xf numFmtId="0" fontId="44" fillId="5" borderId="86" xfId="25" applyNumberFormat="1" applyFont="1" applyFill="1" applyBorder="1" applyAlignment="1"/>
    <xf numFmtId="11" fontId="45" fillId="5" borderId="87" xfId="25" applyNumberFormat="1" applyFont="1" applyFill="1" applyBorder="1" applyAlignment="1"/>
    <xf numFmtId="0" fontId="44" fillId="5" borderId="88" xfId="25" applyNumberFormat="1" applyFont="1" applyFill="1" applyBorder="1" applyAlignment="1"/>
    <xf numFmtId="11" fontId="45" fillId="5" borderId="89" xfId="25" applyNumberFormat="1" applyFont="1" applyFill="1" applyBorder="1" applyAlignment="1">
      <alignment horizontal="center"/>
    </xf>
    <xf numFmtId="11" fontId="45" fillId="5" borderId="90" xfId="25" applyNumberFormat="1" applyFont="1" applyFill="1" applyBorder="1" applyAlignment="1"/>
    <xf numFmtId="0" fontId="29" fillId="7" borderId="48" xfId="0" applyFont="1" applyFill="1" applyBorder="1" applyAlignment="1">
      <alignment horizontal="center"/>
    </xf>
    <xf numFmtId="0" fontId="29" fillId="7" borderId="52" xfId="0" applyFont="1" applyFill="1" applyBorder="1" applyAlignment="1">
      <alignment horizontal="center"/>
    </xf>
    <xf numFmtId="3" fontId="17" fillId="0" borderId="42" xfId="5" applyNumberFormat="1" applyFont="1" applyBorder="1" applyAlignment="1">
      <alignment horizontal="center"/>
    </xf>
    <xf numFmtId="0" fontId="7" fillId="9" borderId="26" xfId="12" applyFont="1" applyFill="1" applyBorder="1" applyAlignment="1">
      <alignment horizontal="left"/>
    </xf>
    <xf numFmtId="3" fontId="17" fillId="0" borderId="42" xfId="6" applyNumberFormat="1" applyFont="1" applyBorder="1" applyAlignment="1">
      <alignment horizontal="center"/>
    </xf>
    <xf numFmtId="165" fontId="17" fillId="0" borderId="42" xfId="6" applyNumberFormat="1" applyFont="1" applyBorder="1" applyAlignment="1">
      <alignment horizontal="center"/>
    </xf>
    <xf numFmtId="3" fontId="19" fillId="10" borderId="42" xfId="6" applyNumberFormat="1" applyFont="1" applyFill="1" applyBorder="1" applyAlignment="1">
      <alignment horizontal="center"/>
    </xf>
    <xf numFmtId="3" fontId="0" fillId="0" borderId="11" xfId="0" applyNumberFormat="1" applyFill="1" applyBorder="1" applyAlignment="1">
      <alignment horizontal="center"/>
    </xf>
    <xf numFmtId="3" fontId="0" fillId="0" borderId="0" xfId="0" applyNumberFormat="1" applyFill="1" applyBorder="1" applyAlignment="1">
      <alignment horizontal="center"/>
    </xf>
    <xf numFmtId="3" fontId="17" fillId="0" borderId="42" xfId="5" applyNumberFormat="1" applyFont="1" applyFill="1" applyBorder="1" applyAlignment="1">
      <alignment horizontal="center"/>
    </xf>
    <xf numFmtId="0" fontId="0" fillId="0" borderId="0" xfId="0" applyFill="1"/>
    <xf numFmtId="0" fontId="17" fillId="0" borderId="0" xfId="5" applyFont="1" applyFill="1"/>
    <xf numFmtId="3" fontId="19" fillId="0" borderId="0" xfId="6" applyNumberFormat="1" applyFont="1" applyFill="1" applyBorder="1" applyAlignment="1">
      <alignment horizontal="center"/>
    </xf>
    <xf numFmtId="0" fontId="16" fillId="0" borderId="0" xfId="6" applyFill="1"/>
    <xf numFmtId="3" fontId="19" fillId="5" borderId="42" xfId="6" applyNumberFormat="1" applyFont="1" applyFill="1" applyBorder="1" applyAlignment="1">
      <alignment horizontal="center"/>
    </xf>
    <xf numFmtId="3" fontId="17" fillId="0" borderId="42" xfId="6" applyNumberFormat="1" applyFont="1" applyFill="1" applyBorder="1" applyAlignment="1">
      <alignment horizontal="center"/>
    </xf>
    <xf numFmtId="3" fontId="27" fillId="5" borderId="49" xfId="0" applyNumberFormat="1" applyFont="1" applyFill="1" applyBorder="1" applyAlignment="1">
      <alignment horizontal="center"/>
    </xf>
    <xf numFmtId="3" fontId="7" fillId="5" borderId="54" xfId="0" applyNumberFormat="1" applyFont="1" applyFill="1" applyBorder="1" applyAlignment="1">
      <alignment horizontal="center"/>
    </xf>
    <xf numFmtId="0" fontId="12" fillId="5" borderId="8" xfId="0" applyNumberFormat="1" applyFont="1" applyFill="1" applyBorder="1"/>
    <xf numFmtId="0" fontId="12" fillId="5" borderId="5" xfId="0" applyNumberFormat="1" applyFont="1" applyFill="1" applyBorder="1"/>
    <xf numFmtId="3" fontId="0" fillId="5" borderId="91" xfId="0" applyNumberFormat="1" applyFill="1" applyBorder="1" applyAlignment="1">
      <alignment horizontal="center"/>
    </xf>
    <xf numFmtId="3" fontId="0" fillId="5" borderId="12" xfId="0" applyNumberFormat="1" applyFill="1" applyBorder="1" applyAlignment="1">
      <alignment horizontal="center"/>
    </xf>
    <xf numFmtId="3" fontId="0" fillId="5" borderId="31" xfId="0" applyNumberFormat="1" applyFill="1" applyBorder="1" applyAlignment="1">
      <alignment horizontal="center"/>
    </xf>
    <xf numFmtId="3" fontId="0" fillId="3" borderId="49" xfId="0" applyNumberFormat="1" applyFill="1" applyBorder="1" applyAlignment="1">
      <alignment horizontal="center"/>
    </xf>
    <xf numFmtId="3" fontId="0" fillId="3" borderId="28" xfId="0" applyNumberFormat="1" applyFill="1" applyBorder="1" applyAlignment="1">
      <alignment horizontal="center"/>
    </xf>
    <xf numFmtId="3" fontId="0" fillId="3" borderId="50" xfId="0" applyNumberFormat="1" applyFill="1" applyBorder="1" applyAlignment="1">
      <alignment horizontal="center"/>
    </xf>
    <xf numFmtId="3" fontId="0" fillId="3" borderId="16" xfId="0" applyNumberFormat="1" applyFill="1" applyBorder="1" applyAlignment="1">
      <alignment horizontal="center"/>
    </xf>
    <xf numFmtId="3" fontId="0" fillId="3" borderId="40" xfId="0" applyNumberFormat="1" applyFill="1" applyBorder="1" applyAlignment="1">
      <alignment horizontal="center"/>
    </xf>
    <xf numFmtId="3" fontId="0" fillId="5" borderId="48" xfId="0" applyNumberFormat="1" applyFill="1" applyBorder="1" applyAlignment="1">
      <alignment horizontal="center"/>
    </xf>
    <xf numFmtId="3" fontId="0" fillId="5" borderId="92" xfId="0" applyNumberFormat="1" applyFill="1" applyBorder="1" applyAlignment="1">
      <alignment horizontal="center"/>
    </xf>
    <xf numFmtId="3" fontId="0" fillId="5" borderId="93" xfId="0" applyNumberFormat="1" applyFill="1" applyBorder="1" applyAlignment="1">
      <alignment horizontal="center"/>
    </xf>
    <xf numFmtId="0" fontId="12" fillId="5" borderId="47" xfId="0" applyNumberFormat="1" applyFont="1" applyFill="1" applyBorder="1"/>
    <xf numFmtId="3" fontId="0" fillId="3" borderId="94" xfId="0" applyNumberFormat="1" applyFill="1" applyBorder="1" applyAlignment="1">
      <alignment horizontal="center"/>
    </xf>
    <xf numFmtId="3" fontId="0" fillId="3" borderId="83" xfId="0" applyNumberFormat="1" applyFill="1" applyBorder="1" applyAlignment="1">
      <alignment horizontal="center"/>
    </xf>
    <xf numFmtId="3" fontId="0" fillId="3" borderId="81" xfId="0" applyNumberFormat="1" applyFill="1" applyBorder="1" applyAlignment="1">
      <alignment horizontal="center"/>
    </xf>
    <xf numFmtId="3" fontId="0" fillId="3" borderId="95" xfId="0" applyNumberFormat="1" applyFill="1" applyBorder="1" applyAlignment="1">
      <alignment horizontal="center"/>
    </xf>
    <xf numFmtId="3" fontId="27" fillId="3" borderId="0" xfId="19" applyNumberFormat="1" applyFont="1" applyFill="1" applyBorder="1" applyAlignment="1"/>
    <xf numFmtId="0" fontId="52" fillId="8" borderId="0" xfId="0" applyFont="1" applyFill="1"/>
    <xf numFmtId="171" fontId="17" fillId="0" borderId="0" xfId="5" applyNumberFormat="1" applyFont="1" applyFill="1" applyBorder="1" applyAlignment="1">
      <alignment horizontal="center"/>
    </xf>
    <xf numFmtId="171" fontId="17" fillId="0" borderId="0" xfId="5" applyNumberFormat="1" applyFont="1" applyFill="1" applyBorder="1" applyAlignment="1">
      <alignment horizontal="left"/>
    </xf>
    <xf numFmtId="171" fontId="0" fillId="0" borderId="0" xfId="0" applyNumberFormat="1" applyFill="1"/>
    <xf numFmtId="3" fontId="0" fillId="0" borderId="0" xfId="0" applyNumberFormat="1" applyBorder="1"/>
    <xf numFmtId="3" fontId="0" fillId="0" borderId="0" xfId="0" applyNumberFormat="1" applyFill="1" applyBorder="1"/>
    <xf numFmtId="171" fontId="1" fillId="0" borderId="0" xfId="0" applyNumberFormat="1" applyFont="1" applyFill="1" applyAlignment="1">
      <alignment horizontal="center"/>
    </xf>
    <xf numFmtId="171" fontId="0" fillId="11" borderId="0" xfId="0" applyNumberFormat="1" applyFill="1"/>
    <xf numFmtId="0" fontId="8" fillId="0" borderId="0" xfId="14" applyFont="1" applyFill="1" applyBorder="1" applyAlignment="1">
      <alignment horizontal="center"/>
    </xf>
    <xf numFmtId="0" fontId="0" fillId="0" borderId="0" xfId="0" applyFill="1" applyBorder="1"/>
    <xf numFmtId="3" fontId="3" fillId="0" borderId="0" xfId="14" quotePrefix="1" applyNumberFormat="1" applyFont="1" applyFill="1" applyBorder="1" applyAlignment="1"/>
    <xf numFmtId="3" fontId="3" fillId="0" borderId="0" xfId="14" applyNumberFormat="1" applyFont="1" applyFill="1" applyBorder="1" applyAlignment="1"/>
    <xf numFmtId="0" fontId="10" fillId="0" borderId="0" xfId="14" applyFont="1" applyFill="1" applyBorder="1"/>
    <xf numFmtId="2" fontId="0" fillId="0" borderId="0" xfId="0" quotePrefix="1" applyNumberFormat="1" applyFill="1" applyBorder="1"/>
    <xf numFmtId="2" fontId="0" fillId="0" borderId="0" xfId="0" applyNumberFormat="1" applyFill="1" applyBorder="1"/>
    <xf numFmtId="0" fontId="0" fillId="0" borderId="16" xfId="0" applyBorder="1"/>
    <xf numFmtId="0" fontId="0" fillId="0" borderId="19" xfId="0" applyBorder="1"/>
    <xf numFmtId="0" fontId="0" fillId="0" borderId="12" xfId="0" applyBorder="1"/>
    <xf numFmtId="0" fontId="0" fillId="0" borderId="23" xfId="0" applyBorder="1"/>
    <xf numFmtId="0" fontId="0" fillId="0" borderId="0" xfId="0" applyBorder="1"/>
    <xf numFmtId="0" fontId="0" fillId="0" borderId="11" xfId="0" applyBorder="1"/>
    <xf numFmtId="0" fontId="0" fillId="0" borderId="13" xfId="0" applyBorder="1"/>
    <xf numFmtId="3" fontId="17" fillId="0" borderId="16" xfId="5" applyNumberFormat="1" applyFont="1" applyFill="1" applyBorder="1" applyAlignment="1">
      <alignment horizontal="center"/>
    </xf>
    <xf numFmtId="0" fontId="53" fillId="9" borderId="26" xfId="0" applyFont="1" applyFill="1" applyBorder="1" applyAlignment="1">
      <alignment horizontal="right"/>
    </xf>
    <xf numFmtId="0" fontId="7" fillId="5" borderId="47" xfId="0" applyFont="1" applyFill="1" applyBorder="1"/>
    <xf numFmtId="0" fontId="1" fillId="3" borderId="0" xfId="0" applyFont="1" applyFill="1"/>
    <xf numFmtId="164" fontId="54" fillId="0" borderId="0" xfId="0" applyNumberFormat="1" applyFont="1"/>
    <xf numFmtId="164" fontId="51" fillId="0" borderId="0" xfId="0" applyNumberFormat="1" applyFont="1"/>
    <xf numFmtId="3" fontId="7" fillId="3" borderId="0" xfId="0" applyNumberFormat="1" applyFont="1" applyFill="1" applyBorder="1" applyAlignment="1">
      <alignment horizontal="center" vertical="center"/>
    </xf>
    <xf numFmtId="3" fontId="27" fillId="3" borderId="0" xfId="0" applyNumberFormat="1" applyFont="1" applyFill="1" applyBorder="1"/>
    <xf numFmtId="1" fontId="7" fillId="3" borderId="0" xfId="4" applyNumberFormat="1" applyFont="1" applyFill="1"/>
    <xf numFmtId="164" fontId="19" fillId="12" borderId="51" xfId="5" applyNumberFormat="1" applyFont="1" applyFill="1" applyBorder="1" applyAlignment="1">
      <alignment horizontal="center" vertical="center" wrapText="1"/>
    </xf>
    <xf numFmtId="164" fontId="51" fillId="0" borderId="0" xfId="0" applyNumberFormat="1" applyFont="1" applyFill="1" applyAlignment="1">
      <alignment horizontal="center" vertical="center" wrapText="1"/>
    </xf>
    <xf numFmtId="0" fontId="0" fillId="0" borderId="0" xfId="0" applyAlignment="1">
      <alignment vertical="center"/>
    </xf>
    <xf numFmtId="3" fontId="27" fillId="3" borderId="0" xfId="19" applyNumberFormat="1" applyFont="1" applyFill="1" applyBorder="1" applyAlignment="1">
      <alignment horizontal="center" vertical="center"/>
    </xf>
    <xf numFmtId="3" fontId="27" fillId="3" borderId="28" xfId="19" applyNumberFormat="1" applyFont="1" applyFill="1" applyBorder="1" applyAlignment="1">
      <alignment horizontal="center" vertical="center"/>
    </xf>
    <xf numFmtId="3" fontId="27" fillId="8" borderId="0" xfId="0" applyNumberFormat="1" applyFont="1" applyFill="1"/>
    <xf numFmtId="3" fontId="27" fillId="7" borderId="47" xfId="19" applyNumberFormat="1" applyFont="1" applyFill="1" applyBorder="1"/>
    <xf numFmtId="3" fontId="27" fillId="7" borderId="2" xfId="19" applyNumberFormat="1" applyFont="1" applyFill="1" applyBorder="1"/>
    <xf numFmtId="3" fontId="27" fillId="7" borderId="49" xfId="19" applyNumberFormat="1" applyFont="1" applyFill="1" applyBorder="1"/>
    <xf numFmtId="3" fontId="58" fillId="4" borderId="47" xfId="19" applyNumberFormat="1" applyFont="1" applyFill="1" applyBorder="1" applyAlignment="1">
      <alignment horizontal="left"/>
    </xf>
    <xf numFmtId="3" fontId="59" fillId="4" borderId="2" xfId="19" applyNumberFormat="1" applyFont="1" applyFill="1" applyBorder="1" applyAlignment="1">
      <alignment horizontal="right"/>
    </xf>
    <xf numFmtId="3" fontId="59" fillId="4" borderId="2" xfId="19" applyNumberFormat="1" applyFont="1" applyFill="1" applyBorder="1" applyAlignment="1">
      <alignment horizontal="center"/>
    </xf>
    <xf numFmtId="3" fontId="60" fillId="4" borderId="2" xfId="19" applyNumberFormat="1" applyFont="1" applyFill="1" applyBorder="1" applyAlignment="1">
      <alignment horizontal="right"/>
    </xf>
    <xf numFmtId="3" fontId="59" fillId="4" borderId="49" xfId="19" applyNumberFormat="1" applyFont="1" applyFill="1" applyBorder="1" applyAlignment="1">
      <alignment horizontal="right"/>
    </xf>
    <xf numFmtId="3" fontId="58" fillId="4" borderId="8" xfId="19" applyNumberFormat="1" applyFont="1" applyFill="1" applyBorder="1" applyAlignment="1">
      <alignment horizontal="left"/>
    </xf>
    <xf numFmtId="3" fontId="59" fillId="4" borderId="0" xfId="19" applyNumberFormat="1" applyFont="1" applyFill="1" applyBorder="1" applyAlignment="1">
      <alignment horizontal="right"/>
    </xf>
    <xf numFmtId="3" fontId="59" fillId="4" borderId="0" xfId="19" applyNumberFormat="1" applyFont="1" applyFill="1" applyBorder="1" applyAlignment="1">
      <alignment horizontal="center"/>
    </xf>
    <xf numFmtId="3" fontId="60" fillId="4" borderId="0" xfId="19" applyNumberFormat="1" applyFont="1" applyFill="1" applyBorder="1" applyAlignment="1">
      <alignment horizontal="right"/>
    </xf>
    <xf numFmtId="3" fontId="59" fillId="4" borderId="28" xfId="19" applyNumberFormat="1" applyFont="1" applyFill="1" applyBorder="1" applyAlignment="1">
      <alignment horizontal="right"/>
    </xf>
    <xf numFmtId="3" fontId="59" fillId="4" borderId="28" xfId="19" applyNumberFormat="1" applyFont="1" applyFill="1" applyBorder="1" applyAlignment="1">
      <alignment horizontal="center"/>
    </xf>
    <xf numFmtId="3" fontId="58" fillId="4" borderId="5" xfId="19" applyNumberFormat="1" applyFont="1" applyFill="1" applyBorder="1" applyAlignment="1">
      <alignment horizontal="left"/>
    </xf>
    <xf numFmtId="3" fontId="59" fillId="4" borderId="6" xfId="19" applyNumberFormat="1" applyFont="1" applyFill="1" applyBorder="1" applyAlignment="1">
      <alignment horizontal="center"/>
    </xf>
    <xf numFmtId="3" fontId="59" fillId="4" borderId="50" xfId="19" applyNumberFormat="1" applyFont="1" applyFill="1" applyBorder="1" applyAlignment="1">
      <alignment horizontal="center"/>
    </xf>
    <xf numFmtId="3" fontId="26" fillId="9" borderId="96" xfId="19" applyNumberFormat="1" applyFont="1" applyFill="1" applyBorder="1" applyAlignment="1">
      <alignment horizontal="left" vertical="center"/>
    </xf>
    <xf numFmtId="3" fontId="7" fillId="3" borderId="0" xfId="19" applyNumberFormat="1" applyFont="1" applyFill="1" applyBorder="1" applyAlignment="1">
      <alignment horizontal="center" vertical="center"/>
    </xf>
    <xf numFmtId="3" fontId="7" fillId="3" borderId="28" xfId="19" applyNumberFormat="1" applyFont="1" applyFill="1" applyBorder="1" applyAlignment="1">
      <alignment horizontal="center" vertical="center"/>
    </xf>
    <xf numFmtId="3" fontId="26" fillId="9" borderId="26" xfId="19" applyNumberFormat="1" applyFont="1" applyFill="1" applyBorder="1" applyAlignment="1">
      <alignment horizontal="left" vertical="center"/>
    </xf>
    <xf numFmtId="3" fontId="61" fillId="9" borderId="97" xfId="19" applyNumberFormat="1" applyFont="1" applyFill="1" applyBorder="1" applyAlignment="1">
      <alignment horizontal="left"/>
    </xf>
    <xf numFmtId="3" fontId="7" fillId="3" borderId="98" xfId="19" applyNumberFormat="1" applyFont="1" applyFill="1" applyBorder="1" applyAlignment="1">
      <alignment horizontal="center"/>
    </xf>
    <xf numFmtId="3" fontId="7" fillId="3" borderId="99" xfId="19" applyNumberFormat="1" applyFont="1" applyFill="1" applyBorder="1" applyAlignment="1">
      <alignment horizontal="center"/>
    </xf>
    <xf numFmtId="3" fontId="61" fillId="13" borderId="0" xfId="19" applyNumberFormat="1" applyFont="1" applyFill="1" applyBorder="1" applyAlignment="1">
      <alignment horizontal="left"/>
    </xf>
    <xf numFmtId="3" fontId="7" fillId="3" borderId="0" xfId="19" applyNumberFormat="1" applyFont="1" applyFill="1" applyBorder="1" applyAlignment="1"/>
    <xf numFmtId="3" fontId="33" fillId="3" borderId="0" xfId="19" applyNumberFormat="1" applyFont="1" applyFill="1"/>
    <xf numFmtId="3" fontId="27" fillId="3" borderId="0" xfId="19" applyNumberFormat="1" applyFont="1" applyFill="1"/>
    <xf numFmtId="3" fontId="27" fillId="8" borderId="0" xfId="19" applyNumberFormat="1" applyFont="1" applyFill="1" applyBorder="1" applyAlignment="1"/>
    <xf numFmtId="3" fontId="20" fillId="3" borderId="0" xfId="10" applyNumberFormat="1" applyFont="1" applyFill="1"/>
    <xf numFmtId="3" fontId="22" fillId="3" borderId="0" xfId="4" applyNumberFormat="1" applyFont="1" applyFill="1" applyBorder="1" applyAlignment="1">
      <alignment horizontal="center"/>
    </xf>
    <xf numFmtId="3" fontId="33" fillId="3" borderId="0" xfId="4" applyNumberFormat="1" applyFont="1" applyFill="1"/>
    <xf numFmtId="3" fontId="7" fillId="8" borderId="0" xfId="4" applyNumberFormat="1" applyFont="1" applyFill="1" applyBorder="1"/>
    <xf numFmtId="1" fontId="33" fillId="3" borderId="0" xfId="4" applyNumberFormat="1" applyFont="1" applyFill="1"/>
    <xf numFmtId="3" fontId="33" fillId="3" borderId="0" xfId="4" applyNumberFormat="1" applyFont="1" applyFill="1" applyBorder="1"/>
    <xf numFmtId="3" fontId="27" fillId="3" borderId="0" xfId="19" applyNumberFormat="1" applyFont="1" applyFill="1" applyBorder="1"/>
    <xf numFmtId="3" fontId="27" fillId="3" borderId="0" xfId="0" applyNumberFormat="1" applyFont="1" applyFill="1"/>
    <xf numFmtId="0" fontId="27" fillId="8" borderId="0" xfId="0" applyFont="1" applyFill="1"/>
    <xf numFmtId="1" fontId="58" fillId="4" borderId="47" xfId="4" applyNumberFormat="1" applyFont="1" applyFill="1" applyBorder="1" applyAlignment="1">
      <alignment horizontal="left"/>
    </xf>
    <xf numFmtId="1" fontId="60" fillId="4" borderId="2" xfId="4" applyNumberFormat="1" applyFont="1" applyFill="1" applyBorder="1" applyAlignment="1">
      <alignment horizontal="right"/>
    </xf>
    <xf numFmtId="1" fontId="60" fillId="4" borderId="2" xfId="4" applyNumberFormat="1" applyFont="1" applyFill="1" applyBorder="1" applyAlignment="1">
      <alignment horizontal="center"/>
    </xf>
    <xf numFmtId="1" fontId="59" fillId="4" borderId="49" xfId="4" applyNumberFormat="1" applyFont="1" applyFill="1" applyBorder="1" applyAlignment="1">
      <alignment horizontal="right"/>
    </xf>
    <xf numFmtId="0" fontId="62" fillId="3" borderId="0" xfId="1" applyFont="1" applyFill="1" applyAlignment="1" applyProtection="1"/>
    <xf numFmtId="1" fontId="58" fillId="4" borderId="8" xfId="4" applyNumberFormat="1" applyFont="1" applyFill="1" applyBorder="1" applyAlignment="1">
      <alignment horizontal="left"/>
    </xf>
    <xf numFmtId="1" fontId="60" fillId="4" borderId="0" xfId="4" applyNumberFormat="1" applyFont="1" applyFill="1" applyBorder="1" applyAlignment="1">
      <alignment horizontal="right"/>
    </xf>
    <xf numFmtId="1" fontId="60" fillId="4" borderId="0" xfId="4" applyNumberFormat="1" applyFont="1" applyFill="1" applyBorder="1" applyAlignment="1">
      <alignment horizontal="center"/>
    </xf>
    <xf numFmtId="1" fontId="59" fillId="4" borderId="28" xfId="4" applyNumberFormat="1" applyFont="1" applyFill="1" applyBorder="1" applyAlignment="1">
      <alignment horizontal="right"/>
    </xf>
    <xf numFmtId="1" fontId="58" fillId="4" borderId="5" xfId="4" applyNumberFormat="1" applyFont="1" applyFill="1" applyBorder="1" applyAlignment="1">
      <alignment horizontal="left"/>
    </xf>
    <xf numFmtId="1" fontId="60" fillId="4" borderId="6" xfId="4" applyNumberFormat="1" applyFont="1" applyFill="1" applyBorder="1" applyAlignment="1">
      <alignment horizontal="right"/>
    </xf>
    <xf numFmtId="1" fontId="59" fillId="4" borderId="50" xfId="4" applyNumberFormat="1" applyFont="1" applyFill="1" applyBorder="1" applyAlignment="1">
      <alignment horizontal="right"/>
    </xf>
    <xf numFmtId="1" fontId="63" fillId="9" borderId="100" xfId="4" applyNumberFormat="1" applyFont="1" applyFill="1" applyBorder="1" applyAlignment="1">
      <alignment horizontal="left"/>
    </xf>
    <xf numFmtId="3" fontId="7" fillId="3" borderId="43" xfId="4" applyNumberFormat="1" applyFont="1" applyFill="1" applyBorder="1" applyAlignment="1">
      <alignment horizontal="center"/>
    </xf>
    <xf numFmtId="3" fontId="7" fillId="3" borderId="101" xfId="4" applyNumberFormat="1" applyFont="1" applyFill="1" applyBorder="1" applyAlignment="1">
      <alignment horizontal="center"/>
    </xf>
    <xf numFmtId="1" fontId="63" fillId="9" borderId="97" xfId="4" applyNumberFormat="1" applyFont="1" applyFill="1" applyBorder="1" applyAlignment="1">
      <alignment horizontal="left"/>
    </xf>
    <xf numFmtId="165" fontId="27" fillId="3" borderId="98" xfId="4" applyNumberFormat="1" applyFont="1" applyFill="1" applyBorder="1" applyAlignment="1">
      <alignment horizontal="center"/>
    </xf>
    <xf numFmtId="166" fontId="27" fillId="3" borderId="98" xfId="4" applyNumberFormat="1" applyFont="1" applyFill="1" applyBorder="1" applyAlignment="1">
      <alignment horizontal="center"/>
    </xf>
    <xf numFmtId="3" fontId="27" fillId="3" borderId="99" xfId="4" applyNumberFormat="1" applyFont="1" applyFill="1" applyBorder="1" applyAlignment="1">
      <alignment horizontal="center"/>
    </xf>
    <xf numFmtId="0" fontId="20" fillId="3" borderId="0" xfId="10" applyFont="1" applyFill="1"/>
    <xf numFmtId="3" fontId="20" fillId="3" borderId="0" xfId="10" applyNumberFormat="1" applyFont="1" applyFill="1" applyAlignment="1">
      <alignment horizontal="center"/>
    </xf>
    <xf numFmtId="1" fontId="33" fillId="3" borderId="0" xfId="4" applyNumberFormat="1" applyFont="1" applyFill="1" applyAlignment="1">
      <alignment horizontal="center"/>
    </xf>
    <xf numFmtId="3" fontId="33" fillId="3" borderId="0" xfId="0" applyNumberFormat="1" applyFont="1" applyFill="1"/>
    <xf numFmtId="3" fontId="33" fillId="3" borderId="0" xfId="4" applyNumberFormat="1" applyFont="1" applyFill="1" applyAlignment="1">
      <alignment horizontal="center"/>
    </xf>
    <xf numFmtId="9" fontId="33" fillId="3" borderId="0" xfId="26" applyFont="1" applyFill="1"/>
    <xf numFmtId="4" fontId="20" fillId="3" borderId="0" xfId="10" applyNumberFormat="1" applyFont="1" applyFill="1" applyAlignment="1">
      <alignment horizontal="left"/>
    </xf>
    <xf numFmtId="3" fontId="20" fillId="3" borderId="0" xfId="10" applyNumberFormat="1" applyFont="1" applyFill="1" applyAlignment="1">
      <alignment horizontal="left"/>
    </xf>
    <xf numFmtId="165" fontId="22" fillId="3" borderId="0" xfId="4" applyNumberFormat="1" applyFont="1" applyFill="1" applyBorder="1" applyAlignment="1">
      <alignment horizontal="center"/>
    </xf>
    <xf numFmtId="166" fontId="22" fillId="3" borderId="0" xfId="4" applyNumberFormat="1" applyFont="1" applyFill="1" applyBorder="1" applyAlignment="1">
      <alignment horizontal="center"/>
    </xf>
    <xf numFmtId="3" fontId="7" fillId="3" borderId="0" xfId="4" applyNumberFormat="1" applyFont="1" applyFill="1"/>
    <xf numFmtId="1" fontId="26" fillId="9" borderId="26" xfId="4" applyNumberFormat="1" applyFont="1" applyFill="1" applyBorder="1" applyAlignment="1">
      <alignment horizontal="left"/>
    </xf>
    <xf numFmtId="3" fontId="7" fillId="3" borderId="0" xfId="4" applyNumberFormat="1" applyFont="1" applyFill="1" applyBorder="1" applyAlignment="1">
      <alignment horizontal="center"/>
    </xf>
    <xf numFmtId="3" fontId="7" fillId="3" borderId="28" xfId="4" applyNumberFormat="1" applyFont="1" applyFill="1" applyBorder="1" applyAlignment="1">
      <alignment horizontal="center"/>
    </xf>
    <xf numFmtId="0" fontId="27" fillId="7" borderId="47" xfId="18" applyFont="1" applyFill="1" applyBorder="1"/>
    <xf numFmtId="0" fontId="27" fillId="7" borderId="2" xfId="18" applyFont="1" applyFill="1" applyBorder="1"/>
    <xf numFmtId="0" fontId="27" fillId="7" borderId="49" xfId="18" applyFont="1" applyFill="1" applyBorder="1"/>
    <xf numFmtId="0" fontId="27" fillId="3" borderId="0" xfId="18" applyFont="1" applyFill="1"/>
    <xf numFmtId="165" fontId="27" fillId="3" borderId="0" xfId="18" applyNumberFormat="1" applyFont="1" applyFill="1"/>
    <xf numFmtId="0" fontId="27" fillId="4" borderId="47" xfId="18" applyFont="1" applyFill="1" applyBorder="1" applyAlignment="1"/>
    <xf numFmtId="0" fontId="60" fillId="4" borderId="2" xfId="18" applyFont="1" applyFill="1" applyBorder="1" applyAlignment="1">
      <alignment horizontal="center"/>
    </xf>
    <xf numFmtId="0" fontId="60" fillId="4" borderId="2" xfId="18" applyFont="1" applyFill="1" applyBorder="1" applyAlignment="1">
      <alignment horizontal="right"/>
    </xf>
    <xf numFmtId="0" fontId="59" fillId="4" borderId="49" xfId="18" applyFont="1" applyFill="1" applyBorder="1" applyAlignment="1">
      <alignment horizontal="right"/>
    </xf>
    <xf numFmtId="0" fontId="27" fillId="4" borderId="8" xfId="18" applyFont="1" applyFill="1" applyBorder="1" applyAlignment="1"/>
    <xf numFmtId="0" fontId="60" fillId="4" borderId="0" xfId="18" applyFont="1" applyFill="1" applyBorder="1" applyAlignment="1">
      <alignment horizontal="center"/>
    </xf>
    <xf numFmtId="0" fontId="60" fillId="4" borderId="0" xfId="18" applyFont="1" applyFill="1" applyBorder="1" applyAlignment="1">
      <alignment horizontal="right"/>
    </xf>
    <xf numFmtId="0" fontId="59" fillId="4" borderId="28" xfId="18" applyFont="1" applyFill="1" applyBorder="1" applyAlignment="1">
      <alignment horizontal="right"/>
    </xf>
    <xf numFmtId="0" fontId="60" fillId="4" borderId="0" xfId="18" applyFont="1" applyFill="1" applyBorder="1" applyAlignment="1">
      <alignment horizontal="centerContinuous"/>
    </xf>
    <xf numFmtId="0" fontId="59" fillId="4" borderId="28" xfId="18" applyFont="1" applyFill="1" applyBorder="1" applyAlignment="1">
      <alignment horizontal="center"/>
    </xf>
    <xf numFmtId="0" fontId="64" fillId="4" borderId="5" xfId="18" applyFont="1" applyFill="1" applyBorder="1" applyAlignment="1">
      <alignment horizontal="left"/>
    </xf>
    <xf numFmtId="0" fontId="59" fillId="4" borderId="50" xfId="18" applyFont="1" applyFill="1" applyBorder="1" applyAlignment="1">
      <alignment horizontal="center"/>
    </xf>
    <xf numFmtId="0" fontId="63" fillId="9" borderId="26" xfId="18" applyFont="1" applyFill="1" applyBorder="1" applyAlignment="1">
      <alignment horizontal="left"/>
    </xf>
    <xf numFmtId="0" fontId="7" fillId="3" borderId="0" xfId="18" applyFont="1" applyFill="1" applyBorder="1" applyAlignment="1">
      <alignment horizontal="center"/>
    </xf>
    <xf numFmtId="0" fontId="7" fillId="3" borderId="28" xfId="18" applyFont="1" applyFill="1" applyBorder="1" applyAlignment="1">
      <alignment horizontal="center"/>
    </xf>
    <xf numFmtId="3" fontId="7" fillId="3" borderId="0" xfId="18" applyNumberFormat="1" applyFont="1" applyFill="1" applyBorder="1" applyAlignment="1">
      <alignment horizontal="center"/>
    </xf>
    <xf numFmtId="165" fontId="7" fillId="3" borderId="28" xfId="18" applyNumberFormat="1" applyFont="1" applyFill="1" applyBorder="1" applyAlignment="1">
      <alignment horizontal="center"/>
    </xf>
    <xf numFmtId="10" fontId="27" fillId="3" borderId="0" xfId="18" applyNumberFormat="1" applyFont="1" applyFill="1"/>
    <xf numFmtId="0" fontId="26" fillId="9" borderId="26" xfId="18" applyFont="1" applyFill="1" applyBorder="1" applyAlignment="1">
      <alignment horizontal="left"/>
    </xf>
    <xf numFmtId="0" fontId="63" fillId="9" borderId="100" xfId="18" applyFont="1" applyFill="1" applyBorder="1" applyAlignment="1">
      <alignment horizontal="left"/>
    </xf>
    <xf numFmtId="3" fontId="7" fillId="3" borderId="43" xfId="18" applyNumberFormat="1" applyFont="1" applyFill="1" applyBorder="1" applyAlignment="1">
      <alignment horizontal="center"/>
    </xf>
    <xf numFmtId="165" fontId="7" fillId="3" borderId="101" xfId="18" applyNumberFormat="1" applyFont="1" applyFill="1" applyBorder="1" applyAlignment="1">
      <alignment horizontal="center"/>
    </xf>
    <xf numFmtId="0" fontId="63" fillId="9" borderId="30" xfId="18" applyFont="1" applyFill="1" applyBorder="1" applyAlignment="1">
      <alignment horizontal="left"/>
    </xf>
    <xf numFmtId="3" fontId="27" fillId="3" borderId="6" xfId="18" applyNumberFormat="1" applyFont="1" applyFill="1" applyBorder="1" applyAlignment="1"/>
    <xf numFmtId="0" fontId="27" fillId="3" borderId="50" xfId="18" applyFont="1" applyFill="1" applyBorder="1" applyAlignment="1"/>
    <xf numFmtId="0" fontId="27" fillId="8" borderId="0" xfId="0" applyFont="1" applyFill="1" applyBorder="1"/>
    <xf numFmtId="0" fontId="27" fillId="7" borderId="47" xfId="0" applyFont="1" applyFill="1" applyBorder="1"/>
    <xf numFmtId="0" fontId="27" fillId="7" borderId="2" xfId="0" applyFont="1" applyFill="1" applyBorder="1"/>
    <xf numFmtId="0" fontId="27" fillId="7" borderId="49" xfId="0" applyFont="1" applyFill="1" applyBorder="1"/>
    <xf numFmtId="0" fontId="62" fillId="3" borderId="0" xfId="1" applyFont="1" applyFill="1" applyBorder="1" applyAlignment="1" applyProtection="1"/>
    <xf numFmtId="0" fontId="58" fillId="4" borderId="47" xfId="8" applyFont="1" applyFill="1" applyBorder="1" applyAlignment="1">
      <alignment horizontal="left"/>
    </xf>
    <xf numFmtId="0" fontId="60" fillId="4" borderId="2" xfId="8" applyFont="1" applyFill="1" applyBorder="1" applyAlignment="1">
      <alignment horizontal="center"/>
    </xf>
    <xf numFmtId="0" fontId="60" fillId="4" borderId="2" xfId="8" applyFont="1" applyFill="1" applyBorder="1" applyAlignment="1">
      <alignment horizontal="right"/>
    </xf>
    <xf numFmtId="0" fontId="59" fillId="4" borderId="49" xfId="8" applyFont="1" applyFill="1" applyBorder="1" applyAlignment="1">
      <alignment horizontal="right"/>
    </xf>
    <xf numFmtId="0" fontId="58" fillId="4" borderId="8" xfId="8" applyFont="1" applyFill="1" applyBorder="1" applyAlignment="1">
      <alignment horizontal="left"/>
    </xf>
    <xf numFmtId="0" fontId="60" fillId="4" borderId="0" xfId="8" applyFont="1" applyFill="1" applyBorder="1" applyAlignment="1">
      <alignment horizontal="right"/>
    </xf>
    <xf numFmtId="0" fontId="59" fillId="4" borderId="28" xfId="8" applyFont="1" applyFill="1" applyBorder="1" applyAlignment="1">
      <alignment horizontal="right"/>
    </xf>
    <xf numFmtId="0" fontId="60" fillId="4" borderId="0" xfId="8" applyFont="1" applyFill="1" applyBorder="1" applyAlignment="1">
      <alignment horizontal="left"/>
    </xf>
    <xf numFmtId="0" fontId="59" fillId="4" borderId="28" xfId="8" applyFont="1" applyFill="1" applyBorder="1" applyAlignment="1">
      <alignment horizontal="center"/>
    </xf>
    <xf numFmtId="0" fontId="58" fillId="4" borderId="82" xfId="8" applyFont="1" applyFill="1" applyBorder="1" applyAlignment="1">
      <alignment horizontal="left"/>
    </xf>
    <xf numFmtId="0" fontId="59" fillId="4" borderId="83" xfId="8" applyFont="1" applyFill="1" applyBorder="1" applyAlignment="1">
      <alignment horizontal="center"/>
    </xf>
    <xf numFmtId="0" fontId="63" fillId="4" borderId="5" xfId="8" applyFont="1" applyFill="1" applyBorder="1" applyAlignment="1">
      <alignment horizontal="left"/>
    </xf>
    <xf numFmtId="0" fontId="27" fillId="2" borderId="6" xfId="8" applyFont="1" applyFill="1" applyBorder="1" applyAlignment="1"/>
    <xf numFmtId="0" fontId="27" fillId="2" borderId="6" xfId="0" applyFont="1" applyFill="1" applyBorder="1"/>
    <xf numFmtId="0" fontId="27" fillId="2" borderId="50" xfId="8" applyFont="1" applyFill="1" applyBorder="1" applyAlignment="1"/>
    <xf numFmtId="0" fontId="26" fillId="9" borderId="96" xfId="8" applyFont="1" applyFill="1" applyBorder="1" applyAlignment="1">
      <alignment horizontal="left" vertical="center"/>
    </xf>
    <xf numFmtId="3" fontId="7" fillId="3" borderId="0" xfId="2" applyNumberFormat="1" applyFont="1" applyFill="1" applyBorder="1" applyAlignment="1">
      <alignment horizontal="center" vertical="center"/>
    </xf>
    <xf numFmtId="164" fontId="7" fillId="3" borderId="28" xfId="2" applyNumberFormat="1" applyFont="1" applyFill="1" applyBorder="1" applyAlignment="1">
      <alignment horizontal="center" vertical="center"/>
    </xf>
    <xf numFmtId="0" fontId="26" fillId="9" borderId="26" xfId="8" applyFont="1" applyFill="1" applyBorder="1" applyAlignment="1">
      <alignment horizontal="left" vertical="center"/>
    </xf>
    <xf numFmtId="0" fontId="63" fillId="9" borderId="100" xfId="8" applyFont="1" applyFill="1" applyBorder="1" applyAlignment="1">
      <alignment horizontal="left" vertical="center"/>
    </xf>
    <xf numFmtId="3" fontId="7" fillId="3" borderId="43" xfId="2" applyNumberFormat="1" applyFont="1" applyFill="1" applyBorder="1" applyAlignment="1">
      <alignment horizontal="center" vertical="center"/>
    </xf>
    <xf numFmtId="164" fontId="7" fillId="3" borderId="101" xfId="2" applyNumberFormat="1" applyFont="1" applyFill="1" applyBorder="1" applyAlignment="1">
      <alignment horizontal="center" vertical="center"/>
    </xf>
    <xf numFmtId="3" fontId="7" fillId="3" borderId="0" xfId="2" applyNumberFormat="1" applyFont="1" applyFill="1" applyBorder="1" applyAlignment="1"/>
    <xf numFmtId="0" fontId="63" fillId="9" borderId="30" xfId="8" applyFont="1" applyFill="1" applyBorder="1" applyAlignment="1">
      <alignment horizontal="left"/>
    </xf>
    <xf numFmtId="0" fontId="27" fillId="3" borderId="6" xfId="8" applyFont="1" applyFill="1" applyBorder="1" applyAlignment="1"/>
    <xf numFmtId="3" fontId="27" fillId="3" borderId="6" xfId="8" applyNumberFormat="1" applyFont="1" applyFill="1" applyBorder="1" applyAlignment="1"/>
    <xf numFmtId="0" fontId="27" fillId="3" borderId="50" xfId="8" applyFont="1" applyFill="1" applyBorder="1" applyAlignment="1"/>
    <xf numFmtId="0" fontId="65" fillId="3" borderId="0" xfId="0" applyFont="1" applyFill="1"/>
    <xf numFmtId="0" fontId="66" fillId="3" borderId="0" xfId="0" applyFont="1" applyFill="1"/>
    <xf numFmtId="0" fontId="67" fillId="3" borderId="0" xfId="0" applyFont="1" applyFill="1"/>
    <xf numFmtId="0" fontId="68" fillId="3" borderId="0" xfId="0" applyFont="1" applyFill="1"/>
    <xf numFmtId="0" fontId="47" fillId="3" borderId="0" xfId="1" applyFont="1" applyFill="1" applyAlignment="1" applyProtection="1"/>
    <xf numFmtId="0" fontId="58" fillId="4" borderId="47" xfId="20" applyFont="1" applyFill="1" applyBorder="1" applyAlignment="1">
      <alignment horizontal="left"/>
    </xf>
    <xf numFmtId="0" fontId="60" fillId="4" borderId="2" xfId="20" applyFont="1" applyFill="1" applyBorder="1" applyAlignment="1">
      <alignment horizontal="right"/>
    </xf>
    <xf numFmtId="0" fontId="60" fillId="4" borderId="2" xfId="20" applyFont="1" applyFill="1" applyBorder="1" applyAlignment="1">
      <alignment horizontal="center"/>
    </xf>
    <xf numFmtId="0" fontId="60" fillId="4" borderId="49" xfId="20" applyFont="1" applyFill="1" applyBorder="1" applyAlignment="1">
      <alignment horizontal="right"/>
    </xf>
    <xf numFmtId="0" fontId="58" fillId="4" borderId="8" xfId="20" applyFont="1" applyFill="1" applyBorder="1" applyAlignment="1">
      <alignment horizontal="left"/>
    </xf>
    <xf numFmtId="0" fontId="60" fillId="4" borderId="0" xfId="20" applyFont="1" applyFill="1" applyBorder="1" applyAlignment="1">
      <alignment horizontal="right"/>
    </xf>
    <xf numFmtId="0" fontId="60" fillId="4" borderId="0" xfId="20" applyFont="1" applyFill="1" applyBorder="1" applyAlignment="1">
      <alignment horizontal="center"/>
    </xf>
    <xf numFmtId="0" fontId="60" fillId="4" borderId="28" xfId="20" applyFont="1" applyFill="1" applyBorder="1" applyAlignment="1">
      <alignment horizontal="right"/>
    </xf>
    <xf numFmtId="0" fontId="22" fillId="3" borderId="0" xfId="20" applyFont="1" applyFill="1" applyBorder="1"/>
    <xf numFmtId="0" fontId="60" fillId="4" borderId="28" xfId="20" applyFont="1" applyFill="1" applyBorder="1" applyAlignment="1">
      <alignment horizontal="center"/>
    </xf>
    <xf numFmtId="0" fontId="58" fillId="4" borderId="5" xfId="20" applyFont="1" applyFill="1" applyBorder="1" applyAlignment="1">
      <alignment horizontal="left"/>
    </xf>
    <xf numFmtId="0" fontId="60" fillId="4" borderId="6" xfId="20" applyFont="1" applyFill="1" applyBorder="1" applyAlignment="1">
      <alignment horizontal="center"/>
    </xf>
    <xf numFmtId="0" fontId="60" fillId="4" borderId="50" xfId="20" applyFont="1" applyFill="1" applyBorder="1" applyAlignment="1">
      <alignment horizontal="center"/>
    </xf>
    <xf numFmtId="0" fontId="27" fillId="3" borderId="0" xfId="20" applyFont="1" applyFill="1"/>
    <xf numFmtId="3" fontId="7" fillId="3" borderId="0" xfId="20" applyNumberFormat="1" applyFont="1" applyFill="1" applyBorder="1" applyAlignment="1">
      <alignment horizontal="center" vertical="center"/>
    </xf>
    <xf numFmtId="0" fontId="27" fillId="3" borderId="28" xfId="20" applyFont="1" applyFill="1" applyBorder="1" applyAlignment="1"/>
    <xf numFmtId="3" fontId="27" fillId="3" borderId="0" xfId="20" applyNumberFormat="1" applyFont="1" applyFill="1" applyBorder="1" applyAlignment="1">
      <alignment horizontal="center" vertical="center"/>
    </xf>
    <xf numFmtId="166" fontId="27" fillId="3" borderId="28" xfId="20" applyNumberFormat="1" applyFont="1" applyFill="1" applyBorder="1" applyAlignment="1"/>
    <xf numFmtId="3" fontId="27" fillId="3" borderId="0" xfId="20" applyNumberFormat="1" applyFont="1" applyFill="1"/>
    <xf numFmtId="3" fontId="7" fillId="3" borderId="43" xfId="20" applyNumberFormat="1" applyFont="1" applyFill="1" applyBorder="1" applyAlignment="1">
      <alignment horizontal="center" vertical="center"/>
    </xf>
    <xf numFmtId="166" fontId="27" fillId="3" borderId="101" xfId="20" applyNumberFormat="1" applyFont="1" applyFill="1" applyBorder="1" applyAlignment="1"/>
    <xf numFmtId="0" fontId="63" fillId="9" borderId="97" xfId="20" applyFont="1" applyFill="1" applyBorder="1" applyAlignment="1">
      <alignment horizontal="left"/>
    </xf>
    <xf numFmtId="3" fontId="27" fillId="3" borderId="98" xfId="20" applyNumberFormat="1" applyFont="1" applyFill="1" applyBorder="1" applyAlignment="1"/>
    <xf numFmtId="3" fontId="27" fillId="3" borderId="99" xfId="20" applyNumberFormat="1" applyFont="1" applyFill="1" applyBorder="1" applyAlignment="1"/>
    <xf numFmtId="0" fontId="33" fillId="3" borderId="0" xfId="19" applyFont="1" applyFill="1"/>
    <xf numFmtId="0" fontId="27" fillId="3" borderId="0" xfId="19" applyFont="1" applyFill="1" applyBorder="1" applyAlignment="1"/>
    <xf numFmtId="9" fontId="27" fillId="3" borderId="0" xfId="19" applyNumberFormat="1" applyFont="1" applyFill="1" applyBorder="1" applyAlignment="1"/>
    <xf numFmtId="0" fontId="27" fillId="3" borderId="0" xfId="19" applyFont="1" applyFill="1"/>
    <xf numFmtId="0" fontId="27" fillId="3" borderId="10" xfId="19" applyFont="1" applyFill="1" applyBorder="1" applyAlignment="1"/>
    <xf numFmtId="3" fontId="53" fillId="9" borderId="26" xfId="19" applyNumberFormat="1" applyFont="1" applyFill="1" applyBorder="1" applyAlignment="1">
      <alignment horizontal="right" vertical="center"/>
    </xf>
    <xf numFmtId="0" fontId="26" fillId="9" borderId="96" xfId="19" applyFont="1" applyFill="1" applyBorder="1" applyAlignment="1">
      <alignment horizontal="left" vertical="center"/>
    </xf>
    <xf numFmtId="0" fontId="53" fillId="9" borderId="26" xfId="20" applyFont="1" applyFill="1" applyBorder="1" applyAlignment="1">
      <alignment horizontal="right" vertical="center"/>
    </xf>
    <xf numFmtId="0" fontId="26" fillId="9" borderId="26" xfId="20" applyFont="1" applyFill="1" applyBorder="1" applyAlignment="1">
      <alignment horizontal="left" vertical="center"/>
    </xf>
    <xf numFmtId="0" fontId="63" fillId="9" borderId="100" xfId="20" applyFont="1" applyFill="1" applyBorder="1" applyAlignment="1">
      <alignment horizontal="left" vertical="center"/>
    </xf>
    <xf numFmtId="0" fontId="27" fillId="7" borderId="47" xfId="21" applyFont="1" applyFill="1" applyBorder="1"/>
    <xf numFmtId="0" fontId="27" fillId="7" borderId="2" xfId="21" applyFont="1" applyFill="1" applyBorder="1"/>
    <xf numFmtId="0" fontId="27" fillId="7" borderId="49" xfId="21" applyFont="1" applyFill="1" applyBorder="1"/>
    <xf numFmtId="0" fontId="58" fillId="4" borderId="47" xfId="21" applyFont="1" applyFill="1" applyBorder="1" applyAlignment="1">
      <alignment horizontal="left"/>
    </xf>
    <xf numFmtId="0" fontId="60" fillId="4" borderId="2" xfId="21" applyFont="1" applyFill="1" applyBorder="1" applyAlignment="1">
      <alignment horizontal="right"/>
    </xf>
    <xf numFmtId="0" fontId="60" fillId="4" borderId="49" xfId="21" applyFont="1" applyFill="1" applyBorder="1" applyAlignment="1">
      <alignment horizontal="right"/>
    </xf>
    <xf numFmtId="0" fontId="27" fillId="3" borderId="0" xfId="21" applyFont="1" applyFill="1"/>
    <xf numFmtId="0" fontId="58" fillId="4" borderId="8" xfId="21" applyFont="1" applyFill="1" applyBorder="1" applyAlignment="1">
      <alignment horizontal="left"/>
    </xf>
    <xf numFmtId="0" fontId="60" fillId="4" borderId="0" xfId="21" applyFont="1" applyFill="1" applyBorder="1" applyAlignment="1">
      <alignment horizontal="right"/>
    </xf>
    <xf numFmtId="0" fontId="60" fillId="4" borderId="0" xfId="21" applyFont="1" applyFill="1" applyBorder="1" applyAlignment="1">
      <alignment horizontal="center"/>
    </xf>
    <xf numFmtId="0" fontId="60" fillId="4" borderId="28" xfId="21" applyFont="1" applyFill="1" applyBorder="1" applyAlignment="1">
      <alignment horizontal="right"/>
    </xf>
    <xf numFmtId="0" fontId="60" fillId="4" borderId="0" xfId="21" quotePrefix="1" applyFont="1" applyFill="1" applyBorder="1" applyAlignment="1">
      <alignment horizontal="center"/>
    </xf>
    <xf numFmtId="0" fontId="58" fillId="4" borderId="5" xfId="21" applyFont="1" applyFill="1" applyBorder="1" applyAlignment="1">
      <alignment horizontal="left"/>
    </xf>
    <xf numFmtId="3" fontId="27" fillId="3" borderId="0" xfId="21" applyNumberFormat="1" applyFont="1" applyFill="1"/>
    <xf numFmtId="0" fontId="63" fillId="9" borderId="97" xfId="21" applyFont="1" applyFill="1" applyBorder="1" applyAlignment="1">
      <alignment horizontal="left"/>
    </xf>
    <xf numFmtId="3" fontId="27" fillId="3" borderId="98" xfId="21" applyNumberFormat="1" applyFont="1" applyFill="1" applyBorder="1" applyAlignment="1"/>
    <xf numFmtId="3" fontId="27" fillId="3" borderId="99" xfId="21" applyNumberFormat="1" applyFont="1" applyFill="1" applyBorder="1" applyAlignment="1"/>
    <xf numFmtId="0" fontId="53" fillId="9" borderId="26" xfId="21" applyFont="1" applyFill="1" applyBorder="1" applyAlignment="1">
      <alignment horizontal="right" vertical="center"/>
    </xf>
    <xf numFmtId="0" fontId="26" fillId="9" borderId="26" xfId="21" applyFont="1" applyFill="1" applyBorder="1" applyAlignment="1">
      <alignment horizontal="left" vertical="center"/>
    </xf>
    <xf numFmtId="0" fontId="63" fillId="9" borderId="100" xfId="21" applyFont="1" applyFill="1" applyBorder="1" applyAlignment="1">
      <alignment horizontal="left" vertical="center"/>
    </xf>
    <xf numFmtId="0" fontId="60" fillId="4" borderId="6" xfId="21" applyFont="1" applyFill="1" applyBorder="1" applyAlignment="1">
      <alignment horizontal="center"/>
    </xf>
    <xf numFmtId="0" fontId="60" fillId="4" borderId="50" xfId="21" applyFont="1" applyFill="1" applyBorder="1" applyAlignment="1">
      <alignment horizontal="center"/>
    </xf>
    <xf numFmtId="3" fontId="7" fillId="3" borderId="2" xfId="21" applyNumberFormat="1" applyFont="1" applyFill="1" applyBorder="1" applyAlignment="1">
      <alignment horizontal="center" vertical="center"/>
    </xf>
    <xf numFmtId="3" fontId="7" fillId="3" borderId="49" xfId="21" applyNumberFormat="1" applyFont="1" applyFill="1" applyBorder="1" applyAlignment="1">
      <alignment horizontal="center" vertical="center"/>
    </xf>
    <xf numFmtId="3" fontId="27" fillId="3" borderId="0" xfId="21" applyNumberFormat="1" applyFont="1" applyFill="1" applyBorder="1" applyAlignment="1">
      <alignment horizontal="center" vertical="center"/>
    </xf>
    <xf numFmtId="3" fontId="27" fillId="3" borderId="28" xfId="21" applyNumberFormat="1" applyFont="1" applyFill="1" applyBorder="1" applyAlignment="1">
      <alignment horizontal="center" vertical="center"/>
    </xf>
    <xf numFmtId="3" fontId="7" fillId="3" borderId="0" xfId="21" applyNumberFormat="1" applyFont="1" applyFill="1" applyBorder="1" applyAlignment="1">
      <alignment horizontal="center" vertical="center"/>
    </xf>
    <xf numFmtId="3" fontId="7" fillId="3" borderId="28" xfId="21" applyNumberFormat="1" applyFont="1" applyFill="1" applyBorder="1" applyAlignment="1">
      <alignment horizontal="center" vertical="center"/>
    </xf>
    <xf numFmtId="3" fontId="7" fillId="3" borderId="98" xfId="21" applyNumberFormat="1" applyFont="1" applyFill="1" applyBorder="1" applyAlignment="1">
      <alignment horizontal="center" vertical="center"/>
    </xf>
    <xf numFmtId="3" fontId="7" fillId="3" borderId="99" xfId="21" applyNumberFormat="1" applyFont="1" applyFill="1" applyBorder="1" applyAlignment="1">
      <alignment horizontal="center" vertical="center"/>
    </xf>
    <xf numFmtId="3" fontId="7" fillId="3" borderId="2" xfId="0" applyNumberFormat="1" applyFont="1" applyFill="1" applyBorder="1" applyAlignment="1">
      <alignment horizontal="center"/>
    </xf>
    <xf numFmtId="3" fontId="7" fillId="3" borderId="49" xfId="0" applyNumberFormat="1" applyFont="1" applyFill="1" applyBorder="1" applyAlignment="1">
      <alignment horizontal="center"/>
    </xf>
    <xf numFmtId="3" fontId="27" fillId="8" borderId="0" xfId="0" applyNumberFormat="1" applyFont="1" applyFill="1" applyBorder="1" applyAlignment="1">
      <alignment horizontal="center"/>
    </xf>
    <xf numFmtId="3" fontId="27" fillId="8" borderId="28" xfId="0" applyNumberFormat="1" applyFont="1" applyFill="1" applyBorder="1" applyAlignment="1">
      <alignment horizontal="center"/>
    </xf>
    <xf numFmtId="3" fontId="27" fillId="3" borderId="0" xfId="0" applyNumberFormat="1" applyFont="1" applyFill="1" applyBorder="1" applyAlignment="1">
      <alignment horizontal="center"/>
    </xf>
    <xf numFmtId="3" fontId="7" fillId="8" borderId="28" xfId="0" applyNumberFormat="1" applyFont="1" applyFill="1" applyBorder="1" applyAlignment="1">
      <alignment horizontal="center"/>
    </xf>
    <xf numFmtId="3" fontId="7" fillId="3" borderId="43" xfId="0" applyNumberFormat="1" applyFont="1" applyFill="1" applyBorder="1" applyAlignment="1">
      <alignment horizontal="center"/>
    </xf>
    <xf numFmtId="3" fontId="7" fillId="3" borderId="101" xfId="0" applyNumberFormat="1" applyFont="1" applyFill="1" applyBorder="1" applyAlignment="1">
      <alignment horizontal="center"/>
    </xf>
    <xf numFmtId="0" fontId="53" fillId="9" borderId="26" xfId="0" applyFont="1" applyFill="1" applyBorder="1" applyAlignment="1">
      <alignment horizontal="right" vertical="center"/>
    </xf>
    <xf numFmtId="3" fontId="7" fillId="3" borderId="2" xfId="0" applyNumberFormat="1" applyFont="1" applyFill="1" applyBorder="1" applyAlignment="1">
      <alignment horizontal="center" vertical="center"/>
    </xf>
    <xf numFmtId="3" fontId="7" fillId="3" borderId="49" xfId="0" applyNumberFormat="1" applyFont="1" applyFill="1" applyBorder="1" applyAlignment="1">
      <alignment horizontal="center" vertical="center"/>
    </xf>
    <xf numFmtId="0" fontId="27" fillId="7" borderId="47" xfId="10" applyFont="1" applyFill="1" applyBorder="1"/>
    <xf numFmtId="0" fontId="27" fillId="7" borderId="2" xfId="10" applyFont="1" applyFill="1" applyBorder="1"/>
    <xf numFmtId="0" fontId="27" fillId="7" borderId="49" xfId="10" applyFont="1" applyFill="1" applyBorder="1"/>
    <xf numFmtId="0" fontId="58" fillId="4" borderId="47" xfId="10" applyFont="1" applyFill="1" applyBorder="1" applyAlignment="1">
      <alignment horizontal="left"/>
    </xf>
    <xf numFmtId="0" fontId="58" fillId="4" borderId="2" xfId="10" applyFont="1" applyFill="1" applyBorder="1" applyAlignment="1"/>
    <xf numFmtId="0" fontId="60" fillId="4" borderId="2" xfId="10" applyFont="1" applyFill="1" applyBorder="1" applyAlignment="1">
      <alignment horizontal="right"/>
    </xf>
    <xf numFmtId="0" fontId="59" fillId="4" borderId="49" xfId="10" applyFont="1" applyFill="1" applyBorder="1" applyAlignment="1">
      <alignment horizontal="right"/>
    </xf>
    <xf numFmtId="0" fontId="58" fillId="4" borderId="8" xfId="10" applyFont="1" applyFill="1" applyBorder="1" applyAlignment="1">
      <alignment horizontal="left"/>
    </xf>
    <xf numFmtId="0" fontId="58" fillId="4" borderId="0" xfId="10" applyFont="1" applyFill="1" applyBorder="1" applyAlignment="1">
      <alignment horizontal="left"/>
    </xf>
    <xf numFmtId="0" fontId="60" fillId="4" borderId="0" xfId="10" applyFont="1" applyFill="1" applyBorder="1" applyAlignment="1">
      <alignment horizontal="right"/>
    </xf>
    <xf numFmtId="0" fontId="59" fillId="4" borderId="28" xfId="10" applyFont="1" applyFill="1" applyBorder="1" applyAlignment="1">
      <alignment horizontal="right"/>
    </xf>
    <xf numFmtId="0" fontId="60" fillId="4" borderId="0" xfId="10" applyFont="1" applyFill="1" applyBorder="1" applyAlignment="1">
      <alignment horizontal="center"/>
    </xf>
    <xf numFmtId="0" fontId="59" fillId="4" borderId="28" xfId="10" applyFont="1" applyFill="1" applyBorder="1" applyAlignment="1">
      <alignment horizontal="center"/>
    </xf>
    <xf numFmtId="0" fontId="58" fillId="4" borderId="5" xfId="10" applyFont="1" applyFill="1" applyBorder="1" applyAlignment="1">
      <alignment horizontal="left"/>
    </xf>
    <xf numFmtId="0" fontId="60" fillId="4" borderId="6" xfId="10" applyFont="1" applyFill="1" applyBorder="1" applyAlignment="1">
      <alignment horizontal="center"/>
    </xf>
    <xf numFmtId="0" fontId="59" fillId="4" borderId="50" xfId="10" applyFont="1" applyFill="1" applyBorder="1" applyAlignment="1">
      <alignment horizontal="center"/>
    </xf>
    <xf numFmtId="0" fontId="26" fillId="9" borderId="96" xfId="10" applyFont="1" applyFill="1" applyBorder="1" applyAlignment="1">
      <alignment horizontal="left" vertical="center"/>
    </xf>
    <xf numFmtId="0" fontId="26" fillId="9" borderId="26" xfId="10" applyFont="1" applyFill="1" applyBorder="1" applyAlignment="1">
      <alignment horizontal="left" vertical="center"/>
    </xf>
    <xf numFmtId="3" fontId="7" fillId="3" borderId="0" xfId="3" applyNumberFormat="1" applyFont="1" applyFill="1" applyBorder="1" applyAlignment="1">
      <alignment horizontal="center" vertical="center"/>
    </xf>
    <xf numFmtId="3" fontId="7" fillId="3" borderId="28" xfId="3" applyNumberFormat="1" applyFont="1" applyFill="1" applyBorder="1" applyAlignment="1">
      <alignment horizontal="center" vertical="center"/>
    </xf>
    <xf numFmtId="0" fontId="26" fillId="9" borderId="30" xfId="10" applyFont="1" applyFill="1" applyBorder="1" applyAlignment="1">
      <alignment horizontal="left" vertical="center"/>
    </xf>
    <xf numFmtId="3" fontId="7" fillId="3" borderId="6" xfId="3" applyNumberFormat="1" applyFont="1" applyFill="1" applyBorder="1" applyAlignment="1">
      <alignment horizontal="center" vertical="center"/>
    </xf>
    <xf numFmtId="3" fontId="7" fillId="3" borderId="50" xfId="3" applyNumberFormat="1" applyFont="1" applyFill="1" applyBorder="1" applyAlignment="1">
      <alignment horizontal="center" vertical="center"/>
    </xf>
    <xf numFmtId="0" fontId="20" fillId="3" borderId="0" xfId="10" applyFont="1" applyFill="1" applyAlignment="1">
      <alignment horizontal="left"/>
    </xf>
    <xf numFmtId="0" fontId="53" fillId="3" borderId="0" xfId="10" applyFont="1" applyFill="1"/>
    <xf numFmtId="0" fontId="26" fillId="3" borderId="0" xfId="10" applyFont="1" applyFill="1"/>
    <xf numFmtId="164" fontId="20" fillId="3" borderId="0" xfId="10" applyNumberFormat="1" applyFont="1" applyFill="1" applyAlignment="1">
      <alignment horizontal="left"/>
    </xf>
    <xf numFmtId="1" fontId="20" fillId="3" borderId="0" xfId="4" applyNumberFormat="1" applyFont="1" applyFill="1"/>
    <xf numFmtId="0" fontId="27" fillId="3" borderId="0" xfId="10" applyFont="1" applyFill="1"/>
    <xf numFmtId="3" fontId="27" fillId="3" borderId="0" xfId="10" applyNumberFormat="1" applyFont="1" applyFill="1"/>
    <xf numFmtId="0" fontId="27" fillId="7" borderId="41" xfId="10" applyFont="1" applyFill="1" applyBorder="1"/>
    <xf numFmtId="0" fontId="27" fillId="7" borderId="43" xfId="10" applyFont="1" applyFill="1" applyBorder="1"/>
    <xf numFmtId="0" fontId="27" fillId="7" borderId="102" xfId="10" applyFont="1" applyFill="1" applyBorder="1"/>
    <xf numFmtId="0" fontId="60" fillId="14" borderId="8" xfId="10" applyFont="1" applyFill="1" applyBorder="1" applyAlignment="1">
      <alignment horizontal="right"/>
    </xf>
    <xf numFmtId="0" fontId="60" fillId="14" borderId="0" xfId="10" applyFont="1" applyFill="1" applyBorder="1" applyAlignment="1">
      <alignment horizontal="right"/>
    </xf>
    <xf numFmtId="0" fontId="60" fillId="14" borderId="28" xfId="10" applyFont="1" applyFill="1" applyBorder="1" applyAlignment="1">
      <alignment horizontal="right"/>
    </xf>
    <xf numFmtId="0" fontId="63" fillId="9" borderId="47" xfId="10" applyFont="1" applyFill="1" applyBorder="1" applyAlignment="1">
      <alignment horizontal="left"/>
    </xf>
    <xf numFmtId="0" fontId="27" fillId="3" borderId="2" xfId="10" applyFont="1" applyFill="1" applyBorder="1" applyAlignment="1"/>
    <xf numFmtId="0" fontId="27" fillId="3" borderId="49" xfId="10" applyFont="1" applyFill="1" applyBorder="1" applyAlignment="1"/>
    <xf numFmtId="0" fontId="69" fillId="3" borderId="0" xfId="10" applyFont="1" applyFill="1"/>
    <xf numFmtId="0" fontId="63" fillId="9" borderId="8" xfId="10" applyFont="1" applyFill="1" applyBorder="1" applyAlignment="1">
      <alignment horizontal="left"/>
    </xf>
    <xf numFmtId="165" fontId="7" fillId="3" borderId="0" xfId="10" applyNumberFormat="1" applyFont="1" applyFill="1" applyBorder="1" applyAlignment="1"/>
    <xf numFmtId="0" fontId="27" fillId="3" borderId="28" xfId="10" applyFont="1" applyFill="1" applyBorder="1" applyAlignment="1"/>
    <xf numFmtId="0" fontId="63" fillId="9" borderId="5" xfId="10" applyFont="1" applyFill="1" applyBorder="1" applyAlignment="1">
      <alignment horizontal="left"/>
    </xf>
    <xf numFmtId="165" fontId="7" fillId="3" borderId="6" xfId="10" applyNumberFormat="1" applyFont="1" applyFill="1" applyBorder="1" applyAlignment="1"/>
    <xf numFmtId="0" fontId="27" fillId="3" borderId="50" xfId="10" applyFont="1" applyFill="1" applyBorder="1" applyAlignment="1"/>
    <xf numFmtId="0" fontId="27" fillId="7" borderId="47" xfId="12" applyFont="1" applyFill="1" applyBorder="1"/>
    <xf numFmtId="0" fontId="27" fillId="7" borderId="2" xfId="12" applyFont="1" applyFill="1" applyBorder="1"/>
    <xf numFmtId="0" fontId="27" fillId="7" borderId="49" xfId="12" applyFont="1" applyFill="1" applyBorder="1"/>
    <xf numFmtId="0" fontId="60" fillId="4" borderId="47" xfId="12" applyFont="1" applyFill="1" applyBorder="1" applyAlignment="1">
      <alignment horizontal="right"/>
    </xf>
    <xf numFmtId="0" fontId="60" fillId="4" borderId="2" xfId="12" applyFont="1" applyFill="1" applyBorder="1" applyAlignment="1">
      <alignment horizontal="right"/>
    </xf>
    <xf numFmtId="0" fontId="5" fillId="4" borderId="2" xfId="20" applyFont="1" applyFill="1" applyBorder="1" applyAlignment="1">
      <alignment horizontal="center"/>
    </xf>
    <xf numFmtId="3" fontId="60" fillId="4" borderId="49" xfId="12" applyNumberFormat="1" applyFont="1" applyFill="1" applyBorder="1" applyAlignment="1">
      <alignment horizontal="right"/>
    </xf>
    <xf numFmtId="0" fontId="60" fillId="4" borderId="8" xfId="12" applyFont="1" applyFill="1" applyBorder="1" applyAlignment="1">
      <alignment horizontal="right"/>
    </xf>
    <xf numFmtId="0" fontId="60" fillId="4" borderId="0" xfId="12" applyFont="1" applyFill="1" applyBorder="1" applyAlignment="1">
      <alignment horizontal="right"/>
    </xf>
    <xf numFmtId="0" fontId="60" fillId="4" borderId="0" xfId="12" applyFont="1" applyFill="1" applyBorder="1" applyAlignment="1">
      <alignment horizontal="center"/>
    </xf>
    <xf numFmtId="3" fontId="60" fillId="4" borderId="28" xfId="12" applyNumberFormat="1" applyFont="1" applyFill="1" applyBorder="1" applyAlignment="1">
      <alignment horizontal="right"/>
    </xf>
    <xf numFmtId="0" fontId="60" fillId="4" borderId="8" xfId="12" applyFont="1" applyFill="1" applyBorder="1" applyAlignment="1">
      <alignment horizontal="left"/>
    </xf>
    <xf numFmtId="3" fontId="60" fillId="4" borderId="28" xfId="12" applyNumberFormat="1" applyFont="1" applyFill="1" applyBorder="1" applyAlignment="1">
      <alignment horizontal="center"/>
    </xf>
    <xf numFmtId="0" fontId="60" fillId="4" borderId="5" xfId="12" applyFont="1" applyFill="1" applyBorder="1" applyAlignment="1">
      <alignment horizontal="right"/>
    </xf>
    <xf numFmtId="0" fontId="60" fillId="4" borderId="6" xfId="12" applyFont="1" applyFill="1" applyBorder="1" applyAlignment="1">
      <alignment horizontal="center"/>
    </xf>
    <xf numFmtId="3" fontId="60" fillId="4" borderId="50" xfId="12" applyNumberFormat="1" applyFont="1" applyFill="1" applyBorder="1" applyAlignment="1">
      <alignment horizontal="center"/>
    </xf>
    <xf numFmtId="0" fontId="63" fillId="9" borderId="26" xfId="12" applyFont="1" applyFill="1" applyBorder="1" applyAlignment="1">
      <alignment horizontal="left"/>
    </xf>
    <xf numFmtId="3" fontId="7" fillId="3" borderId="0" xfId="12" applyNumberFormat="1" applyFont="1" applyFill="1" applyBorder="1" applyAlignment="1">
      <alignment horizontal="center"/>
    </xf>
    <xf numFmtId="3" fontId="7" fillId="3" borderId="0" xfId="12" quotePrefix="1" applyNumberFormat="1" applyFont="1" applyFill="1" applyBorder="1" applyAlignment="1">
      <alignment horizontal="center"/>
    </xf>
    <xf numFmtId="3" fontId="7" fillId="3" borderId="28" xfId="12" quotePrefix="1" applyNumberFormat="1" applyFont="1" applyFill="1" applyBorder="1" applyAlignment="1">
      <alignment horizontal="center"/>
    </xf>
    <xf numFmtId="0" fontId="26" fillId="9" borderId="26" xfId="12" applyFont="1" applyFill="1" applyBorder="1" applyAlignment="1">
      <alignment horizontal="left"/>
    </xf>
    <xf numFmtId="3" fontId="7" fillId="3" borderId="28" xfId="12" applyNumberFormat="1" applyFont="1" applyFill="1" applyBorder="1" applyAlignment="1">
      <alignment horizontal="center"/>
    </xf>
    <xf numFmtId="0" fontId="26" fillId="9" borderId="30" xfId="12" applyFont="1" applyFill="1" applyBorder="1" applyAlignment="1">
      <alignment horizontal="left"/>
    </xf>
    <xf numFmtId="3" fontId="27" fillId="3" borderId="6" xfId="12" applyNumberFormat="1" applyFont="1" applyFill="1" applyBorder="1" applyAlignment="1">
      <alignment horizontal="center"/>
    </xf>
    <xf numFmtId="3" fontId="27" fillId="3" borderId="50" xfId="12" applyNumberFormat="1" applyFont="1" applyFill="1" applyBorder="1" applyAlignment="1">
      <alignment horizontal="center"/>
    </xf>
    <xf numFmtId="0" fontId="70" fillId="3" borderId="0" xfId="11" applyFont="1" applyFill="1"/>
    <xf numFmtId="3" fontId="27" fillId="3" borderId="0" xfId="12" applyNumberFormat="1" applyFont="1" applyFill="1" applyBorder="1" applyAlignment="1"/>
    <xf numFmtId="0" fontId="27" fillId="3" borderId="0" xfId="12" applyFont="1" applyFill="1"/>
    <xf numFmtId="0" fontId="27" fillId="7" borderId="47" xfId="11" applyFont="1" applyFill="1" applyBorder="1"/>
    <xf numFmtId="0" fontId="27" fillId="7" borderId="2" xfId="11" applyFont="1" applyFill="1" applyBorder="1"/>
    <xf numFmtId="0" fontId="27" fillId="7" borderId="49" xfId="11" applyFont="1" applyFill="1" applyBorder="1"/>
    <xf numFmtId="0" fontId="27" fillId="3" borderId="0" xfId="11" applyFont="1" applyFill="1"/>
    <xf numFmtId="0" fontId="58" fillId="4" borderId="47" xfId="11" applyFont="1" applyFill="1" applyBorder="1" applyAlignment="1">
      <alignment horizontal="left"/>
    </xf>
    <xf numFmtId="0" fontId="58" fillId="4" borderId="2" xfId="11" applyFont="1" applyFill="1" applyBorder="1" applyAlignment="1">
      <alignment horizontal="left"/>
    </xf>
    <xf numFmtId="0" fontId="64" fillId="4" borderId="2" xfId="11" applyFont="1" applyFill="1" applyBorder="1" applyAlignment="1">
      <alignment horizontal="right"/>
    </xf>
    <xf numFmtId="0" fontId="58" fillId="4" borderId="49" xfId="11" applyFont="1" applyFill="1" applyBorder="1" applyAlignment="1">
      <alignment horizontal="right"/>
    </xf>
    <xf numFmtId="0" fontId="58" fillId="4" borderId="8" xfId="11" applyFont="1" applyFill="1" applyBorder="1" applyAlignment="1">
      <alignment horizontal="left"/>
    </xf>
    <xf numFmtId="0" fontId="58" fillId="4" borderId="0" xfId="11" applyFont="1" applyFill="1" applyBorder="1" applyAlignment="1">
      <alignment horizontal="left"/>
    </xf>
    <xf numFmtId="0" fontId="58" fillId="4" borderId="0" xfId="11" applyFont="1" applyFill="1" applyBorder="1" applyAlignment="1"/>
    <xf numFmtId="0" fontId="64" fillId="4" borderId="0" xfId="11" applyFont="1" applyFill="1" applyBorder="1" applyAlignment="1">
      <alignment horizontal="right"/>
    </xf>
    <xf numFmtId="0" fontId="58" fillId="4" borderId="28" xfId="11" applyFont="1" applyFill="1" applyBorder="1" applyAlignment="1">
      <alignment horizontal="right"/>
    </xf>
    <xf numFmtId="0" fontId="71" fillId="3" borderId="0" xfId="11" applyFont="1" applyFill="1" applyBorder="1"/>
    <xf numFmtId="0" fontId="58" fillId="4" borderId="0" xfId="11" applyFont="1" applyFill="1" applyBorder="1" applyAlignment="1">
      <alignment horizontal="center"/>
    </xf>
    <xf numFmtId="0" fontId="58" fillId="4" borderId="28" xfId="11" applyFont="1" applyFill="1" applyBorder="1" applyAlignment="1">
      <alignment horizontal="center"/>
    </xf>
    <xf numFmtId="0" fontId="58" fillId="4" borderId="5" xfId="11" applyFont="1" applyFill="1" applyBorder="1" applyAlignment="1">
      <alignment horizontal="left"/>
    </xf>
    <xf numFmtId="0" fontId="58" fillId="4" borderId="6" xfId="11" applyFont="1" applyFill="1" applyBorder="1" applyAlignment="1">
      <alignment horizontal="center"/>
    </xf>
    <xf numFmtId="0" fontId="58" fillId="4" borderId="50" xfId="11" applyFont="1" applyFill="1" applyBorder="1" applyAlignment="1">
      <alignment horizontal="center"/>
    </xf>
    <xf numFmtId="0" fontId="71" fillId="3" borderId="0" xfId="11" applyFont="1" applyFill="1"/>
    <xf numFmtId="0" fontId="72" fillId="9" borderId="26" xfId="11" applyFont="1" applyFill="1" applyBorder="1" applyAlignment="1">
      <alignment horizontal="left"/>
    </xf>
    <xf numFmtId="3" fontId="73" fillId="3" borderId="0" xfId="11" applyNumberFormat="1" applyFont="1" applyFill="1" applyBorder="1" applyAlignment="1">
      <alignment horizontal="center"/>
    </xf>
    <xf numFmtId="3" fontId="73" fillId="3" borderId="28" xfId="11" applyNumberFormat="1" applyFont="1" applyFill="1" applyBorder="1" applyAlignment="1">
      <alignment horizontal="center"/>
    </xf>
    <xf numFmtId="3" fontId="27" fillId="3" borderId="0" xfId="11" applyNumberFormat="1" applyFont="1" applyFill="1"/>
    <xf numFmtId="0" fontId="29" fillId="9" borderId="26" xfId="11" applyFont="1" applyFill="1" applyBorder="1" applyAlignment="1">
      <alignment horizontal="left"/>
    </xf>
    <xf numFmtId="0" fontId="29" fillId="9" borderId="30" xfId="11" applyFont="1" applyFill="1" applyBorder="1" applyAlignment="1">
      <alignment horizontal="left"/>
    </xf>
    <xf numFmtId="166" fontId="74" fillId="3" borderId="6" xfId="11" applyNumberFormat="1" applyFont="1" applyFill="1" applyBorder="1" applyAlignment="1">
      <alignment horizontal="center"/>
    </xf>
    <xf numFmtId="166" fontId="74" fillId="3" borderId="50" xfId="11" applyNumberFormat="1" applyFont="1" applyFill="1" applyBorder="1" applyAlignment="1">
      <alignment horizontal="center"/>
    </xf>
    <xf numFmtId="0" fontId="7" fillId="3" borderId="0" xfId="11" applyFont="1" applyFill="1"/>
    <xf numFmtId="9" fontId="27" fillId="3" borderId="0" xfId="11" applyNumberFormat="1" applyFont="1" applyFill="1"/>
    <xf numFmtId="4" fontId="7" fillId="3" borderId="0" xfId="11" applyNumberFormat="1" applyFont="1" applyFill="1"/>
    <xf numFmtId="165" fontId="7" fillId="3" borderId="0" xfId="11" applyNumberFormat="1" applyFont="1" applyFill="1"/>
    <xf numFmtId="0" fontId="36" fillId="3" borderId="0" xfId="11" applyFont="1" applyFill="1"/>
    <xf numFmtId="1" fontId="27" fillId="3" borderId="0" xfId="3" applyNumberFormat="1" applyFont="1" applyFill="1"/>
    <xf numFmtId="0" fontId="27" fillId="7" borderId="47" xfId="13" applyFont="1" applyFill="1" applyBorder="1"/>
    <xf numFmtId="0" fontId="27" fillId="7" borderId="2" xfId="13" applyFont="1" applyFill="1" applyBorder="1"/>
    <xf numFmtId="0" fontId="27" fillId="7" borderId="49" xfId="13" applyFont="1" applyFill="1" applyBorder="1"/>
    <xf numFmtId="0" fontId="27" fillId="3" borderId="0" xfId="13" applyFont="1" applyFill="1"/>
    <xf numFmtId="0" fontId="58" fillId="4" borderId="47" xfId="13" applyFont="1" applyFill="1" applyBorder="1" applyAlignment="1">
      <alignment horizontal="left"/>
    </xf>
    <xf numFmtId="0" fontId="60" fillId="4" borderId="2" xfId="13" applyFont="1" applyFill="1" applyBorder="1" applyAlignment="1">
      <alignment horizontal="right"/>
    </xf>
    <xf numFmtId="0" fontId="59" fillId="4" borderId="49" xfId="13" applyFont="1" applyFill="1" applyBorder="1" applyAlignment="1">
      <alignment horizontal="right"/>
    </xf>
    <xf numFmtId="0" fontId="58" fillId="4" borderId="8" xfId="13" applyFont="1" applyFill="1" applyBorder="1" applyAlignment="1">
      <alignment horizontal="left"/>
    </xf>
    <xf numFmtId="0" fontId="60" fillId="4" borderId="0" xfId="13" applyFont="1" applyFill="1" applyBorder="1" applyAlignment="1">
      <alignment horizontal="right"/>
    </xf>
    <xf numFmtId="0" fontId="60" fillId="4" borderId="0" xfId="13" applyFont="1" applyFill="1" applyBorder="1" applyAlignment="1">
      <alignment horizontal="center"/>
    </xf>
    <xf numFmtId="0" fontId="59" fillId="4" borderId="28" xfId="13" applyFont="1" applyFill="1" applyBorder="1" applyAlignment="1">
      <alignment horizontal="right"/>
    </xf>
    <xf numFmtId="0" fontId="58" fillId="4" borderId="5" xfId="13" applyFont="1" applyFill="1" applyBorder="1" applyAlignment="1">
      <alignment horizontal="left"/>
    </xf>
    <xf numFmtId="0" fontId="60" fillId="4" borderId="6" xfId="13" applyFont="1" applyFill="1" applyBorder="1" applyAlignment="1">
      <alignment horizontal="center"/>
    </xf>
    <xf numFmtId="0" fontId="59" fillId="4" borderId="50" xfId="13" applyFont="1" applyFill="1" applyBorder="1" applyAlignment="1">
      <alignment horizontal="center"/>
    </xf>
    <xf numFmtId="0" fontId="26" fillId="9" borderId="26" xfId="13" applyFont="1" applyFill="1" applyBorder="1" applyAlignment="1">
      <alignment horizontal="left"/>
    </xf>
    <xf numFmtId="3" fontId="7" fillId="3" borderId="0" xfId="13" applyNumberFormat="1" applyFont="1" applyFill="1" applyBorder="1" applyAlignment="1"/>
    <xf numFmtId="3" fontId="7" fillId="3" borderId="28" xfId="13" applyNumberFormat="1" applyFont="1" applyFill="1" applyBorder="1" applyAlignment="1"/>
    <xf numFmtId="3" fontId="27" fillId="3" borderId="0" xfId="13" applyNumberFormat="1" applyFont="1" applyFill="1"/>
    <xf numFmtId="0" fontId="63" fillId="9" borderId="26" xfId="13" applyFont="1" applyFill="1" applyBorder="1" applyAlignment="1">
      <alignment horizontal="left"/>
    </xf>
    <xf numFmtId="0" fontId="27" fillId="3" borderId="0" xfId="13" applyFont="1" applyFill="1" applyAlignment="1">
      <alignment horizontal="center"/>
    </xf>
    <xf numFmtId="0" fontId="63" fillId="9" borderId="30" xfId="13" applyFont="1" applyFill="1" applyBorder="1" applyAlignment="1">
      <alignment horizontal="left"/>
    </xf>
    <xf numFmtId="3" fontId="27" fillId="3" borderId="6" xfId="13" applyNumberFormat="1" applyFont="1" applyFill="1" applyBorder="1" applyAlignment="1"/>
    <xf numFmtId="3" fontId="27" fillId="3" borderId="50" xfId="13" applyNumberFormat="1" applyFont="1" applyFill="1" applyBorder="1" applyAlignment="1"/>
    <xf numFmtId="3" fontId="27" fillId="3" borderId="0" xfId="13" applyNumberFormat="1" applyFont="1" applyFill="1" applyBorder="1" applyAlignment="1"/>
    <xf numFmtId="0" fontId="33" fillId="3" borderId="0" xfId="11" applyFont="1" applyFill="1"/>
    <xf numFmtId="3" fontId="7" fillId="3" borderId="0" xfId="13" applyNumberFormat="1" applyFont="1" applyFill="1" applyBorder="1" applyAlignment="1">
      <alignment horizontal="center"/>
    </xf>
    <xf numFmtId="3" fontId="7" fillId="3" borderId="28" xfId="13" applyNumberFormat="1" applyFont="1" applyFill="1" applyBorder="1" applyAlignment="1">
      <alignment horizontal="center"/>
    </xf>
    <xf numFmtId="0" fontId="27" fillId="0" borderId="0" xfId="0" applyFont="1"/>
    <xf numFmtId="0" fontId="22" fillId="7" borderId="47" xfId="14" applyFont="1" applyFill="1" applyBorder="1"/>
    <xf numFmtId="0" fontId="22" fillId="7" borderId="2" xfId="14" applyFont="1" applyFill="1" applyBorder="1"/>
    <xf numFmtId="0" fontId="22" fillId="7" borderId="49" xfId="14" applyFont="1" applyFill="1" applyBorder="1"/>
    <xf numFmtId="0" fontId="22" fillId="3" borderId="0" xfId="14" applyFont="1" applyFill="1"/>
    <xf numFmtId="0" fontId="58" fillId="4" borderId="47" xfId="14" applyFont="1" applyFill="1" applyBorder="1" applyAlignment="1">
      <alignment horizontal="left"/>
    </xf>
    <xf numFmtId="0" fontId="60" fillId="4" borderId="2" xfId="14" applyFont="1" applyFill="1" applyBorder="1" applyAlignment="1">
      <alignment horizontal="right"/>
    </xf>
    <xf numFmtId="0" fontId="60" fillId="4" borderId="2" xfId="14" applyFont="1" applyFill="1" applyBorder="1" applyAlignment="1">
      <alignment horizontal="left"/>
    </xf>
    <xf numFmtId="0" fontId="59" fillId="4" borderId="49" xfId="14" applyFont="1" applyFill="1" applyBorder="1" applyAlignment="1">
      <alignment horizontal="right"/>
    </xf>
    <xf numFmtId="0" fontId="27" fillId="3" borderId="0" xfId="14" applyFont="1" applyFill="1"/>
    <xf numFmtId="0" fontId="58" fillId="4" borderId="8" xfId="14" applyFont="1" applyFill="1" applyBorder="1" applyAlignment="1">
      <alignment horizontal="left"/>
    </xf>
    <xf numFmtId="0" fontId="60" fillId="4" borderId="0" xfId="14" applyFont="1" applyFill="1" applyBorder="1" applyAlignment="1">
      <alignment horizontal="right"/>
    </xf>
    <xf numFmtId="0" fontId="60" fillId="4" borderId="0" xfId="14" applyFont="1" applyFill="1" applyBorder="1" applyAlignment="1">
      <alignment horizontal="left"/>
    </xf>
    <xf numFmtId="0" fontId="59" fillId="4" borderId="28" xfId="14" applyFont="1" applyFill="1" applyBorder="1" applyAlignment="1">
      <alignment horizontal="right"/>
    </xf>
    <xf numFmtId="0" fontId="60" fillId="4" borderId="0" xfId="14" applyFont="1" applyFill="1" applyBorder="1" applyAlignment="1">
      <alignment horizontal="center"/>
    </xf>
    <xf numFmtId="0" fontId="59" fillId="4" borderId="28" xfId="14" applyFont="1" applyFill="1" applyBorder="1" applyAlignment="1">
      <alignment horizontal="center"/>
    </xf>
    <xf numFmtId="0" fontId="27" fillId="0" borderId="0" xfId="14" applyFont="1" applyFill="1" applyBorder="1"/>
    <xf numFmtId="0" fontId="58" fillId="4" borderId="5" xfId="14" applyFont="1" applyFill="1" applyBorder="1" applyAlignment="1">
      <alignment horizontal="left"/>
    </xf>
    <xf numFmtId="0" fontId="60" fillId="4" borderId="6" xfId="14" applyFont="1" applyFill="1" applyBorder="1" applyAlignment="1">
      <alignment horizontal="center"/>
    </xf>
    <xf numFmtId="0" fontId="59" fillId="4" borderId="50" xfId="14" applyFont="1" applyFill="1" applyBorder="1" applyAlignment="1">
      <alignment horizontal="center"/>
    </xf>
    <xf numFmtId="0" fontId="26" fillId="9" borderId="26" xfId="14" applyFont="1" applyFill="1" applyBorder="1" applyAlignment="1">
      <alignment horizontal="left"/>
    </xf>
    <xf numFmtId="3" fontId="7" fillId="3" borderId="0" xfId="14" quotePrefix="1" applyNumberFormat="1" applyFont="1" applyFill="1" applyBorder="1" applyAlignment="1"/>
    <xf numFmtId="3" fontId="7" fillId="3" borderId="0" xfId="14" applyNumberFormat="1" applyFont="1" applyFill="1" applyBorder="1" applyAlignment="1"/>
    <xf numFmtId="3" fontId="7" fillId="3" borderId="28" xfId="14" applyNumberFormat="1" applyFont="1" applyFill="1" applyBorder="1" applyAlignment="1"/>
    <xf numFmtId="3" fontId="7" fillId="0" borderId="0" xfId="14" quotePrefix="1" applyNumberFormat="1" applyFont="1" applyFill="1" applyBorder="1" applyAlignment="1"/>
    <xf numFmtId="0" fontId="63" fillId="9" borderId="26" xfId="14" applyFont="1" applyFill="1" applyBorder="1" applyAlignment="1">
      <alignment horizontal="left"/>
    </xf>
    <xf numFmtId="3" fontId="7" fillId="0" borderId="0" xfId="14" applyNumberFormat="1" applyFont="1" applyFill="1" applyBorder="1" applyAlignment="1"/>
    <xf numFmtId="0" fontId="27" fillId="3" borderId="28" xfId="0" applyFont="1" applyFill="1" applyBorder="1"/>
    <xf numFmtId="0" fontId="27" fillId="0" borderId="0" xfId="0" applyFont="1" applyFill="1" applyBorder="1"/>
    <xf numFmtId="0" fontId="63" fillId="9" borderId="30" xfId="14" applyFont="1" applyFill="1" applyBorder="1" applyAlignment="1">
      <alignment horizontal="left"/>
    </xf>
    <xf numFmtId="3" fontId="7" fillId="3" borderId="6" xfId="14" applyNumberFormat="1" applyFont="1" applyFill="1" applyBorder="1" applyAlignment="1"/>
    <xf numFmtId="3" fontId="7" fillId="3" borderId="50" xfId="14" applyNumberFormat="1" applyFont="1" applyFill="1" applyBorder="1" applyAlignment="1"/>
    <xf numFmtId="1" fontId="7" fillId="0" borderId="0" xfId="4" applyNumberFormat="1" applyFont="1" applyFill="1" applyBorder="1"/>
    <xf numFmtId="1" fontId="62" fillId="3" borderId="0" xfId="1" applyNumberFormat="1" applyFont="1" applyFill="1" applyAlignment="1" applyProtection="1"/>
    <xf numFmtId="0" fontId="22" fillId="0" borderId="0" xfId="14" applyFont="1" applyFill="1" applyBorder="1"/>
    <xf numFmtId="0" fontId="27" fillId="7" borderId="47" xfId="15" applyFont="1" applyFill="1" applyBorder="1"/>
    <xf numFmtId="0" fontId="27" fillId="7" borderId="2" xfId="15" applyFont="1" applyFill="1" applyBorder="1"/>
    <xf numFmtId="0" fontId="27" fillId="7" borderId="49" xfId="15" applyFont="1" applyFill="1" applyBorder="1"/>
    <xf numFmtId="0" fontId="27" fillId="3" borderId="0" xfId="15" applyFont="1" applyFill="1"/>
    <xf numFmtId="0" fontId="58" fillId="4" borderId="47" xfId="15" applyFont="1" applyFill="1" applyBorder="1" applyAlignment="1">
      <alignment horizontal="left"/>
    </xf>
    <xf numFmtId="0" fontId="60" fillId="4" borderId="2" xfId="15" applyFont="1" applyFill="1" applyBorder="1" applyAlignment="1">
      <alignment horizontal="right"/>
    </xf>
    <xf numFmtId="0" fontId="59" fillId="4" borderId="49" xfId="15" applyFont="1" applyFill="1" applyBorder="1" applyAlignment="1">
      <alignment horizontal="right"/>
    </xf>
    <xf numFmtId="0" fontId="58" fillId="4" borderId="8" xfId="15" applyFont="1" applyFill="1" applyBorder="1" applyAlignment="1">
      <alignment horizontal="left"/>
    </xf>
    <xf numFmtId="0" fontId="60" fillId="4" borderId="0" xfId="15" applyFont="1" applyFill="1" applyBorder="1" applyAlignment="1">
      <alignment horizontal="center"/>
    </xf>
    <xf numFmtId="0" fontId="60" fillId="4" borderId="0" xfId="15" applyFont="1" applyFill="1" applyBorder="1" applyAlignment="1">
      <alignment horizontal="left"/>
    </xf>
    <xf numFmtId="0" fontId="60" fillId="4" borderId="0" xfId="15" applyFont="1" applyFill="1" applyBorder="1" applyAlignment="1">
      <alignment horizontal="right"/>
    </xf>
    <xf numFmtId="0" fontId="59" fillId="4" borderId="28" xfId="15" applyFont="1" applyFill="1" applyBorder="1" applyAlignment="1">
      <alignment horizontal="right"/>
    </xf>
    <xf numFmtId="0" fontId="58" fillId="4" borderId="82" xfId="15" applyFont="1" applyFill="1" applyBorder="1" applyAlignment="1">
      <alignment horizontal="left"/>
    </xf>
    <xf numFmtId="0" fontId="63" fillId="4" borderId="5" xfId="15" applyFont="1" applyFill="1" applyBorder="1" applyAlignment="1">
      <alignment horizontal="left"/>
    </xf>
    <xf numFmtId="0" fontId="27" fillId="2" borderId="6" xfId="15" applyFont="1" applyFill="1" applyBorder="1" applyAlignment="1"/>
    <xf numFmtId="0" fontId="27" fillId="2" borderId="50" xfId="15" applyFont="1" applyFill="1" applyBorder="1" applyAlignment="1"/>
    <xf numFmtId="0" fontId="26" fillId="9" borderId="26" xfId="15" applyFont="1" applyFill="1" applyBorder="1" applyAlignment="1">
      <alignment horizontal="left"/>
    </xf>
    <xf numFmtId="3" fontId="7" fillId="3" borderId="0" xfId="15" applyNumberFormat="1" applyFont="1" applyFill="1" applyBorder="1" applyAlignment="1"/>
    <xf numFmtId="3" fontId="7" fillId="3" borderId="28" xfId="15" applyNumberFormat="1" applyFont="1" applyFill="1" applyBorder="1" applyAlignment="1"/>
    <xf numFmtId="3" fontId="27" fillId="3" borderId="0" xfId="15" applyNumberFormat="1" applyFont="1" applyFill="1"/>
    <xf numFmtId="0" fontId="63" fillId="9" borderId="26" xfId="15" applyFont="1" applyFill="1" applyBorder="1" applyAlignment="1">
      <alignment horizontal="left"/>
    </xf>
    <xf numFmtId="0" fontId="63" fillId="9" borderId="30" xfId="15" applyFont="1" applyFill="1" applyBorder="1" applyAlignment="1">
      <alignment horizontal="left"/>
    </xf>
    <xf numFmtId="3" fontId="7" fillId="3" borderId="6" xfId="15" applyNumberFormat="1" applyFont="1" applyFill="1" applyBorder="1" applyAlignment="1"/>
    <xf numFmtId="3" fontId="7" fillId="3" borderId="50" xfId="15" applyNumberFormat="1" applyFont="1" applyFill="1" applyBorder="1" applyAlignment="1"/>
    <xf numFmtId="3" fontId="7" fillId="3" borderId="0" xfId="15" applyNumberFormat="1" applyFont="1" applyFill="1" applyBorder="1" applyAlignment="1">
      <alignment horizontal="center"/>
    </xf>
    <xf numFmtId="3" fontId="7" fillId="3" borderId="28" xfId="15" applyNumberFormat="1" applyFont="1" applyFill="1" applyBorder="1" applyAlignment="1">
      <alignment horizontal="center"/>
    </xf>
    <xf numFmtId="0" fontId="60" fillId="4" borderId="1" xfId="15" applyFont="1" applyFill="1" applyBorder="1" applyAlignment="1">
      <alignment horizontal="center"/>
    </xf>
    <xf numFmtId="0" fontId="59" fillId="4" borderId="83" xfId="15" applyFont="1" applyFill="1" applyBorder="1" applyAlignment="1">
      <alignment horizontal="center"/>
    </xf>
    <xf numFmtId="0" fontId="27" fillId="7" borderId="47" xfId="16" applyFont="1" applyFill="1" applyBorder="1"/>
    <xf numFmtId="0" fontId="27" fillId="7" borderId="2" xfId="16" applyFont="1" applyFill="1" applyBorder="1"/>
    <xf numFmtId="0" fontId="27" fillId="7" borderId="49" xfId="16" applyFont="1" applyFill="1" applyBorder="1"/>
    <xf numFmtId="0" fontId="58" fillId="4" borderId="47" xfId="16" applyFont="1" applyFill="1" applyBorder="1" applyAlignment="1">
      <alignment horizontal="left"/>
    </xf>
    <xf numFmtId="0" fontId="60" fillId="4" borderId="2" xfId="16" applyFont="1" applyFill="1" applyBorder="1" applyAlignment="1">
      <alignment horizontal="right"/>
    </xf>
    <xf numFmtId="0" fontId="59" fillId="4" borderId="49" xfId="16" applyFont="1" applyFill="1" applyBorder="1" applyAlignment="1">
      <alignment horizontal="right"/>
    </xf>
    <xf numFmtId="0" fontId="58" fillId="4" borderId="8" xfId="16" applyFont="1" applyFill="1" applyBorder="1" applyAlignment="1">
      <alignment horizontal="left"/>
    </xf>
    <xf numFmtId="0" fontId="60" fillId="4" borderId="0" xfId="16" applyFont="1" applyFill="1" applyBorder="1" applyAlignment="1">
      <alignment horizontal="right"/>
    </xf>
    <xf numFmtId="0" fontId="60" fillId="4" borderId="0" xfId="16" applyFont="1" applyFill="1" applyBorder="1" applyAlignment="1">
      <alignment horizontal="left"/>
    </xf>
    <xf numFmtId="0" fontId="59" fillId="4" borderId="28" xfId="16" applyFont="1" applyFill="1" applyBorder="1" applyAlignment="1">
      <alignment horizontal="right"/>
    </xf>
    <xf numFmtId="0" fontId="60" fillId="4" borderId="0" xfId="16" applyFont="1" applyFill="1" applyBorder="1" applyAlignment="1">
      <alignment horizontal="center"/>
    </xf>
    <xf numFmtId="0" fontId="59" fillId="4" borderId="28" xfId="16" applyFont="1" applyFill="1" applyBorder="1" applyAlignment="1">
      <alignment horizontal="center"/>
    </xf>
    <xf numFmtId="0" fontId="75" fillId="4" borderId="0" xfId="0" applyFont="1" applyFill="1" applyBorder="1" applyAlignment="1">
      <alignment horizontal="center"/>
    </xf>
    <xf numFmtId="0" fontId="76" fillId="4" borderId="28" xfId="0" applyFont="1" applyFill="1" applyBorder="1" applyAlignment="1">
      <alignment horizontal="center"/>
    </xf>
    <xf numFmtId="0" fontId="58" fillId="4" borderId="5" xfId="16" applyFont="1" applyFill="1" applyBorder="1" applyAlignment="1">
      <alignment horizontal="left"/>
    </xf>
    <xf numFmtId="0" fontId="75" fillId="4" borderId="6" xfId="0" applyFont="1" applyFill="1" applyBorder="1" applyAlignment="1">
      <alignment horizontal="center"/>
    </xf>
    <xf numFmtId="0" fontId="76" fillId="4" borderId="50" xfId="0" applyFont="1" applyFill="1" applyBorder="1" applyAlignment="1">
      <alignment horizontal="center"/>
    </xf>
    <xf numFmtId="3" fontId="30" fillId="3" borderId="6" xfId="16" applyNumberFormat="1" applyFont="1" applyFill="1" applyBorder="1" applyAlignment="1"/>
    <xf numFmtId="3" fontId="30" fillId="3" borderId="50" xfId="16" applyNumberFormat="1" applyFont="1" applyFill="1" applyBorder="1" applyAlignment="1"/>
    <xf numFmtId="0" fontId="27" fillId="0" borderId="0" xfId="0" applyFont="1" applyFill="1"/>
    <xf numFmtId="3" fontId="30" fillId="0" borderId="0" xfId="16" applyNumberFormat="1" applyFont="1" applyFill="1" applyBorder="1" applyAlignment="1"/>
    <xf numFmtId="0" fontId="27" fillId="3" borderId="0" xfId="16" applyFont="1" applyFill="1"/>
    <xf numFmtId="0" fontId="22" fillId="3" borderId="0" xfId="16" applyFont="1" applyFill="1"/>
    <xf numFmtId="3" fontId="7" fillId="3" borderId="0" xfId="16" applyNumberFormat="1" applyFont="1" applyFill="1" applyBorder="1" applyAlignment="1">
      <alignment horizontal="center"/>
    </xf>
    <xf numFmtId="3" fontId="7" fillId="3" borderId="0" xfId="16" quotePrefix="1" applyNumberFormat="1" applyFont="1" applyFill="1" applyBorder="1" applyAlignment="1">
      <alignment horizontal="center"/>
    </xf>
    <xf numFmtId="3" fontId="7" fillId="3" borderId="28" xfId="16" quotePrefix="1" applyNumberFormat="1" applyFont="1" applyFill="1" applyBorder="1" applyAlignment="1">
      <alignment horizontal="center"/>
    </xf>
    <xf numFmtId="3" fontId="27" fillId="3" borderId="0" xfId="16" applyNumberFormat="1" applyFont="1" applyFill="1"/>
    <xf numFmtId="3" fontId="7" fillId="3" borderId="28" xfId="16" applyNumberFormat="1" applyFont="1" applyFill="1" applyBorder="1" applyAlignment="1">
      <alignment horizontal="center"/>
    </xf>
    <xf numFmtId="0" fontId="5" fillId="2" borderId="39" xfId="0" applyFont="1" applyFill="1" applyBorder="1" applyAlignment="1">
      <alignment horizontal="center"/>
    </xf>
    <xf numFmtId="0" fontId="5" fillId="2" borderId="95" xfId="0" applyFont="1" applyFill="1" applyBorder="1" applyAlignment="1">
      <alignment horizontal="center"/>
    </xf>
    <xf numFmtId="0" fontId="5" fillId="2" borderId="33" xfId="0" applyFont="1" applyFill="1" applyBorder="1" applyAlignment="1">
      <alignment horizontal="center"/>
    </xf>
    <xf numFmtId="3" fontId="7" fillId="5" borderId="94" xfId="0" applyNumberFormat="1" applyFont="1" applyFill="1" applyBorder="1" applyAlignment="1">
      <alignment horizontal="center"/>
    </xf>
    <xf numFmtId="166" fontId="7" fillId="5" borderId="51" xfId="26" applyNumberFormat="1" applyFont="1" applyFill="1" applyBorder="1" applyAlignment="1">
      <alignment horizontal="center"/>
    </xf>
    <xf numFmtId="166" fontId="7" fillId="5" borderId="94" xfId="26" applyNumberFormat="1" applyFont="1" applyFill="1" applyBorder="1" applyAlignment="1">
      <alignment horizontal="center"/>
    </xf>
    <xf numFmtId="166" fontId="7" fillId="5" borderId="103" xfId="26" applyNumberFormat="1" applyFont="1" applyFill="1" applyBorder="1" applyAlignment="1">
      <alignment horizontal="center"/>
    </xf>
    <xf numFmtId="3" fontId="7" fillId="5" borderId="17" xfId="0" applyNumberFormat="1" applyFont="1" applyFill="1" applyBorder="1" applyAlignment="1">
      <alignment horizontal="center"/>
    </xf>
    <xf numFmtId="166" fontId="7" fillId="5" borderId="11" xfId="26" applyNumberFormat="1" applyFont="1" applyFill="1" applyBorder="1" applyAlignment="1">
      <alignment horizontal="center"/>
    </xf>
    <xf numFmtId="166" fontId="7" fillId="5" borderId="17" xfId="26" applyNumberFormat="1" applyFont="1" applyFill="1" applyBorder="1" applyAlignment="1">
      <alignment horizontal="center"/>
    </xf>
    <xf numFmtId="166" fontId="7" fillId="5" borderId="36" xfId="26" applyNumberFormat="1" applyFont="1" applyFill="1" applyBorder="1" applyAlignment="1">
      <alignment horizontal="center"/>
    </xf>
    <xf numFmtId="3" fontId="7" fillId="5" borderId="38" xfId="0" applyNumberFormat="1" applyFont="1" applyFill="1" applyBorder="1" applyAlignment="1">
      <alignment horizontal="center"/>
    </xf>
    <xf numFmtId="0" fontId="7" fillId="5" borderId="39" xfId="0" applyFont="1" applyFill="1" applyBorder="1" applyAlignment="1">
      <alignment horizontal="center"/>
    </xf>
    <xf numFmtId="166" fontId="7" fillId="5" borderId="39" xfId="0" applyNumberFormat="1" applyFont="1" applyFill="1" applyBorder="1" applyAlignment="1">
      <alignment horizontal="center"/>
    </xf>
    <xf numFmtId="3" fontId="7" fillId="5" borderId="104" xfId="0" applyNumberFormat="1" applyFont="1" applyFill="1" applyBorder="1" applyAlignment="1">
      <alignment horizontal="center"/>
    </xf>
    <xf numFmtId="166" fontId="7" fillId="5" borderId="95" xfId="0" applyNumberFormat="1" applyFont="1" applyFill="1" applyBorder="1" applyAlignment="1">
      <alignment horizontal="center"/>
    </xf>
    <xf numFmtId="166" fontId="7" fillId="5" borderId="33" xfId="0" applyNumberFormat="1" applyFont="1" applyFill="1" applyBorder="1" applyAlignment="1">
      <alignment horizontal="center"/>
    </xf>
    <xf numFmtId="0" fontId="7" fillId="5" borderId="95" xfId="0" applyFont="1" applyFill="1" applyBorder="1" applyAlignment="1">
      <alignment horizontal="center"/>
    </xf>
    <xf numFmtId="0" fontId="7" fillId="5" borderId="33" xfId="0" applyFont="1" applyFill="1" applyBorder="1" applyAlignment="1">
      <alignment horizontal="center"/>
    </xf>
    <xf numFmtId="0" fontId="1" fillId="0" borderId="0" xfId="0" applyFont="1"/>
    <xf numFmtId="0" fontId="77" fillId="3" borderId="0" xfId="0" applyFont="1" applyFill="1"/>
    <xf numFmtId="0" fontId="78" fillId="3" borderId="0" xfId="0" applyFont="1" applyFill="1" applyAlignment="1">
      <alignment horizontal="center"/>
    </xf>
    <xf numFmtId="0" fontId="78" fillId="3" borderId="0" xfId="0" applyFont="1" applyFill="1"/>
    <xf numFmtId="0" fontId="47" fillId="3" borderId="0" xfId="1" applyFont="1" applyFill="1" applyAlignment="1" applyProtection="1">
      <alignment horizontal="center"/>
    </xf>
    <xf numFmtId="0" fontId="66" fillId="3" borderId="0" xfId="0" applyFont="1" applyFill="1" applyAlignment="1">
      <alignment horizontal="center"/>
    </xf>
    <xf numFmtId="0" fontId="66" fillId="0" borderId="0" xfId="0" applyFont="1"/>
    <xf numFmtId="0" fontId="79" fillId="3" borderId="0" xfId="0" applyFont="1" applyFill="1"/>
    <xf numFmtId="0" fontId="79" fillId="3" borderId="0" xfId="0" applyFont="1" applyFill="1" applyAlignment="1">
      <alignment horizontal="center"/>
    </xf>
    <xf numFmtId="0" fontId="80" fillId="3" borderId="0" xfId="0" applyFont="1" applyFill="1" applyAlignment="1">
      <alignment horizontal="center"/>
    </xf>
    <xf numFmtId="0" fontId="81" fillId="3" borderId="0" xfId="0" applyFont="1" applyFill="1" applyAlignment="1">
      <alignment horizontal="center"/>
    </xf>
    <xf numFmtId="0" fontId="81" fillId="3" borderId="0" xfId="0" applyFont="1" applyFill="1"/>
    <xf numFmtId="0" fontId="81" fillId="0" borderId="0" xfId="0" applyFont="1"/>
    <xf numFmtId="0" fontId="80" fillId="3" borderId="0" xfId="0" applyFont="1" applyFill="1"/>
    <xf numFmtId="0" fontId="82" fillId="2" borderId="47" xfId="0" applyFont="1" applyFill="1" applyBorder="1"/>
    <xf numFmtId="0" fontId="83" fillId="2" borderId="44" xfId="0" applyFont="1" applyFill="1" applyBorder="1" applyAlignment="1">
      <alignment horizontal="center"/>
    </xf>
    <xf numFmtId="0" fontId="83" fillId="2" borderId="2" xfId="0" applyFont="1" applyFill="1" applyBorder="1" applyAlignment="1">
      <alignment horizontal="center"/>
    </xf>
    <xf numFmtId="0" fontId="84" fillId="3" borderId="0" xfId="0" applyFont="1" applyFill="1"/>
    <xf numFmtId="0" fontId="84" fillId="0" borderId="0" xfId="0" applyFont="1"/>
    <xf numFmtId="0" fontId="82" fillId="2" borderId="8" xfId="0" applyFont="1" applyFill="1" applyBorder="1"/>
    <xf numFmtId="0" fontId="82" fillId="2" borderId="45" xfId="0" applyFont="1" applyFill="1" applyBorder="1" applyAlignment="1">
      <alignment horizontal="center"/>
    </xf>
    <xf numFmtId="0" fontId="82" fillId="2" borderId="0" xfId="0" applyFont="1" applyFill="1" applyBorder="1" applyAlignment="1">
      <alignment horizontal="center"/>
    </xf>
    <xf numFmtId="0" fontId="83" fillId="2" borderId="45" xfId="0" applyFont="1" applyFill="1" applyBorder="1" applyAlignment="1">
      <alignment horizontal="center"/>
    </xf>
    <xf numFmtId="0" fontId="83" fillId="2" borderId="0" xfId="0" applyFont="1" applyFill="1" applyBorder="1" applyAlignment="1">
      <alignment horizontal="center"/>
    </xf>
    <xf numFmtId="164" fontId="85" fillId="6" borderId="2" xfId="0" applyNumberFormat="1" applyFont="1" applyFill="1" applyBorder="1" applyAlignment="1">
      <alignment horizontal="center"/>
    </xf>
    <xf numFmtId="164" fontId="85" fillId="6" borderId="44" xfId="0" applyNumberFormat="1" applyFont="1" applyFill="1" applyBorder="1" applyAlignment="1">
      <alignment horizontal="center"/>
    </xf>
    <xf numFmtId="0" fontId="86" fillId="3" borderId="0" xfId="0" applyFont="1" applyFill="1"/>
    <xf numFmtId="0" fontId="86" fillId="0" borderId="0" xfId="0" applyFont="1"/>
    <xf numFmtId="166" fontId="85" fillId="6" borderId="45" xfId="0" applyNumberFormat="1" applyFont="1" applyFill="1" applyBorder="1" applyAlignment="1">
      <alignment horizontal="center"/>
    </xf>
    <xf numFmtId="166" fontId="85" fillId="6" borderId="0" xfId="0" applyNumberFormat="1" applyFont="1" applyFill="1" applyBorder="1" applyAlignment="1">
      <alignment horizontal="center"/>
    </xf>
    <xf numFmtId="166" fontId="85" fillId="6" borderId="45" xfId="0" applyNumberFormat="1" applyFont="1" applyFill="1" applyBorder="1" applyAlignment="1">
      <alignment horizontal="right"/>
    </xf>
    <xf numFmtId="166" fontId="85" fillId="6" borderId="45" xfId="0" applyNumberFormat="1" applyFont="1" applyFill="1" applyBorder="1"/>
    <xf numFmtId="0" fontId="85" fillId="6" borderId="45" xfId="0" applyFont="1" applyFill="1" applyBorder="1" applyAlignment="1">
      <alignment horizontal="center"/>
    </xf>
    <xf numFmtId="0" fontId="85" fillId="6" borderId="0" xfId="0" applyFont="1" applyFill="1" applyBorder="1" applyAlignment="1">
      <alignment horizontal="center"/>
    </xf>
    <xf numFmtId="0" fontId="85" fillId="6" borderId="45" xfId="0" applyFont="1" applyFill="1" applyBorder="1"/>
    <xf numFmtId="164" fontId="85" fillId="6" borderId="0" xfId="0" applyNumberFormat="1" applyFont="1" applyFill="1" applyBorder="1" applyAlignment="1">
      <alignment horizontal="center"/>
    </xf>
    <xf numFmtId="164" fontId="85" fillId="6" borderId="45" xfId="0" applyNumberFormat="1" applyFont="1" applyFill="1" applyBorder="1" applyAlignment="1">
      <alignment horizontal="center"/>
    </xf>
    <xf numFmtId="166" fontId="85" fillId="6" borderId="46" xfId="0" applyNumberFormat="1" applyFont="1" applyFill="1" applyBorder="1" applyAlignment="1">
      <alignment horizontal="center"/>
    </xf>
    <xf numFmtId="166" fontId="85" fillId="6" borderId="6" xfId="0" applyNumberFormat="1" applyFont="1" applyFill="1" applyBorder="1" applyAlignment="1">
      <alignment horizontal="center"/>
    </xf>
    <xf numFmtId="0" fontId="85" fillId="15" borderId="0" xfId="0" applyFont="1" applyFill="1" applyBorder="1" applyAlignment="1">
      <alignment horizontal="left"/>
    </xf>
    <xf numFmtId="166" fontId="85" fillId="15" borderId="0" xfId="0" applyNumberFormat="1" applyFont="1" applyFill="1" applyBorder="1" applyAlignment="1">
      <alignment horizontal="center"/>
    </xf>
    <xf numFmtId="166" fontId="85" fillId="15" borderId="0" xfId="0" applyNumberFormat="1" applyFont="1" applyFill="1" applyBorder="1" applyAlignment="1">
      <alignment horizontal="right"/>
    </xf>
    <xf numFmtId="0" fontId="50" fillId="3" borderId="0" xfId="0" applyFont="1" applyFill="1"/>
    <xf numFmtId="3" fontId="66" fillId="3" borderId="0" xfId="0" applyNumberFormat="1" applyFont="1" applyFill="1" applyAlignment="1">
      <alignment horizontal="center"/>
    </xf>
    <xf numFmtId="0" fontId="50" fillId="3" borderId="0" xfId="0" applyFont="1" applyFill="1" applyAlignment="1">
      <alignment horizontal="center"/>
    </xf>
    <xf numFmtId="0" fontId="80" fillId="7" borderId="52" xfId="0" applyFont="1" applyFill="1" applyBorder="1" applyAlignment="1">
      <alignment horizontal="center"/>
    </xf>
    <xf numFmtId="0" fontId="80" fillId="7" borderId="52" xfId="0" applyFont="1" applyFill="1" applyBorder="1"/>
    <xf numFmtId="0" fontId="80" fillId="7" borderId="54" xfId="0" applyFont="1" applyFill="1" applyBorder="1" applyAlignment="1">
      <alignment horizontal="center"/>
    </xf>
    <xf numFmtId="0" fontId="50" fillId="0" borderId="0" xfId="0" applyFont="1"/>
    <xf numFmtId="49" fontId="50" fillId="3" borderId="0" xfId="0" applyNumberFormat="1" applyFont="1" applyFill="1"/>
    <xf numFmtId="49" fontId="88" fillId="15" borderId="0" xfId="0" applyNumberFormat="1" applyFont="1" applyFill="1" applyBorder="1" applyAlignment="1">
      <alignment horizontal="left"/>
    </xf>
    <xf numFmtId="164" fontId="54" fillId="16" borderId="105" xfId="0" applyNumberFormat="1" applyFont="1" applyFill="1" applyBorder="1" applyAlignment="1">
      <alignment horizontal="center" vertical="center" wrapText="1"/>
    </xf>
    <xf numFmtId="164" fontId="54" fillId="16" borderId="53" xfId="0" applyNumberFormat="1" applyFont="1" applyFill="1" applyBorder="1" applyAlignment="1">
      <alignment horizontal="center" vertical="center" wrapText="1"/>
    </xf>
    <xf numFmtId="164" fontId="54" fillId="16" borderId="92" xfId="0" applyNumberFormat="1" applyFont="1" applyFill="1" applyBorder="1" applyAlignment="1">
      <alignment horizontal="center" vertical="center" wrapText="1"/>
    </xf>
    <xf numFmtId="164" fontId="54" fillId="17" borderId="53" xfId="0" quotePrefix="1" applyNumberFormat="1" applyFont="1" applyFill="1" applyBorder="1" applyAlignment="1">
      <alignment horizontal="center" vertical="center" wrapText="1"/>
    </xf>
    <xf numFmtId="164" fontId="54" fillId="17" borderId="53" xfId="0" applyNumberFormat="1" applyFont="1" applyFill="1" applyBorder="1" applyAlignment="1">
      <alignment horizontal="center" vertical="center" wrapText="1"/>
    </xf>
    <xf numFmtId="164" fontId="54" fillId="17" borderId="92" xfId="0" applyNumberFormat="1" applyFont="1" applyFill="1" applyBorder="1" applyAlignment="1">
      <alignment horizontal="center" vertical="center" wrapText="1"/>
    </xf>
    <xf numFmtId="164" fontId="19" fillId="12" borderId="91" xfId="5" applyNumberFormat="1" applyFont="1" applyFill="1" applyBorder="1" applyAlignment="1">
      <alignment horizontal="center" vertical="center" wrapText="1"/>
    </xf>
    <xf numFmtId="164" fontId="19" fillId="12" borderId="94" xfId="5" applyNumberFormat="1" applyFont="1" applyFill="1" applyBorder="1" applyAlignment="1">
      <alignment horizontal="center" vertical="center" wrapText="1"/>
    </xf>
    <xf numFmtId="164" fontId="57" fillId="3" borderId="44" xfId="1" applyNumberFormat="1" applyFont="1" applyFill="1" applyBorder="1" applyAlignment="1" applyProtection="1">
      <alignment vertical="center"/>
    </xf>
    <xf numFmtId="3" fontId="51" fillId="0" borderId="106" xfId="0" applyNumberFormat="1" applyFont="1" applyBorder="1" applyAlignment="1">
      <alignment horizontal="center" vertical="center"/>
    </xf>
    <xf numFmtId="3" fontId="51" fillId="0" borderId="107" xfId="0" applyNumberFormat="1" applyFont="1" applyBorder="1" applyAlignment="1">
      <alignment horizontal="center" vertical="center"/>
    </xf>
    <xf numFmtId="3" fontId="51" fillId="0" borderId="108" xfId="0" applyNumberFormat="1" applyFont="1" applyBorder="1" applyAlignment="1">
      <alignment horizontal="center" vertical="center"/>
    </xf>
    <xf numFmtId="3" fontId="51" fillId="5" borderId="109" xfId="0" applyNumberFormat="1" applyFont="1" applyFill="1" applyBorder="1" applyAlignment="1">
      <alignment horizontal="center" vertical="center"/>
    </xf>
    <xf numFmtId="164" fontId="57" fillId="3" borderId="45" xfId="1" applyNumberFormat="1" applyFont="1" applyFill="1" applyBorder="1" applyAlignment="1" applyProtection="1">
      <alignment vertical="center"/>
    </xf>
    <xf numFmtId="3" fontId="51" fillId="0" borderId="100" xfId="0" applyNumberFormat="1" applyFont="1" applyBorder="1" applyAlignment="1">
      <alignment horizontal="center" vertical="center"/>
    </xf>
    <xf numFmtId="3" fontId="51" fillId="0" borderId="42" xfId="0" applyNumberFormat="1" applyFont="1" applyBorder="1" applyAlignment="1">
      <alignment horizontal="center" vertical="center"/>
    </xf>
    <xf numFmtId="3" fontId="51" fillId="0" borderId="41" xfId="0" applyNumberFormat="1" applyFont="1" applyBorder="1" applyAlignment="1">
      <alignment horizontal="center" vertical="center"/>
    </xf>
    <xf numFmtId="3" fontId="51" fillId="5" borderId="110" xfId="0" applyNumberFormat="1" applyFont="1" applyFill="1" applyBorder="1" applyAlignment="1">
      <alignment horizontal="center" vertical="center"/>
    </xf>
    <xf numFmtId="164" fontId="57" fillId="3" borderId="46" xfId="1" applyNumberFormat="1" applyFont="1" applyFill="1" applyBorder="1" applyAlignment="1" applyProtection="1">
      <alignment vertical="center"/>
    </xf>
    <xf numFmtId="3" fontId="51" fillId="0" borderId="97" xfId="0" applyNumberFormat="1" applyFont="1" applyBorder="1" applyAlignment="1">
      <alignment horizontal="center" vertical="center"/>
    </xf>
    <xf numFmtId="3" fontId="51" fillId="0" borderId="38" xfId="0" applyNumberFormat="1" applyFont="1" applyBorder="1" applyAlignment="1">
      <alignment horizontal="center" vertical="center"/>
    </xf>
    <xf numFmtId="3" fontId="51" fillId="0" borderId="104" xfId="0" applyNumberFormat="1" applyFont="1" applyBorder="1" applyAlignment="1">
      <alignment horizontal="center" vertical="center"/>
    </xf>
    <xf numFmtId="3" fontId="51" fillId="5" borderId="111" xfId="0" applyNumberFormat="1" applyFont="1" applyFill="1" applyBorder="1" applyAlignment="1">
      <alignment horizontal="center" vertical="center"/>
    </xf>
    <xf numFmtId="164" fontId="54" fillId="5" borderId="56" xfId="1" applyNumberFormat="1" applyFont="1" applyFill="1" applyBorder="1" applyAlignment="1" applyProtection="1">
      <alignment vertical="center"/>
    </xf>
    <xf numFmtId="3" fontId="54" fillId="5" borderId="96" xfId="0" applyNumberFormat="1" applyFont="1" applyFill="1" applyBorder="1" applyAlignment="1">
      <alignment horizontal="center" vertical="center"/>
    </xf>
    <xf numFmtId="3" fontId="54" fillId="5" borderId="51" xfId="0" applyNumberFormat="1" applyFont="1" applyFill="1" applyBorder="1" applyAlignment="1">
      <alignment horizontal="center" vertical="center"/>
    </xf>
    <xf numFmtId="3" fontId="54" fillId="5" borderId="94" xfId="0" applyNumberFormat="1" applyFont="1" applyFill="1" applyBorder="1" applyAlignment="1">
      <alignment horizontal="center" vertical="center"/>
    </xf>
    <xf numFmtId="3" fontId="54" fillId="5" borderId="56" xfId="0" applyNumberFormat="1" applyFont="1" applyFill="1" applyBorder="1" applyAlignment="1">
      <alignment horizontal="center" vertical="center"/>
    </xf>
    <xf numFmtId="164" fontId="51" fillId="3" borderId="44" xfId="1" applyNumberFormat="1" applyFont="1" applyFill="1" applyBorder="1" applyAlignment="1" applyProtection="1">
      <alignment vertical="center"/>
    </xf>
    <xf numFmtId="164" fontId="51" fillId="3" borderId="45" xfId="1" applyNumberFormat="1" applyFont="1" applyFill="1" applyBorder="1" applyAlignment="1" applyProtection="1">
      <alignment vertical="center"/>
    </xf>
    <xf numFmtId="3" fontId="51" fillId="0" borderId="11" xfId="0" applyNumberFormat="1" applyFont="1" applyFill="1" applyBorder="1" applyAlignment="1">
      <alignment horizontal="center" vertical="center"/>
    </xf>
    <xf numFmtId="0" fontId="17" fillId="0" borderId="45" xfId="5" applyFont="1" applyBorder="1" applyAlignment="1">
      <alignment vertical="center"/>
    </xf>
    <xf numFmtId="3" fontId="51" fillId="0" borderId="18" xfId="0" applyNumberFormat="1" applyFont="1" applyBorder="1" applyAlignment="1">
      <alignment horizontal="center" vertical="center"/>
    </xf>
    <xf numFmtId="3" fontId="51" fillId="0" borderId="9" xfId="0" applyNumberFormat="1" applyFont="1" applyBorder="1" applyAlignment="1">
      <alignment horizontal="center" vertical="center"/>
    </xf>
    <xf numFmtId="164" fontId="51" fillId="3" borderId="46" xfId="1" applyNumberFormat="1" applyFont="1" applyFill="1" applyBorder="1" applyAlignment="1" applyProtection="1">
      <alignment vertical="center"/>
    </xf>
    <xf numFmtId="3" fontId="54" fillId="5" borderId="30" xfId="0" applyNumberFormat="1" applyFont="1" applyFill="1" applyBorder="1" applyAlignment="1">
      <alignment horizontal="center" vertical="center"/>
    </xf>
    <xf numFmtId="3" fontId="54" fillId="5" borderId="39" xfId="0" applyNumberFormat="1" applyFont="1" applyFill="1" applyBorder="1" applyAlignment="1">
      <alignment horizontal="center" vertical="center"/>
    </xf>
    <xf numFmtId="3" fontId="54" fillId="5" borderId="95" xfId="0" applyNumberFormat="1" applyFont="1" applyFill="1" applyBorder="1" applyAlignment="1">
      <alignment horizontal="center" vertical="center"/>
    </xf>
    <xf numFmtId="3" fontId="54" fillId="5" borderId="105" xfId="0" applyNumberFormat="1" applyFont="1" applyFill="1" applyBorder="1" applyAlignment="1">
      <alignment horizontal="center" vertical="center"/>
    </xf>
    <xf numFmtId="3" fontId="54" fillId="5" borderId="53" xfId="0" applyNumberFormat="1" applyFont="1" applyFill="1" applyBorder="1" applyAlignment="1">
      <alignment horizontal="center" vertical="center"/>
    </xf>
    <xf numFmtId="3" fontId="54" fillId="5" borderId="93" xfId="0" applyNumberFormat="1" applyFont="1" applyFill="1" applyBorder="1" applyAlignment="1">
      <alignment horizontal="center" vertical="center"/>
    </xf>
    <xf numFmtId="164" fontId="17" fillId="0" borderId="45" xfId="5" applyNumberFormat="1" applyFont="1" applyBorder="1" applyAlignment="1">
      <alignment vertical="center"/>
    </xf>
    <xf numFmtId="3" fontId="51" fillId="0" borderId="22" xfId="0" applyNumberFormat="1" applyFont="1" applyBorder="1" applyAlignment="1">
      <alignment horizontal="center" vertical="center"/>
    </xf>
    <xf numFmtId="3" fontId="51" fillId="0" borderId="13" xfId="0" applyNumberFormat="1" applyFont="1" applyBorder="1" applyAlignment="1">
      <alignment horizontal="center" vertical="center"/>
    </xf>
    <xf numFmtId="3" fontId="51" fillId="0" borderId="40" xfId="0" applyNumberFormat="1" applyFont="1" applyBorder="1" applyAlignment="1">
      <alignment horizontal="center" vertical="center"/>
    </xf>
    <xf numFmtId="3" fontId="51" fillId="5" borderId="112" xfId="0" applyNumberFormat="1" applyFont="1" applyFill="1" applyBorder="1" applyAlignment="1">
      <alignment horizontal="center" vertical="center"/>
    </xf>
    <xf numFmtId="3" fontId="51" fillId="0" borderId="16" xfId="0" applyNumberFormat="1" applyFont="1" applyBorder="1" applyAlignment="1">
      <alignment horizontal="center" vertical="center"/>
    </xf>
    <xf numFmtId="3" fontId="51" fillId="5" borderId="113" xfId="0" applyNumberFormat="1" applyFont="1" applyFill="1" applyBorder="1" applyAlignment="1">
      <alignment horizontal="center" vertical="center"/>
    </xf>
    <xf numFmtId="164" fontId="54" fillId="5" borderId="56" xfId="0" applyNumberFormat="1" applyFont="1" applyFill="1" applyBorder="1" applyAlignment="1">
      <alignment vertical="center" wrapText="1"/>
    </xf>
    <xf numFmtId="0" fontId="68" fillId="3" borderId="0" xfId="0" applyFont="1" applyFill="1" applyAlignment="1">
      <alignment vertical="center"/>
    </xf>
    <xf numFmtId="0" fontId="47" fillId="3" borderId="0" xfId="1" applyFont="1" applyFill="1" applyAlignment="1" applyProtection="1">
      <alignment vertical="center"/>
    </xf>
    <xf numFmtId="0" fontId="66" fillId="3" borderId="0" xfId="0" applyFont="1" applyFill="1" applyAlignment="1">
      <alignment vertical="center"/>
    </xf>
    <xf numFmtId="0" fontId="0" fillId="3" borderId="0" xfId="0" applyFill="1" applyAlignment="1">
      <alignment vertical="center"/>
    </xf>
    <xf numFmtId="0" fontId="66" fillId="3" borderId="0" xfId="0" applyFont="1" applyFill="1" applyAlignment="1">
      <alignment horizontal="right" vertical="center"/>
    </xf>
    <xf numFmtId="0" fontId="7" fillId="3" borderId="0" xfId="0" applyFont="1" applyFill="1" applyAlignment="1">
      <alignment vertical="center"/>
    </xf>
    <xf numFmtId="0" fontId="47" fillId="3" borderId="0" xfId="1" quotePrefix="1" applyFont="1" applyFill="1" applyAlignment="1" applyProtection="1">
      <alignment vertical="center"/>
    </xf>
    <xf numFmtId="0" fontId="47" fillId="3" borderId="0" xfId="1" applyFill="1" applyAlignment="1" applyProtection="1">
      <alignment vertical="center"/>
    </xf>
    <xf numFmtId="0" fontId="35" fillId="3" borderId="0" xfId="0" applyFont="1" applyFill="1"/>
    <xf numFmtId="0" fontId="89" fillId="3" borderId="114" xfId="0" applyFont="1" applyFill="1" applyBorder="1"/>
    <xf numFmtId="0" fontId="68" fillId="3" borderId="114" xfId="0" applyFont="1" applyFill="1" applyBorder="1"/>
    <xf numFmtId="0" fontId="89" fillId="3" borderId="114" xfId="0" applyFont="1" applyFill="1" applyBorder="1" applyAlignment="1">
      <alignment vertical="center"/>
    </xf>
    <xf numFmtId="0" fontId="68" fillId="3" borderId="114" xfId="0" applyFont="1" applyFill="1" applyBorder="1" applyAlignment="1">
      <alignment vertical="center"/>
    </xf>
    <xf numFmtId="0" fontId="67" fillId="3" borderId="114" xfId="0" applyFont="1" applyFill="1" applyBorder="1" applyAlignment="1">
      <alignment vertical="center"/>
    </xf>
    <xf numFmtId="0" fontId="20" fillId="3" borderId="0" xfId="10" applyFont="1" applyFill="1" applyBorder="1"/>
    <xf numFmtId="0" fontId="22" fillId="3" borderId="0" xfId="0" applyFont="1" applyFill="1" applyBorder="1"/>
    <xf numFmtId="3" fontId="22" fillId="3" borderId="0" xfId="0" applyNumberFormat="1" applyFont="1" applyFill="1" applyBorder="1"/>
    <xf numFmtId="1" fontId="33" fillId="3" borderId="0" xfId="4" applyNumberFormat="1" applyFont="1" applyFill="1" applyBorder="1"/>
    <xf numFmtId="0" fontId="22" fillId="3" borderId="0" xfId="18" applyFont="1" applyFill="1"/>
    <xf numFmtId="3" fontId="22" fillId="3" borderId="0" xfId="18" applyNumberFormat="1" applyFont="1" applyFill="1"/>
    <xf numFmtId="0" fontId="68" fillId="8" borderId="0" xfId="0" applyFont="1" applyFill="1"/>
    <xf numFmtId="3" fontId="62" fillId="3" borderId="0" xfId="1" applyNumberFormat="1" applyFont="1" applyFill="1" applyAlignment="1" applyProtection="1"/>
    <xf numFmtId="3" fontId="22" fillId="3" borderId="0" xfId="19" applyNumberFormat="1" applyFont="1" applyFill="1" applyBorder="1"/>
    <xf numFmtId="3" fontId="27" fillId="8" borderId="0" xfId="19" applyNumberFormat="1" applyFont="1" applyFill="1" applyBorder="1"/>
    <xf numFmtId="10" fontId="7" fillId="8" borderId="0" xfId="4" applyNumberFormat="1" applyFont="1" applyFill="1" applyBorder="1"/>
    <xf numFmtId="0" fontId="22" fillId="7" borderId="47" xfId="22" applyFont="1" applyFill="1" applyBorder="1"/>
    <xf numFmtId="0" fontId="22" fillId="7" borderId="2" xfId="22" applyFont="1" applyFill="1" applyBorder="1"/>
    <xf numFmtId="0" fontId="22" fillId="7" borderId="49" xfId="22" applyFont="1" applyFill="1" applyBorder="1"/>
    <xf numFmtId="0" fontId="58" fillId="4" borderId="47" xfId="22" applyFont="1" applyFill="1" applyBorder="1" applyAlignment="1">
      <alignment horizontal="left"/>
    </xf>
    <xf numFmtId="0" fontId="60" fillId="4" borderId="2" xfId="22" applyFont="1" applyFill="1" applyBorder="1" applyAlignment="1">
      <alignment horizontal="right"/>
    </xf>
    <xf numFmtId="0" fontId="60" fillId="4" borderId="2" xfId="22" applyFont="1" applyFill="1" applyBorder="1" applyAlignment="1">
      <alignment horizontal="center"/>
    </xf>
    <xf numFmtId="0" fontId="59" fillId="4" borderId="49" xfId="22" applyFont="1" applyFill="1" applyBorder="1" applyAlignment="1">
      <alignment horizontal="right"/>
    </xf>
    <xf numFmtId="0" fontId="58" fillId="4" borderId="8" xfId="22" applyFont="1" applyFill="1" applyBorder="1" applyAlignment="1">
      <alignment horizontal="left"/>
    </xf>
    <xf numFmtId="0" fontId="60" fillId="4" borderId="0" xfId="22" applyFont="1" applyFill="1" applyBorder="1" applyAlignment="1">
      <alignment horizontal="right"/>
    </xf>
    <xf numFmtId="0" fontId="60" fillId="4" borderId="0" xfId="22" applyFont="1" applyFill="1" applyBorder="1" applyAlignment="1">
      <alignment horizontal="center"/>
    </xf>
    <xf numFmtId="0" fontId="59" fillId="4" borderId="28" xfId="22" applyFont="1" applyFill="1" applyBorder="1" applyAlignment="1">
      <alignment horizontal="right"/>
    </xf>
    <xf numFmtId="0" fontId="60" fillId="4" borderId="0" xfId="22" applyFont="1" applyFill="1" applyBorder="1" applyAlignment="1">
      <alignment horizontal="left"/>
    </xf>
    <xf numFmtId="0" fontId="59" fillId="4" borderId="28" xfId="22" applyFont="1" applyFill="1" applyBorder="1" applyAlignment="1">
      <alignment horizontal="center"/>
    </xf>
    <xf numFmtId="0" fontId="58" fillId="4" borderId="5" xfId="22" applyFont="1" applyFill="1" applyBorder="1" applyAlignment="1">
      <alignment horizontal="left"/>
    </xf>
    <xf numFmtId="0" fontId="60" fillId="4" borderId="6" xfId="22" applyFont="1" applyFill="1" applyBorder="1" applyAlignment="1">
      <alignment horizontal="center"/>
    </xf>
    <xf numFmtId="0" fontId="59" fillId="4" borderId="50" xfId="22" applyFont="1" applyFill="1" applyBorder="1" applyAlignment="1">
      <alignment horizontal="center"/>
    </xf>
    <xf numFmtId="0" fontId="26" fillId="9" borderId="96" xfId="19" applyFont="1" applyFill="1" applyBorder="1" applyAlignment="1">
      <alignment horizontal="left"/>
    </xf>
    <xf numFmtId="3" fontId="7" fillId="3" borderId="2" xfId="22" applyNumberFormat="1" applyFont="1" applyFill="1" applyBorder="1" applyAlignment="1">
      <alignment horizontal="center"/>
    </xf>
    <xf numFmtId="3" fontId="7" fillId="3" borderId="49" xfId="22" applyNumberFormat="1" applyFont="1" applyFill="1" applyBorder="1" applyAlignment="1">
      <alignment horizontal="center"/>
    </xf>
    <xf numFmtId="0" fontId="53" fillId="9" borderId="26" xfId="22" applyFont="1" applyFill="1" applyBorder="1" applyAlignment="1">
      <alignment horizontal="right"/>
    </xf>
    <xf numFmtId="3" fontId="27" fillId="3" borderId="0" xfId="22" quotePrefix="1" applyNumberFormat="1" applyFont="1" applyFill="1" applyBorder="1" applyAlignment="1">
      <alignment horizontal="center"/>
    </xf>
    <xf numFmtId="3" fontId="27" fillId="3" borderId="28" xfId="22" applyNumberFormat="1" applyFont="1" applyFill="1" applyBorder="1" applyAlignment="1">
      <alignment horizontal="center"/>
    </xf>
    <xf numFmtId="0" fontId="53" fillId="9" borderId="26" xfId="20" applyFont="1" applyFill="1" applyBorder="1" applyAlignment="1">
      <alignment horizontal="right"/>
    </xf>
    <xf numFmtId="0" fontId="26" fillId="9" borderId="26" xfId="22" applyFont="1" applyFill="1" applyBorder="1" applyAlignment="1">
      <alignment horizontal="left"/>
    </xf>
    <xf numFmtId="3" fontId="7" fillId="3" borderId="0" xfId="22" quotePrefix="1" applyNumberFormat="1" applyFont="1" applyFill="1" applyBorder="1" applyAlignment="1">
      <alignment horizontal="center"/>
    </xf>
    <xf numFmtId="3" fontId="7" fillId="3" borderId="28" xfId="22" applyNumberFormat="1" applyFont="1" applyFill="1" applyBorder="1" applyAlignment="1">
      <alignment horizontal="center"/>
    </xf>
    <xf numFmtId="0" fontId="63" fillId="9" borderId="100" xfId="22" applyFont="1" applyFill="1" applyBorder="1" applyAlignment="1">
      <alignment horizontal="left"/>
    </xf>
    <xf numFmtId="3" fontId="7" fillId="3" borderId="43" xfId="22" applyNumberFormat="1" applyFont="1" applyFill="1" applyBorder="1" applyAlignment="1">
      <alignment horizontal="center"/>
    </xf>
    <xf numFmtId="3" fontId="7" fillId="3" borderId="101" xfId="22" applyNumberFormat="1" applyFont="1" applyFill="1" applyBorder="1" applyAlignment="1">
      <alignment horizontal="center"/>
    </xf>
    <xf numFmtId="0" fontId="63" fillId="9" borderId="97" xfId="22" applyFont="1" applyFill="1" applyBorder="1" applyAlignment="1">
      <alignment horizontal="left"/>
    </xf>
    <xf numFmtId="3" fontId="27" fillId="3" borderId="98" xfId="22" applyNumberFormat="1" applyFont="1" applyFill="1" applyBorder="1" applyAlignment="1"/>
    <xf numFmtId="3" fontId="27" fillId="3" borderId="99" xfId="22" applyNumberFormat="1" applyFont="1" applyFill="1" applyBorder="1" applyAlignment="1"/>
    <xf numFmtId="3" fontId="27" fillId="3" borderId="0" xfId="22" applyNumberFormat="1" applyFont="1" applyFill="1" applyBorder="1" applyAlignment="1"/>
    <xf numFmtId="0" fontId="22" fillId="3" borderId="0" xfId="22" applyFont="1" applyFill="1"/>
    <xf numFmtId="0" fontId="27" fillId="7" borderId="47" xfId="23" applyFont="1" applyFill="1" applyBorder="1"/>
    <xf numFmtId="0" fontId="27" fillId="7" borderId="2" xfId="23" applyFont="1" applyFill="1" applyBorder="1"/>
    <xf numFmtId="0" fontId="27" fillId="7" borderId="49" xfId="23" applyFont="1" applyFill="1" applyBorder="1"/>
    <xf numFmtId="0" fontId="27" fillId="3" borderId="0" xfId="23" applyFont="1" applyFill="1"/>
    <xf numFmtId="0" fontId="58" fillId="4" borderId="47" xfId="23" applyFont="1" applyFill="1" applyBorder="1" applyAlignment="1">
      <alignment horizontal="left"/>
    </xf>
    <xf numFmtId="0" fontId="60" fillId="4" borderId="2" xfId="23" applyFont="1" applyFill="1" applyBorder="1" applyAlignment="1">
      <alignment horizontal="left"/>
    </xf>
    <xf numFmtId="0" fontId="60" fillId="4" borderId="2" xfId="23" applyFont="1" applyFill="1" applyBorder="1" applyAlignment="1">
      <alignment horizontal="right"/>
    </xf>
    <xf numFmtId="0" fontId="59" fillId="4" borderId="2" xfId="23" applyFont="1" applyFill="1" applyBorder="1" applyAlignment="1">
      <alignment horizontal="right"/>
    </xf>
    <xf numFmtId="0" fontId="59" fillId="4" borderId="49" xfId="23" applyFont="1" applyFill="1" applyBorder="1" applyAlignment="1">
      <alignment horizontal="right"/>
    </xf>
    <xf numFmtId="0" fontId="58" fillId="4" borderId="8" xfId="23" applyFont="1" applyFill="1" applyBorder="1" applyAlignment="1">
      <alignment horizontal="left"/>
    </xf>
    <xf numFmtId="0" fontId="60" fillId="4" borderId="0" xfId="23" applyFont="1" applyFill="1" applyBorder="1" applyAlignment="1">
      <alignment horizontal="right"/>
    </xf>
    <xf numFmtId="0" fontId="60" fillId="4" borderId="0" xfId="23" applyFont="1" applyFill="1" applyBorder="1" applyAlignment="1">
      <alignment horizontal="center"/>
    </xf>
    <xf numFmtId="0" fontId="59" fillId="4" borderId="0" xfId="23" applyFont="1" applyFill="1" applyBorder="1" applyAlignment="1">
      <alignment horizontal="right"/>
    </xf>
    <xf numFmtId="0" fontId="59" fillId="4" borderId="28" xfId="23" applyFont="1" applyFill="1" applyBorder="1" applyAlignment="1">
      <alignment horizontal="right"/>
    </xf>
    <xf numFmtId="0" fontId="7" fillId="3" borderId="0" xfId="23" applyFont="1" applyFill="1"/>
    <xf numFmtId="0" fontId="60" fillId="4" borderId="0" xfId="23" applyFont="1" applyFill="1" applyBorder="1" applyAlignment="1">
      <alignment horizontal="left"/>
    </xf>
    <xf numFmtId="0" fontId="7" fillId="3" borderId="0" xfId="23" applyFont="1" applyFill="1" applyAlignment="1">
      <alignment horizontal="left"/>
    </xf>
    <xf numFmtId="0" fontId="27" fillId="3" borderId="0" xfId="23" applyFont="1" applyFill="1" applyAlignment="1">
      <alignment horizontal="center"/>
    </xf>
    <xf numFmtId="0" fontId="58" fillId="4" borderId="5" xfId="23" applyFont="1" applyFill="1" applyBorder="1" applyAlignment="1">
      <alignment horizontal="left"/>
    </xf>
    <xf numFmtId="0" fontId="60" fillId="4" borderId="6" xfId="23" applyFont="1" applyFill="1" applyBorder="1" applyAlignment="1">
      <alignment horizontal="center"/>
    </xf>
    <xf numFmtId="0" fontId="59" fillId="4" borderId="6" xfId="23" applyFont="1" applyFill="1" applyBorder="1" applyAlignment="1">
      <alignment horizontal="center"/>
    </xf>
    <xf numFmtId="0" fontId="59" fillId="4" borderId="50" xfId="23" applyFont="1" applyFill="1" applyBorder="1" applyAlignment="1">
      <alignment horizontal="center"/>
    </xf>
    <xf numFmtId="3" fontId="7" fillId="3" borderId="0" xfId="23" applyNumberFormat="1" applyFont="1" applyFill="1" applyBorder="1" applyAlignment="1">
      <alignment horizontal="center"/>
    </xf>
    <xf numFmtId="0" fontId="27" fillId="3" borderId="28" xfId="23" applyFont="1" applyFill="1" applyBorder="1" applyAlignment="1"/>
    <xf numFmtId="0" fontId="53" fillId="9" borderId="26" xfId="23" applyFont="1" applyFill="1" applyBorder="1" applyAlignment="1">
      <alignment horizontal="right"/>
    </xf>
    <xf numFmtId="3" fontId="27" fillId="3" borderId="0" xfId="23" applyNumberFormat="1" applyFont="1" applyFill="1" applyBorder="1" applyAlignment="1">
      <alignment horizontal="center"/>
    </xf>
    <xf numFmtId="166" fontId="27" fillId="3" borderId="28" xfId="26" applyNumberFormat="1" applyFont="1" applyFill="1" applyBorder="1" applyAlignment="1"/>
    <xf numFmtId="3" fontId="27" fillId="3" borderId="0" xfId="23" applyNumberFormat="1" applyFont="1" applyFill="1"/>
    <xf numFmtId="0" fontId="26" fillId="9" borderId="26" xfId="23" applyFont="1" applyFill="1" applyBorder="1" applyAlignment="1">
      <alignment horizontal="left"/>
    </xf>
    <xf numFmtId="0" fontId="63" fillId="9" borderId="100" xfId="23" applyFont="1" applyFill="1" applyBorder="1" applyAlignment="1">
      <alignment horizontal="left"/>
    </xf>
    <xf numFmtId="3" fontId="7" fillId="3" borderId="43" xfId="26" applyNumberFormat="1" applyFont="1" applyFill="1" applyBorder="1" applyAlignment="1">
      <alignment horizontal="center"/>
    </xf>
    <xf numFmtId="3" fontId="27" fillId="3" borderId="101" xfId="26" applyNumberFormat="1" applyFont="1" applyFill="1" applyBorder="1"/>
    <xf numFmtId="0" fontId="63" fillId="9" borderId="97" xfId="23" applyFont="1" applyFill="1" applyBorder="1" applyAlignment="1">
      <alignment horizontal="left"/>
    </xf>
    <xf numFmtId="3" fontId="27" fillId="3" borderId="98" xfId="26" applyNumberFormat="1" applyFont="1" applyFill="1" applyBorder="1" applyAlignment="1"/>
    <xf numFmtId="0" fontId="27" fillId="3" borderId="99" xfId="23" applyFont="1" applyFill="1" applyBorder="1" applyAlignment="1"/>
    <xf numFmtId="3" fontId="27" fillId="3" borderId="0" xfId="23" applyNumberFormat="1" applyFont="1" applyFill="1" applyAlignment="1">
      <alignment horizontal="center"/>
    </xf>
    <xf numFmtId="0" fontId="33" fillId="8" borderId="0" xfId="0" applyFont="1" applyFill="1"/>
    <xf numFmtId="0" fontId="90" fillId="4" borderId="47" xfId="0" applyFont="1" applyFill="1" applyBorder="1" applyAlignment="1">
      <alignment horizontal="left"/>
    </xf>
    <xf numFmtId="0" fontId="75" fillId="4" borderId="2" xfId="0" applyFont="1" applyFill="1" applyBorder="1" applyAlignment="1">
      <alignment horizontal="right"/>
    </xf>
    <xf numFmtId="0" fontId="76" fillId="4" borderId="49" xfId="0" applyFont="1" applyFill="1" applyBorder="1" applyAlignment="1">
      <alignment horizontal="right"/>
    </xf>
    <xf numFmtId="0" fontId="90" fillId="4" borderId="8" xfId="0" applyFont="1" applyFill="1" applyBorder="1" applyAlignment="1">
      <alignment horizontal="left"/>
    </xf>
    <xf numFmtId="0" fontId="75" fillId="4" borderId="0" xfId="0" applyFont="1" applyFill="1" applyBorder="1" applyAlignment="1">
      <alignment horizontal="right"/>
    </xf>
    <xf numFmtId="0" fontId="76" fillId="4" borderId="28" xfId="0" applyFont="1" applyFill="1" applyBorder="1" applyAlignment="1">
      <alignment horizontal="right"/>
    </xf>
    <xf numFmtId="0" fontId="90" fillId="4" borderId="5" xfId="0" applyFont="1" applyFill="1" applyBorder="1" applyAlignment="1">
      <alignment horizontal="left"/>
    </xf>
    <xf numFmtId="0" fontId="26" fillId="9" borderId="26" xfId="0" applyFont="1" applyFill="1" applyBorder="1" applyAlignment="1">
      <alignment horizontal="left"/>
    </xf>
    <xf numFmtId="0" fontId="63" fillId="9" borderId="100" xfId="0" applyFont="1" applyFill="1" applyBorder="1" applyAlignment="1">
      <alignment horizontal="left"/>
    </xf>
    <xf numFmtId="0" fontId="63" fillId="9" borderId="30" xfId="0" applyFont="1" applyFill="1" applyBorder="1" applyAlignment="1">
      <alignment horizontal="left"/>
    </xf>
    <xf numFmtId="3" fontId="27" fillId="3" borderId="6" xfId="0" applyNumberFormat="1" applyFont="1" applyFill="1" applyBorder="1" applyAlignment="1"/>
    <xf numFmtId="3" fontId="27" fillId="3" borderId="50" xfId="0" applyNumberFormat="1" applyFont="1" applyFill="1" applyBorder="1" applyAlignment="1"/>
    <xf numFmtId="0" fontId="22" fillId="0" borderId="0" xfId="0" applyFont="1"/>
    <xf numFmtId="3" fontId="22" fillId="3" borderId="0" xfId="0" applyNumberFormat="1" applyFont="1" applyFill="1" applyBorder="1" applyAlignment="1"/>
    <xf numFmtId="3" fontId="27" fillId="3" borderId="0" xfId="0" applyNumberFormat="1" applyFont="1" applyFill="1" applyBorder="1" applyAlignment="1"/>
    <xf numFmtId="0" fontId="26" fillId="9" borderId="26" xfId="0" applyFont="1" applyFill="1" applyBorder="1" applyAlignment="1">
      <alignment horizontal="left" vertical="center"/>
    </xf>
    <xf numFmtId="0" fontId="27" fillId="7" borderId="47" xfId="9" applyFont="1" applyFill="1" applyBorder="1"/>
    <xf numFmtId="0" fontId="27" fillId="7" borderId="49" xfId="9" applyFont="1" applyFill="1" applyBorder="1"/>
    <xf numFmtId="0" fontId="27" fillId="3" borderId="0" xfId="9" applyFont="1" applyFill="1"/>
    <xf numFmtId="0" fontId="58" fillId="4" borderId="47" xfId="9" applyFont="1" applyFill="1" applyBorder="1" applyAlignment="1">
      <alignment horizontal="center"/>
    </xf>
    <xf numFmtId="0" fontId="60" fillId="4" borderId="49" xfId="9" applyFont="1" applyFill="1" applyBorder="1" applyAlignment="1">
      <alignment horizontal="right"/>
    </xf>
    <xf numFmtId="0" fontId="58" fillId="4" borderId="8" xfId="9" applyFont="1" applyFill="1" applyBorder="1" applyAlignment="1">
      <alignment horizontal="center"/>
    </xf>
    <xf numFmtId="0" fontId="60" fillId="4" borderId="28" xfId="9" applyFont="1" applyFill="1" applyBorder="1" applyAlignment="1">
      <alignment horizontal="right"/>
    </xf>
    <xf numFmtId="0" fontId="58" fillId="4" borderId="8" xfId="9" applyFont="1" applyFill="1" applyBorder="1" applyAlignment="1">
      <alignment horizontal="centerContinuous"/>
    </xf>
    <xf numFmtId="0" fontId="60" fillId="4" borderId="28" xfId="9" applyFont="1" applyFill="1" applyBorder="1" applyAlignment="1">
      <alignment horizontal="centerContinuous"/>
    </xf>
    <xf numFmtId="0" fontId="58" fillId="4" borderId="8" xfId="9" applyFont="1" applyFill="1" applyBorder="1" applyAlignment="1">
      <alignment horizontal="left"/>
    </xf>
    <xf numFmtId="0" fontId="58" fillId="4" borderId="5" xfId="9" applyFont="1" applyFill="1" applyBorder="1" applyAlignment="1">
      <alignment horizontal="left"/>
    </xf>
    <xf numFmtId="0" fontId="60" fillId="4" borderId="50" xfId="9" applyFont="1" applyFill="1" applyBorder="1" applyAlignment="1">
      <alignment horizontal="center"/>
    </xf>
    <xf numFmtId="0" fontId="26" fillId="9" borderId="26" xfId="9" applyFont="1" applyFill="1" applyBorder="1" applyAlignment="1">
      <alignment horizontal="left"/>
    </xf>
    <xf numFmtId="164" fontId="7" fillId="3" borderId="28" xfId="9" applyNumberFormat="1" applyFont="1" applyFill="1" applyBorder="1" applyAlignment="1">
      <alignment horizontal="center"/>
    </xf>
    <xf numFmtId="3" fontId="26" fillId="9" borderId="26" xfId="9" applyNumberFormat="1" applyFont="1" applyFill="1" applyBorder="1" applyAlignment="1">
      <alignment horizontal="left"/>
    </xf>
    <xf numFmtId="3" fontId="63" fillId="9" borderId="100" xfId="9" applyNumberFormat="1" applyFont="1" applyFill="1" applyBorder="1" applyAlignment="1">
      <alignment horizontal="left"/>
    </xf>
    <xf numFmtId="164" fontId="7" fillId="3" borderId="101" xfId="9" applyNumberFormat="1" applyFont="1" applyFill="1" applyBorder="1" applyAlignment="1">
      <alignment horizontal="center"/>
    </xf>
    <xf numFmtId="3" fontId="63" fillId="9" borderId="30" xfId="9" applyNumberFormat="1" applyFont="1" applyFill="1" applyBorder="1" applyAlignment="1">
      <alignment horizontal="left"/>
    </xf>
    <xf numFmtId="164" fontId="7" fillId="3" borderId="50" xfId="9" applyNumberFormat="1" applyFont="1" applyFill="1" applyBorder="1" applyAlignment="1"/>
    <xf numFmtId="0" fontId="55" fillId="0" borderId="0" xfId="5" applyFont="1"/>
    <xf numFmtId="0" fontId="57" fillId="0" borderId="0" xfId="5" applyFont="1" applyAlignment="1">
      <alignment horizontal="center"/>
    </xf>
    <xf numFmtId="3" fontId="57" fillId="0" borderId="0" xfId="5" applyNumberFormat="1" applyFont="1" applyAlignment="1">
      <alignment horizontal="center"/>
    </xf>
    <xf numFmtId="3" fontId="57" fillId="0" borderId="1" xfId="5" applyNumberFormat="1" applyFont="1" applyBorder="1" applyAlignment="1">
      <alignment horizontal="center"/>
    </xf>
    <xf numFmtId="3" fontId="48" fillId="0" borderId="1" xfId="5" applyNumberFormat="1" applyFont="1" applyBorder="1" applyAlignment="1">
      <alignment horizontal="center"/>
    </xf>
    <xf numFmtId="3" fontId="57" fillId="0" borderId="1" xfId="5" applyNumberFormat="1" applyFont="1" applyFill="1" applyBorder="1" applyAlignment="1">
      <alignment horizontal="center"/>
    </xf>
    <xf numFmtId="3" fontId="57" fillId="0" borderId="0" xfId="5" applyNumberFormat="1" applyFont="1" applyFill="1" applyAlignment="1">
      <alignment horizontal="center"/>
    </xf>
    <xf numFmtId="0" fontId="57" fillId="0" borderId="3" xfId="5" applyFont="1" applyBorder="1" applyAlignment="1">
      <alignment horizontal="center"/>
    </xf>
    <xf numFmtId="3" fontId="57" fillId="0" borderId="3" xfId="5" applyNumberFormat="1" applyFont="1" applyBorder="1" applyAlignment="1">
      <alignment horizontal="left"/>
    </xf>
    <xf numFmtId="3" fontId="57" fillId="0" borderId="3" xfId="5" applyNumberFormat="1" applyFont="1" applyBorder="1" applyAlignment="1">
      <alignment horizontal="center"/>
    </xf>
    <xf numFmtId="3" fontId="57" fillId="0" borderId="3" xfId="5" applyNumberFormat="1" applyFont="1" applyFill="1" applyBorder="1" applyAlignment="1">
      <alignment horizontal="left"/>
    </xf>
    <xf numFmtId="0" fontId="57" fillId="0" borderId="0" xfId="5" applyFont="1" applyBorder="1" applyAlignment="1">
      <alignment horizontal="center"/>
    </xf>
    <xf numFmtId="3" fontId="57" fillId="0" borderId="0" xfId="5" applyNumberFormat="1" applyFont="1" applyBorder="1" applyAlignment="1">
      <alignment horizontal="center"/>
    </xf>
    <xf numFmtId="3" fontId="57" fillId="0" borderId="0" xfId="5" applyNumberFormat="1" applyFont="1" applyBorder="1" applyAlignment="1">
      <alignment horizontal="left"/>
    </xf>
    <xf numFmtId="3" fontId="57" fillId="0" borderId="0" xfId="5" applyNumberFormat="1" applyFont="1" applyFill="1" applyBorder="1" applyAlignment="1">
      <alignment horizontal="center"/>
    </xf>
    <xf numFmtId="0" fontId="57" fillId="0" borderId="4" xfId="5" applyFont="1" applyBorder="1" applyAlignment="1">
      <alignment horizontal="center"/>
    </xf>
    <xf numFmtId="3" fontId="57" fillId="0" borderId="4" xfId="5" applyNumberFormat="1" applyFont="1" applyBorder="1" applyAlignment="1">
      <alignment horizontal="center"/>
    </xf>
    <xf numFmtId="3" fontId="57" fillId="0" borderId="4" xfId="5" applyNumberFormat="1" applyFont="1" applyFill="1" applyBorder="1" applyAlignment="1">
      <alignment horizontal="center"/>
    </xf>
    <xf numFmtId="0" fontId="57" fillId="0" borderId="0" xfId="5" applyFont="1"/>
    <xf numFmtId="0" fontId="54" fillId="0" borderId="0" xfId="5" applyFont="1"/>
    <xf numFmtId="3" fontId="57" fillId="0" borderId="42" xfId="5" applyNumberFormat="1" applyFont="1" applyBorder="1" applyAlignment="1">
      <alignment horizontal="center"/>
    </xf>
    <xf numFmtId="3" fontId="57" fillId="0" borderId="42" xfId="5" applyNumberFormat="1" applyFont="1" applyFill="1" applyBorder="1" applyAlignment="1">
      <alignment horizontal="center"/>
    </xf>
    <xf numFmtId="3" fontId="57" fillId="10" borderId="42" xfId="5" applyNumberFormat="1" applyFont="1" applyFill="1" applyBorder="1" applyAlignment="1">
      <alignment horizontal="center"/>
    </xf>
    <xf numFmtId="3" fontId="57" fillId="6" borderId="42" xfId="5" applyNumberFormat="1" applyFont="1" applyFill="1" applyBorder="1" applyAlignment="1">
      <alignment horizontal="center"/>
    </xf>
    <xf numFmtId="3" fontId="54" fillId="10" borderId="42" xfId="5" applyNumberFormat="1" applyFont="1" applyFill="1" applyBorder="1" applyAlignment="1">
      <alignment horizontal="center"/>
    </xf>
    <xf numFmtId="3" fontId="54" fillId="5" borderId="42" xfId="5" applyNumberFormat="1" applyFont="1" applyFill="1" applyBorder="1" applyAlignment="1">
      <alignment horizontal="center"/>
    </xf>
    <xf numFmtId="0" fontId="57" fillId="0" borderId="0" xfId="5" applyFont="1" applyFill="1"/>
    <xf numFmtId="3" fontId="54" fillId="0" borderId="0" xfId="5" applyNumberFormat="1" applyFont="1" applyFill="1" applyBorder="1" applyAlignment="1">
      <alignment horizontal="center"/>
    </xf>
    <xf numFmtId="0" fontId="57" fillId="0" borderId="0" xfId="0" applyFont="1" applyFill="1" applyAlignment="1">
      <alignment horizontal="center"/>
    </xf>
    <xf numFmtId="0" fontId="22" fillId="3" borderId="0" xfId="12" applyFont="1" applyFill="1" applyBorder="1"/>
    <xf numFmtId="3" fontId="27" fillId="3" borderId="0" xfId="12" applyNumberFormat="1" applyFont="1" applyFill="1"/>
    <xf numFmtId="0" fontId="27" fillId="7" borderId="47" xfId="17" applyFont="1" applyFill="1" applyBorder="1"/>
    <xf numFmtId="0" fontId="27" fillId="7" borderId="2" xfId="17" applyFont="1" applyFill="1" applyBorder="1"/>
    <xf numFmtId="0" fontId="27" fillId="7" borderId="49" xfId="17" applyFont="1" applyFill="1" applyBorder="1"/>
    <xf numFmtId="0" fontId="27" fillId="3" borderId="0" xfId="17" applyFont="1" applyFill="1"/>
    <xf numFmtId="0" fontId="58" fillId="4" borderId="47" xfId="17" applyFont="1" applyFill="1" applyBorder="1" applyAlignment="1">
      <alignment horizontal="left"/>
    </xf>
    <xf numFmtId="0" fontId="58" fillId="4" borderId="2" xfId="17" applyFont="1" applyFill="1" applyBorder="1" applyAlignment="1">
      <alignment horizontal="left"/>
    </xf>
    <xf numFmtId="0" fontId="60" fillId="4" borderId="49" xfId="17" applyFont="1" applyFill="1" applyBorder="1" applyAlignment="1">
      <alignment horizontal="right"/>
    </xf>
    <xf numFmtId="0" fontId="58" fillId="4" borderId="8" xfId="17" applyFont="1" applyFill="1" applyBorder="1" applyAlignment="1">
      <alignment horizontal="left"/>
    </xf>
    <xf numFmtId="0" fontId="58" fillId="4" borderId="0" xfId="17" applyFont="1" applyFill="1" applyBorder="1" applyAlignment="1">
      <alignment horizontal="left"/>
    </xf>
    <xf numFmtId="0" fontId="60" fillId="4" borderId="28" xfId="17" applyFont="1" applyFill="1" applyBorder="1" applyAlignment="1">
      <alignment horizontal="right"/>
    </xf>
    <xf numFmtId="0" fontId="58" fillId="4" borderId="8" xfId="17" applyFont="1" applyFill="1" applyBorder="1" applyAlignment="1">
      <alignment horizontal="right"/>
    </xf>
    <xf numFmtId="0" fontId="60" fillId="4" borderId="28" xfId="17" applyFont="1" applyFill="1" applyBorder="1" applyAlignment="1">
      <alignment horizontal="center"/>
    </xf>
    <xf numFmtId="0" fontId="58" fillId="4" borderId="5" xfId="17" applyFont="1" applyFill="1" applyBorder="1" applyAlignment="1">
      <alignment horizontal="left"/>
    </xf>
    <xf numFmtId="0" fontId="58" fillId="4" borderId="6" xfId="17" applyFont="1" applyFill="1" applyBorder="1" applyAlignment="1">
      <alignment horizontal="left"/>
    </xf>
    <xf numFmtId="0" fontId="60" fillId="4" borderId="50" xfId="17" applyFont="1" applyFill="1" applyBorder="1" applyAlignment="1">
      <alignment horizontal="center"/>
    </xf>
    <xf numFmtId="0" fontId="26" fillId="9" borderId="8" xfId="17" applyFont="1" applyFill="1" applyBorder="1" applyAlignment="1">
      <alignment horizontal="left"/>
    </xf>
    <xf numFmtId="0" fontId="26" fillId="9" borderId="12" xfId="17" applyFont="1" applyFill="1" applyBorder="1" applyAlignment="1">
      <alignment horizontal="left"/>
    </xf>
    <xf numFmtId="165" fontId="7" fillId="3" borderId="28" xfId="17" applyNumberFormat="1" applyFont="1" applyFill="1" applyBorder="1" applyAlignment="1">
      <alignment horizontal="center"/>
    </xf>
    <xf numFmtId="3" fontId="26" fillId="9" borderId="8" xfId="17" applyNumberFormat="1" applyFont="1" applyFill="1" applyBorder="1" applyAlignment="1">
      <alignment horizontal="left"/>
    </xf>
    <xf numFmtId="3" fontId="26" fillId="9" borderId="12" xfId="17" applyNumberFormat="1" applyFont="1" applyFill="1" applyBorder="1" applyAlignment="1">
      <alignment horizontal="left"/>
    </xf>
    <xf numFmtId="3" fontId="63" fillId="9" borderId="115" xfId="17" applyNumberFormat="1" applyFont="1" applyFill="1" applyBorder="1" applyAlignment="1">
      <alignment horizontal="left"/>
    </xf>
    <xf numFmtId="3" fontId="63" fillId="9" borderId="102" xfId="17" applyNumberFormat="1" applyFont="1" applyFill="1" applyBorder="1" applyAlignment="1">
      <alignment horizontal="left"/>
    </xf>
    <xf numFmtId="165" fontId="7" fillId="3" borderId="101" xfId="17" applyNumberFormat="1" applyFont="1" applyFill="1" applyBorder="1" applyAlignment="1">
      <alignment horizontal="center"/>
    </xf>
    <xf numFmtId="0" fontId="27" fillId="3" borderId="0" xfId="17" applyFont="1" applyFill="1" applyBorder="1"/>
    <xf numFmtId="0" fontId="92" fillId="3" borderId="0" xfId="0" applyFont="1" applyFill="1"/>
    <xf numFmtId="0" fontId="92" fillId="8" borderId="0" xfId="0" applyFont="1" applyFill="1"/>
    <xf numFmtId="0" fontId="94" fillId="3" borderId="0" xfId="0" applyFont="1" applyFill="1"/>
    <xf numFmtId="0" fontId="94" fillId="8" borderId="0" xfId="0" applyFont="1" applyFill="1"/>
    <xf numFmtId="0" fontId="93" fillId="7" borderId="48" xfId="0" applyFont="1" applyFill="1" applyBorder="1" applyAlignment="1">
      <alignment horizontal="center"/>
    </xf>
    <xf numFmtId="0" fontId="93" fillId="7" borderId="52" xfId="0" applyFont="1" applyFill="1" applyBorder="1" applyAlignment="1">
      <alignment horizontal="center"/>
    </xf>
    <xf numFmtId="0" fontId="94" fillId="7" borderId="52" xfId="0" applyFont="1" applyFill="1" applyBorder="1"/>
    <xf numFmtId="0" fontId="94" fillId="7" borderId="54" xfId="0" applyFont="1" applyFill="1" applyBorder="1"/>
    <xf numFmtId="0" fontId="67" fillId="5" borderId="7" xfId="0" applyFont="1" applyFill="1" applyBorder="1"/>
    <xf numFmtId="0" fontId="96" fillId="3" borderId="0" xfId="0" applyFont="1" applyFill="1"/>
    <xf numFmtId="0" fontId="96" fillId="8" borderId="0" xfId="0" applyFont="1" applyFill="1"/>
    <xf numFmtId="0" fontId="67" fillId="5" borderId="8" xfId="0" applyFont="1" applyFill="1" applyBorder="1"/>
    <xf numFmtId="0" fontId="82" fillId="2" borderId="37" xfId="0" applyFont="1" applyFill="1" applyBorder="1"/>
    <xf numFmtId="2" fontId="96" fillId="3" borderId="0" xfId="0" applyNumberFormat="1" applyFont="1" applyFill="1"/>
    <xf numFmtId="0" fontId="97" fillId="18" borderId="48" xfId="0" applyFont="1" applyFill="1" applyBorder="1" applyAlignment="1">
      <alignment horizontal="center"/>
    </xf>
    <xf numFmtId="0" fontId="97" fillId="18" borderId="52" xfId="0" applyFont="1" applyFill="1" applyBorder="1" applyAlignment="1">
      <alignment horizontal="center"/>
    </xf>
    <xf numFmtId="0" fontId="98" fillId="18" borderId="52" xfId="0" applyFont="1" applyFill="1" applyBorder="1"/>
    <xf numFmtId="0" fontId="99" fillId="18" borderId="52" xfId="0" applyFont="1" applyFill="1" applyBorder="1"/>
    <xf numFmtId="0" fontId="99" fillId="18" borderId="54" xfId="0" applyFont="1" applyFill="1" applyBorder="1"/>
    <xf numFmtId="0" fontId="99" fillId="8" borderId="0" xfId="0" applyFont="1" applyFill="1"/>
    <xf numFmtId="0" fontId="82" fillId="2" borderId="26" xfId="0" applyFont="1" applyFill="1" applyBorder="1" applyAlignment="1">
      <alignment horizontal="right"/>
    </xf>
    <xf numFmtId="0" fontId="82" fillId="2" borderId="12" xfId="0" applyFont="1" applyFill="1" applyBorder="1" applyAlignment="1">
      <alignment horizontal="right"/>
    </xf>
    <xf numFmtId="0" fontId="82" fillId="2" borderId="28" xfId="0" applyFont="1" applyFill="1" applyBorder="1" applyAlignment="1">
      <alignment horizontal="right"/>
    </xf>
    <xf numFmtId="0" fontId="82" fillId="2" borderId="0" xfId="0" applyFont="1" applyFill="1" applyBorder="1" applyAlignment="1">
      <alignment horizontal="right"/>
    </xf>
    <xf numFmtId="0" fontId="84" fillId="8" borderId="0" xfId="0" applyFont="1" applyFill="1"/>
    <xf numFmtId="3" fontId="95" fillId="5" borderId="18" xfId="26" applyNumberFormat="1" applyFont="1" applyFill="1" applyBorder="1" applyAlignment="1">
      <alignment horizontal="left"/>
    </xf>
    <xf numFmtId="3" fontId="95" fillId="5" borderId="19" xfId="26" applyNumberFormat="1" applyFont="1" applyFill="1" applyBorder="1" applyAlignment="1">
      <alignment horizontal="right"/>
    </xf>
    <xf numFmtId="166" fontId="95" fillId="5" borderId="19" xfId="26" applyNumberFormat="1" applyFont="1" applyFill="1" applyBorder="1" applyAlignment="1">
      <alignment horizontal="right"/>
    </xf>
    <xf numFmtId="166" fontId="95" fillId="5" borderId="81" xfId="26" applyNumberFormat="1" applyFont="1" applyFill="1" applyBorder="1" applyAlignment="1">
      <alignment horizontal="right"/>
    </xf>
    <xf numFmtId="166" fontId="95" fillId="5" borderId="10" xfId="26" applyNumberFormat="1" applyFont="1" applyFill="1" applyBorder="1" applyAlignment="1">
      <alignment horizontal="right"/>
    </xf>
    <xf numFmtId="3" fontId="95" fillId="5" borderId="18" xfId="26" applyNumberFormat="1" applyFont="1" applyFill="1" applyBorder="1" applyAlignment="1">
      <alignment horizontal="right"/>
    </xf>
    <xf numFmtId="3" fontId="82" fillId="2" borderId="104" xfId="0" applyNumberFormat="1" applyFont="1" applyFill="1" applyBorder="1" applyAlignment="1">
      <alignment horizontal="right"/>
    </xf>
    <xf numFmtId="3" fontId="82" fillId="2" borderId="98" xfId="0" applyNumberFormat="1" applyFont="1" applyFill="1" applyBorder="1" applyAlignment="1">
      <alignment horizontal="right"/>
    </xf>
    <xf numFmtId="3" fontId="82" fillId="2" borderId="116" xfId="0" applyNumberFormat="1" applyFont="1" applyFill="1" applyBorder="1" applyAlignment="1">
      <alignment horizontal="right"/>
    </xf>
    <xf numFmtId="3" fontId="82" fillId="2" borderId="99" xfId="0" applyNumberFormat="1" applyFont="1" applyFill="1" applyBorder="1" applyAlignment="1">
      <alignment horizontal="right"/>
    </xf>
    <xf numFmtId="3" fontId="82" fillId="2" borderId="97" xfId="0" applyNumberFormat="1" applyFont="1" applyFill="1" applyBorder="1" applyAlignment="1">
      <alignment horizontal="right"/>
    </xf>
    <xf numFmtId="166" fontId="84" fillId="3" borderId="0" xfId="0" applyNumberFormat="1" applyFont="1" applyFill="1"/>
    <xf numFmtId="3" fontId="84" fillId="3" borderId="0" xfId="0" applyNumberFormat="1" applyFont="1" applyFill="1"/>
    <xf numFmtId="0" fontId="67" fillId="5" borderId="37" xfId="0" applyFont="1" applyFill="1" applyBorder="1"/>
    <xf numFmtId="169" fontId="27" fillId="7" borderId="47" xfId="0" applyNumberFormat="1" applyFont="1" applyFill="1" applyBorder="1" applyAlignment="1"/>
    <xf numFmtId="1" fontId="27" fillId="7" borderId="2" xfId="0" applyNumberFormat="1" applyFont="1" applyFill="1" applyBorder="1"/>
    <xf numFmtId="169" fontId="27" fillId="7" borderId="117" xfId="0" applyNumberFormat="1" applyFont="1" applyFill="1" applyBorder="1" applyAlignment="1"/>
    <xf numFmtId="1" fontId="27" fillId="7" borderId="49" xfId="0" applyNumberFormat="1" applyFont="1" applyFill="1" applyBorder="1"/>
    <xf numFmtId="166" fontId="27" fillId="3" borderId="0" xfId="0" applyNumberFormat="1" applyFont="1" applyFill="1"/>
    <xf numFmtId="0" fontId="27" fillId="6" borderId="30" xfId="0" applyFont="1" applyFill="1" applyBorder="1" applyAlignment="1">
      <alignment horizontal="center" wrapText="1"/>
    </xf>
    <xf numFmtId="0" fontId="27" fillId="6" borderId="31" xfId="0" applyFont="1" applyFill="1" applyBorder="1" applyAlignment="1">
      <alignment horizontal="center" wrapText="1"/>
    </xf>
    <xf numFmtId="166" fontId="27" fillId="6" borderId="6" xfId="0" applyNumberFormat="1" applyFont="1" applyFill="1" applyBorder="1" applyAlignment="1">
      <alignment horizontal="center" wrapText="1"/>
    </xf>
    <xf numFmtId="3" fontId="27" fillId="6" borderId="118" xfId="0" applyNumberFormat="1" applyFont="1" applyFill="1" applyBorder="1" applyAlignment="1">
      <alignment horizontal="center" wrapText="1"/>
    </xf>
    <xf numFmtId="0" fontId="27" fillId="6" borderId="50" xfId="0" applyFont="1" applyFill="1" applyBorder="1" applyAlignment="1">
      <alignment horizontal="center" wrapText="1"/>
    </xf>
    <xf numFmtId="0" fontId="27" fillId="7" borderId="52" xfId="0" applyFont="1" applyFill="1" applyBorder="1"/>
    <xf numFmtId="0" fontId="27" fillId="7" borderId="54" xfId="0" applyFont="1" applyFill="1" applyBorder="1"/>
    <xf numFmtId="0" fontId="27" fillId="8" borderId="0" xfId="0" applyFont="1" applyFill="1" applyAlignment="1">
      <alignment horizontal="center"/>
    </xf>
    <xf numFmtId="0" fontId="27" fillId="7" borderId="2" xfId="0" applyFont="1" applyFill="1" applyBorder="1" applyAlignment="1">
      <alignment horizontal="center"/>
    </xf>
    <xf numFmtId="0" fontId="27" fillId="7" borderId="49" xfId="7" applyFont="1" applyFill="1" applyBorder="1"/>
    <xf numFmtId="0" fontId="27" fillId="3" borderId="0" xfId="7" applyFont="1" applyFill="1"/>
    <xf numFmtId="1" fontId="100" fillId="4" borderId="8" xfId="7" applyNumberFormat="1" applyFont="1" applyFill="1" applyBorder="1" applyAlignment="1">
      <alignment horizontal="left"/>
    </xf>
    <xf numFmtId="3" fontId="59" fillId="4" borderId="0" xfId="7" applyNumberFormat="1" applyFont="1" applyFill="1" applyBorder="1" applyAlignment="1">
      <alignment horizontal="center"/>
    </xf>
    <xf numFmtId="9" fontId="59" fillId="4" borderId="0" xfId="7" applyNumberFormat="1" applyFont="1" applyFill="1" applyBorder="1" applyAlignment="1">
      <alignment horizontal="center"/>
    </xf>
    <xf numFmtId="0" fontId="27" fillId="2" borderId="28" xfId="7" applyFont="1" applyFill="1" applyBorder="1"/>
    <xf numFmtId="1" fontId="100" fillId="4" borderId="8" xfId="7" applyNumberFormat="1" applyFont="1" applyFill="1" applyBorder="1" applyAlignment="1"/>
    <xf numFmtId="168" fontId="100" fillId="4" borderId="0" xfId="7" applyNumberFormat="1" applyFont="1" applyFill="1" applyBorder="1" applyAlignment="1">
      <alignment horizontal="center"/>
    </xf>
    <xf numFmtId="9" fontId="59" fillId="4" borderId="0" xfId="7" applyNumberFormat="1" applyFont="1" applyFill="1" applyBorder="1" applyAlignment="1">
      <alignment horizontal="center" wrapText="1"/>
    </xf>
    <xf numFmtId="1" fontId="61" fillId="9" borderId="96" xfId="7" applyNumberFormat="1" applyFont="1" applyFill="1" applyBorder="1" applyAlignment="1">
      <alignment horizontal="left"/>
    </xf>
    <xf numFmtId="3" fontId="7" fillId="3" borderId="2" xfId="7" applyNumberFormat="1" applyFont="1" applyFill="1" applyBorder="1" applyAlignment="1">
      <alignment horizontal="center"/>
    </xf>
    <xf numFmtId="9" fontId="27" fillId="3" borderId="2" xfId="7" applyNumberFormat="1" applyFont="1" applyFill="1" applyBorder="1" applyAlignment="1">
      <alignment horizontal="center"/>
    </xf>
    <xf numFmtId="0" fontId="27" fillId="3" borderId="49" xfId="7" applyFont="1" applyFill="1" applyBorder="1"/>
    <xf numFmtId="1" fontId="63" fillId="9" borderId="26" xfId="7" applyNumberFormat="1" applyFont="1" applyFill="1" applyBorder="1" applyAlignment="1">
      <alignment horizontal="left"/>
    </xf>
    <xf numFmtId="3" fontId="27" fillId="3" borderId="0" xfId="7" applyNumberFormat="1" applyFont="1" applyFill="1" applyBorder="1" applyAlignment="1">
      <alignment horizontal="center"/>
    </xf>
    <xf numFmtId="9" fontId="27" fillId="3" borderId="0" xfId="7" applyNumberFormat="1" applyFont="1" applyFill="1" applyBorder="1" applyAlignment="1">
      <alignment horizontal="center"/>
    </xf>
    <xf numFmtId="0" fontId="27" fillId="3" borderId="28" xfId="7" applyFont="1" applyFill="1" applyBorder="1"/>
    <xf numFmtId="3" fontId="7" fillId="3" borderId="0" xfId="7" applyNumberFormat="1" applyFont="1" applyFill="1" applyBorder="1" applyAlignment="1">
      <alignment horizontal="center"/>
    </xf>
    <xf numFmtId="3" fontId="27" fillId="3" borderId="0" xfId="7" applyNumberFormat="1" applyFont="1" applyFill="1"/>
    <xf numFmtId="1" fontId="26" fillId="9" borderId="26" xfId="7" applyNumberFormat="1" applyFont="1" applyFill="1" applyBorder="1" applyAlignment="1">
      <alignment horizontal="left"/>
    </xf>
    <xf numFmtId="1" fontId="61" fillId="9" borderId="26" xfId="7" applyNumberFormat="1" applyFont="1" applyFill="1" applyBorder="1" applyAlignment="1">
      <alignment horizontal="left"/>
    </xf>
    <xf numFmtId="166" fontId="27" fillId="3" borderId="0" xfId="7" applyNumberFormat="1" applyFont="1" applyFill="1"/>
    <xf numFmtId="3" fontId="61" fillId="9" borderId="26" xfId="7" applyNumberFormat="1" applyFont="1" applyFill="1" applyBorder="1" applyAlignment="1">
      <alignment horizontal="left"/>
    </xf>
    <xf numFmtId="9" fontId="27" fillId="3" borderId="0" xfId="26" applyFont="1" applyFill="1" applyBorder="1" applyAlignment="1">
      <alignment horizontal="center"/>
    </xf>
    <xf numFmtId="1" fontId="63" fillId="9" borderId="26" xfId="7" quotePrefix="1" applyNumberFormat="1" applyFont="1" applyFill="1" applyBorder="1" applyAlignment="1">
      <alignment horizontal="left"/>
    </xf>
    <xf numFmtId="3" fontId="27" fillId="3" borderId="28" xfId="7" applyNumberFormat="1" applyFont="1" applyFill="1" applyBorder="1"/>
    <xf numFmtId="166" fontId="27" fillId="3" borderId="0" xfId="26" applyNumberFormat="1" applyFont="1" applyFill="1" applyBorder="1" applyAlignment="1">
      <alignment horizontal="center"/>
    </xf>
    <xf numFmtId="9" fontId="27" fillId="3" borderId="28" xfId="7" applyNumberFormat="1" applyFont="1" applyFill="1" applyBorder="1"/>
    <xf numFmtId="3" fontId="27" fillId="3" borderId="28" xfId="7" applyNumberFormat="1" applyFont="1" applyFill="1" applyBorder="1" applyAlignment="1"/>
    <xf numFmtId="0" fontId="61" fillId="9" borderId="26" xfId="7" applyFont="1" applyFill="1" applyBorder="1" applyAlignment="1">
      <alignment horizontal="left"/>
    </xf>
    <xf numFmtId="1" fontId="61" fillId="9" borderId="30" xfId="7" quotePrefix="1" applyNumberFormat="1" applyFont="1" applyFill="1" applyBorder="1" applyAlignment="1">
      <alignment horizontal="left"/>
    </xf>
    <xf numFmtId="3" fontId="27" fillId="3" borderId="6" xfId="7" applyNumberFormat="1" applyFont="1" applyFill="1" applyBorder="1" applyAlignment="1">
      <alignment horizontal="center"/>
    </xf>
    <xf numFmtId="166" fontId="27" fillId="3" borderId="6" xfId="7" applyNumberFormat="1" applyFont="1" applyFill="1" applyBorder="1" applyAlignment="1">
      <alignment horizontal="center"/>
    </xf>
    <xf numFmtId="9" fontId="27" fillId="3" borderId="6" xfId="7" applyNumberFormat="1" applyFont="1" applyFill="1" applyBorder="1" applyAlignment="1">
      <alignment horizontal="center"/>
    </xf>
    <xf numFmtId="0" fontId="27" fillId="3" borderId="50" xfId="7" applyFont="1" applyFill="1" applyBorder="1"/>
    <xf numFmtId="0" fontId="27" fillId="3" borderId="0" xfId="7" applyFont="1" applyFill="1" applyAlignment="1">
      <alignment horizontal="center"/>
    </xf>
    <xf numFmtId="0" fontId="80" fillId="7" borderId="47" xfId="0" applyFont="1" applyFill="1" applyBorder="1"/>
    <xf numFmtId="0" fontId="80" fillId="7" borderId="2" xfId="0" applyFont="1" applyFill="1" applyBorder="1"/>
    <xf numFmtId="0" fontId="80" fillId="7" borderId="49" xfId="0" applyFont="1" applyFill="1" applyBorder="1"/>
    <xf numFmtId="0" fontId="83" fillId="2" borderId="49" xfId="0" applyFont="1" applyFill="1" applyBorder="1" applyAlignment="1">
      <alignment horizontal="center"/>
    </xf>
    <xf numFmtId="0" fontId="83" fillId="2" borderId="0" xfId="0" applyFont="1" applyFill="1" applyBorder="1"/>
    <xf numFmtId="0" fontId="82" fillId="2" borderId="28" xfId="0" applyFont="1" applyFill="1" applyBorder="1"/>
    <xf numFmtId="0" fontId="12" fillId="6" borderId="47" xfId="0" applyFont="1" applyFill="1" applyBorder="1" applyAlignment="1">
      <alignment horizontal="left"/>
    </xf>
    <xf numFmtId="164" fontId="12" fillId="6" borderId="44" xfId="0" applyNumberFormat="1" applyFont="1" applyFill="1" applyBorder="1" applyAlignment="1">
      <alignment horizontal="center"/>
    </xf>
    <xf numFmtId="164" fontId="12" fillId="6" borderId="2" xfId="0" applyNumberFormat="1" applyFont="1" applyFill="1" applyBorder="1" applyAlignment="1">
      <alignment horizontal="center"/>
    </xf>
    <xf numFmtId="3" fontId="12" fillId="6" borderId="49" xfId="0" applyNumberFormat="1" applyFont="1" applyFill="1" applyBorder="1" applyAlignment="1">
      <alignment horizontal="center"/>
    </xf>
    <xf numFmtId="0" fontId="12" fillId="6" borderId="8" xfId="0" applyFont="1" applyFill="1" applyBorder="1" applyAlignment="1">
      <alignment horizontal="left"/>
    </xf>
    <xf numFmtId="166" fontId="12" fillId="6" borderId="45" xfId="0" applyNumberFormat="1" applyFont="1" applyFill="1" applyBorder="1" applyAlignment="1">
      <alignment horizontal="center"/>
    </xf>
    <xf numFmtId="166" fontId="12" fillId="6" borderId="0" xfId="0" applyNumberFormat="1" applyFont="1" applyFill="1" applyBorder="1" applyAlignment="1">
      <alignment horizontal="center"/>
    </xf>
    <xf numFmtId="166" fontId="12" fillId="6" borderId="28" xfId="0" applyNumberFormat="1" applyFont="1" applyFill="1" applyBorder="1" applyAlignment="1">
      <alignment horizontal="center"/>
    </xf>
    <xf numFmtId="0" fontId="12" fillId="6" borderId="45" xfId="0" applyFont="1" applyFill="1" applyBorder="1" applyAlignment="1">
      <alignment horizontal="center"/>
    </xf>
    <xf numFmtId="0" fontId="12" fillId="6" borderId="0" xfId="0" applyFont="1" applyFill="1" applyBorder="1" applyAlignment="1">
      <alignment horizontal="center"/>
    </xf>
    <xf numFmtId="0" fontId="12" fillId="6" borderId="28" xfId="0" applyFont="1" applyFill="1" applyBorder="1" applyAlignment="1">
      <alignment horizontal="center"/>
    </xf>
    <xf numFmtId="164" fontId="12" fillId="6" borderId="45" xfId="0" applyNumberFormat="1" applyFont="1" applyFill="1" applyBorder="1" applyAlignment="1">
      <alignment horizontal="center"/>
    </xf>
    <xf numFmtId="164" fontId="12" fillId="6" borderId="0" xfId="0" applyNumberFormat="1" applyFont="1" applyFill="1" applyBorder="1" applyAlignment="1">
      <alignment horizontal="center"/>
    </xf>
    <xf numFmtId="3" fontId="12" fillId="6" borderId="28" xfId="0" applyNumberFormat="1" applyFont="1" applyFill="1" applyBorder="1" applyAlignment="1">
      <alignment horizontal="center"/>
    </xf>
    <xf numFmtId="0" fontId="12" fillId="6" borderId="5" xfId="0" applyFont="1" applyFill="1" applyBorder="1" applyAlignment="1">
      <alignment horizontal="left"/>
    </xf>
    <xf numFmtId="166" fontId="12" fillId="6" borderId="46" xfId="0" applyNumberFormat="1" applyFont="1" applyFill="1" applyBorder="1" applyAlignment="1">
      <alignment horizontal="center"/>
    </xf>
    <xf numFmtId="166" fontId="12" fillId="6" borderId="6" xfId="0" applyNumberFormat="1" applyFont="1" applyFill="1" applyBorder="1" applyAlignment="1">
      <alignment horizontal="center"/>
    </xf>
    <xf numFmtId="166" fontId="12" fillId="6" borderId="50" xfId="0" applyNumberFormat="1" applyFont="1" applyFill="1" applyBorder="1" applyAlignment="1">
      <alignment horizontal="center"/>
    </xf>
    <xf numFmtId="166" fontId="12" fillId="15" borderId="0" xfId="0" applyNumberFormat="1" applyFont="1" applyFill="1" applyBorder="1" applyAlignment="1">
      <alignment horizontal="center"/>
    </xf>
    <xf numFmtId="0" fontId="0" fillId="0" borderId="2" xfId="0" applyBorder="1"/>
    <xf numFmtId="0" fontId="0" fillId="0" borderId="49" xfId="0" applyBorder="1"/>
    <xf numFmtId="4" fontId="0" fillId="19" borderId="9" xfId="0" applyNumberFormat="1" applyFill="1" applyBorder="1"/>
    <xf numFmtId="0" fontId="0" fillId="19" borderId="0" xfId="0" applyFill="1" applyBorder="1"/>
    <xf numFmtId="0" fontId="0" fillId="19" borderId="1" xfId="0" applyFill="1" applyBorder="1"/>
    <xf numFmtId="0" fontId="0" fillId="19" borderId="0" xfId="0" applyFill="1"/>
    <xf numFmtId="0" fontId="0" fillId="19" borderId="9" xfId="0" applyFill="1" applyBorder="1"/>
    <xf numFmtId="3" fontId="0" fillId="19" borderId="0" xfId="0" applyNumberFormat="1" applyFill="1" applyAlignment="1">
      <alignment horizontal="center"/>
    </xf>
    <xf numFmtId="0" fontId="0" fillId="19" borderId="17" xfId="0" applyFill="1" applyBorder="1"/>
    <xf numFmtId="0" fontId="0" fillId="19" borderId="40" xfId="0" applyFill="1" applyBorder="1"/>
    <xf numFmtId="3" fontId="0" fillId="0" borderId="0" xfId="0" applyNumberFormat="1" applyAlignment="1">
      <alignment horizontal="center"/>
    </xf>
    <xf numFmtId="3" fontId="0" fillId="0" borderId="0" xfId="0" applyNumberFormat="1" applyFill="1" applyAlignment="1">
      <alignment horizontal="center"/>
    </xf>
    <xf numFmtId="3" fontId="27" fillId="19" borderId="0" xfId="0" applyNumberFormat="1" applyFont="1" applyFill="1" applyBorder="1"/>
    <xf numFmtId="164" fontId="54" fillId="17" borderId="55" xfId="0" applyNumberFormat="1" applyFont="1" applyFill="1" applyBorder="1" applyAlignment="1">
      <alignment horizontal="center" vertical="center" wrapText="1"/>
    </xf>
    <xf numFmtId="0" fontId="33" fillId="8" borderId="0" xfId="0" applyFont="1" applyFill="1" applyBorder="1"/>
    <xf numFmtId="0" fontId="63" fillId="9" borderId="96" xfId="12" applyFont="1" applyFill="1" applyBorder="1" applyAlignment="1">
      <alignment horizontal="left"/>
    </xf>
    <xf numFmtId="3" fontId="7" fillId="3" borderId="2" xfId="12" applyNumberFormat="1" applyFont="1" applyFill="1" applyBorder="1" applyAlignment="1">
      <alignment horizontal="center"/>
    </xf>
    <xf numFmtId="3" fontId="7" fillId="3" borderId="2" xfId="12" quotePrefix="1" applyNumberFormat="1" applyFont="1" applyFill="1" applyBorder="1" applyAlignment="1">
      <alignment horizontal="center"/>
    </xf>
    <xf numFmtId="3" fontId="7" fillId="3" borderId="49" xfId="12" quotePrefix="1" applyNumberFormat="1" applyFont="1" applyFill="1" applyBorder="1" applyAlignment="1">
      <alignment horizontal="center"/>
    </xf>
    <xf numFmtId="0" fontId="26" fillId="9" borderId="47" xfId="16" applyFont="1" applyFill="1" applyBorder="1" applyAlignment="1">
      <alignment horizontal="left"/>
    </xf>
    <xf numFmtId="3" fontId="7" fillId="3" borderId="2" xfId="16" applyNumberFormat="1" applyFont="1" applyFill="1" applyBorder="1" applyAlignment="1">
      <alignment horizontal="center"/>
    </xf>
    <xf numFmtId="3" fontId="7" fillId="3" borderId="2" xfId="16" quotePrefix="1" applyNumberFormat="1" applyFont="1" applyFill="1" applyBorder="1" applyAlignment="1">
      <alignment horizontal="center"/>
    </xf>
    <xf numFmtId="3" fontId="7" fillId="3" borderId="49" xfId="16" quotePrefix="1" applyNumberFormat="1" applyFont="1" applyFill="1" applyBorder="1" applyAlignment="1">
      <alignment horizontal="center"/>
    </xf>
    <xf numFmtId="0" fontId="63" fillId="9" borderId="8" xfId="16" applyFont="1" applyFill="1" applyBorder="1" applyAlignment="1">
      <alignment horizontal="left"/>
    </xf>
    <xf numFmtId="0" fontId="26" fillId="9" borderId="8" xfId="16" applyFont="1" applyFill="1" applyBorder="1" applyAlignment="1">
      <alignment horizontal="left"/>
    </xf>
    <xf numFmtId="0" fontId="63" fillId="9" borderId="5" xfId="16" applyFont="1" applyFill="1" applyBorder="1" applyAlignment="1">
      <alignment horizontal="left"/>
    </xf>
    <xf numFmtId="9" fontId="27" fillId="3" borderId="0" xfId="0" applyNumberFormat="1" applyFont="1" applyFill="1" applyBorder="1"/>
    <xf numFmtId="10" fontId="27" fillId="3" borderId="0" xfId="0" applyNumberFormat="1" applyFont="1" applyFill="1" applyBorder="1"/>
    <xf numFmtId="166" fontId="27" fillId="3" borderId="0" xfId="18" applyNumberFormat="1" applyFont="1" applyFill="1"/>
    <xf numFmtId="166" fontId="2" fillId="3" borderId="0" xfId="18" applyNumberFormat="1" applyFill="1"/>
    <xf numFmtId="0" fontId="82" fillId="2" borderId="96" xfId="0" applyFont="1" applyFill="1" applyBorder="1" applyAlignment="1">
      <alignment horizontal="right"/>
    </xf>
    <xf numFmtId="0" fontId="82" fillId="2" borderId="49" xfId="0" applyFont="1" applyFill="1" applyBorder="1" applyAlignment="1">
      <alignment horizontal="right"/>
    </xf>
    <xf numFmtId="0" fontId="82" fillId="2" borderId="91" xfId="0" applyFont="1" applyFill="1" applyBorder="1" applyAlignment="1">
      <alignment horizontal="right"/>
    </xf>
    <xf numFmtId="0" fontId="0" fillId="18" borderId="52" xfId="0" applyFill="1" applyBorder="1"/>
    <xf numFmtId="0" fontId="0" fillId="7" borderId="52" xfId="0" applyFill="1" applyBorder="1"/>
    <xf numFmtId="1" fontId="8" fillId="14" borderId="0" xfId="4" applyNumberFormat="1" applyFont="1" applyFill="1" applyBorder="1" applyAlignment="1">
      <alignment horizontal="right"/>
    </xf>
    <xf numFmtId="1" fontId="101" fillId="14" borderId="28" xfId="4" applyNumberFormat="1" applyFont="1" applyFill="1" applyBorder="1" applyAlignment="1">
      <alignment horizontal="right"/>
    </xf>
    <xf numFmtId="1" fontId="8" fillId="14" borderId="1" xfId="4" applyNumberFormat="1" applyFont="1" applyFill="1" applyBorder="1" applyAlignment="1">
      <alignment horizontal="right"/>
    </xf>
    <xf numFmtId="1" fontId="101" fillId="14" borderId="83" xfId="4" applyNumberFormat="1" applyFont="1" applyFill="1" applyBorder="1" applyAlignment="1">
      <alignment horizontal="right"/>
    </xf>
    <xf numFmtId="0" fontId="101" fillId="14" borderId="0" xfId="19" applyFont="1" applyFill="1" applyBorder="1" applyAlignment="1">
      <alignment horizontal="right"/>
    </xf>
    <xf numFmtId="0" fontId="101" fillId="14" borderId="0" xfId="19" applyFont="1" applyFill="1" applyBorder="1" applyAlignment="1">
      <alignment horizontal="center"/>
    </xf>
    <xf numFmtId="0" fontId="102" fillId="14" borderId="0" xfId="19" applyFont="1" applyFill="1" applyBorder="1" applyAlignment="1">
      <alignment horizontal="center"/>
    </xf>
    <xf numFmtId="0" fontId="101" fillId="14" borderId="1" xfId="19" applyFont="1" applyFill="1" applyBorder="1" applyAlignment="1">
      <alignment horizontal="center"/>
    </xf>
    <xf numFmtId="0" fontId="101" fillId="14" borderId="1" xfId="19" applyFont="1" applyFill="1" applyBorder="1" applyAlignment="1">
      <alignment horizontal="right"/>
    </xf>
    <xf numFmtId="0" fontId="102" fillId="14" borderId="1" xfId="19" applyFont="1" applyFill="1" applyBorder="1" applyAlignment="1">
      <alignment horizontal="center"/>
    </xf>
    <xf numFmtId="0" fontId="101" fillId="14" borderId="83" xfId="19" applyFont="1" applyFill="1" applyBorder="1" applyAlignment="1">
      <alignment horizontal="center"/>
    </xf>
    <xf numFmtId="3" fontId="0" fillId="20" borderId="0" xfId="0" applyNumberFormat="1" applyFill="1" applyAlignment="1">
      <alignment horizontal="center"/>
    </xf>
    <xf numFmtId="3" fontId="0" fillId="21" borderId="0" xfId="0" applyNumberFormat="1" applyFill="1" applyAlignment="1">
      <alignment horizontal="center"/>
    </xf>
    <xf numFmtId="0" fontId="0" fillId="21" borderId="0" xfId="0" applyFill="1" applyAlignment="1">
      <alignment horizontal="center"/>
    </xf>
    <xf numFmtId="166" fontId="0" fillId="21" borderId="0" xfId="0" applyNumberFormat="1" applyFill="1" applyAlignment="1">
      <alignment horizontal="center"/>
    </xf>
    <xf numFmtId="170" fontId="0" fillId="3" borderId="0" xfId="0" applyNumberFormat="1" applyFill="1" applyAlignment="1">
      <alignment horizontal="center"/>
    </xf>
    <xf numFmtId="0" fontId="82" fillId="0" borderId="0" xfId="0" applyFont="1" applyFill="1" applyBorder="1" applyAlignment="1">
      <alignment horizontal="right"/>
    </xf>
    <xf numFmtId="0" fontId="82" fillId="0" borderId="0" xfId="0" applyFont="1" applyFill="1" applyBorder="1"/>
    <xf numFmtId="3" fontId="95" fillId="0" borderId="0" xfId="0" applyNumberFormat="1" applyFont="1" applyFill="1" applyBorder="1" applyAlignment="1">
      <alignment horizontal="right"/>
    </xf>
    <xf numFmtId="9" fontId="95" fillId="0" borderId="0" xfId="26" applyFont="1" applyFill="1" applyBorder="1"/>
    <xf numFmtId="0" fontId="94" fillId="0" borderId="0" xfId="0" applyFont="1" applyFill="1" applyBorder="1"/>
    <xf numFmtId="0" fontId="95" fillId="0" borderId="0" xfId="0" applyFont="1" applyFill="1" applyBorder="1"/>
    <xf numFmtId="0" fontId="96" fillId="3" borderId="0" xfId="0" applyFont="1" applyFill="1" applyBorder="1" applyAlignment="1">
      <alignment wrapText="1"/>
    </xf>
    <xf numFmtId="0" fontId="82" fillId="2" borderId="119" xfId="0" applyFont="1" applyFill="1" applyBorder="1"/>
    <xf numFmtId="0" fontId="82" fillId="2" borderId="2" xfId="0" applyFont="1" applyFill="1" applyBorder="1" applyAlignment="1">
      <alignment horizontal="center"/>
    </xf>
    <xf numFmtId="0" fontId="82" fillId="2" borderId="51" xfId="0" applyFont="1" applyFill="1" applyBorder="1" applyAlignment="1">
      <alignment horizontal="center"/>
    </xf>
    <xf numFmtId="0" fontId="82" fillId="2" borderId="49" xfId="0" applyFont="1" applyFill="1" applyBorder="1" applyAlignment="1">
      <alignment horizontal="center"/>
    </xf>
    <xf numFmtId="3" fontId="95" fillId="5" borderId="42" xfId="0" applyNumberFormat="1" applyFont="1" applyFill="1" applyBorder="1" applyAlignment="1">
      <alignment horizontal="center"/>
    </xf>
    <xf numFmtId="3" fontId="95" fillId="5" borderId="42" xfId="26" applyNumberFormat="1" applyFont="1" applyFill="1" applyBorder="1" applyAlignment="1">
      <alignment horizontal="center"/>
    </xf>
    <xf numFmtId="166" fontId="95" fillId="5" borderId="38" xfId="0" applyNumberFormat="1" applyFont="1" applyFill="1" applyBorder="1" applyAlignment="1">
      <alignment horizontal="center"/>
    </xf>
    <xf numFmtId="166" fontId="95" fillId="5" borderId="120" xfId="0" applyNumberFormat="1" applyFont="1" applyFill="1" applyBorder="1" applyAlignment="1">
      <alignment horizontal="center"/>
    </xf>
    <xf numFmtId="3" fontId="95" fillId="5" borderId="121" xfId="0" applyNumberFormat="1" applyFont="1" applyFill="1" applyBorder="1" applyAlignment="1">
      <alignment horizontal="center"/>
    </xf>
    <xf numFmtId="0" fontId="0" fillId="7" borderId="54" xfId="0" applyFill="1" applyBorder="1"/>
    <xf numFmtId="3" fontId="7" fillId="5" borderId="2" xfId="0" applyNumberFormat="1" applyFont="1" applyFill="1" applyBorder="1" applyAlignment="1">
      <alignment horizontal="center"/>
    </xf>
    <xf numFmtId="3" fontId="7" fillId="5" borderId="0" xfId="0" applyNumberFormat="1" applyFont="1" applyFill="1" applyBorder="1" applyAlignment="1">
      <alignment horizontal="center"/>
    </xf>
    <xf numFmtId="3" fontId="7" fillId="5" borderId="98" xfId="0" applyNumberFormat="1" applyFont="1" applyFill="1" applyBorder="1" applyAlignment="1">
      <alignment horizontal="center"/>
    </xf>
    <xf numFmtId="0" fontId="5" fillId="2" borderId="53" xfId="0" applyFont="1" applyFill="1" applyBorder="1" applyAlignment="1">
      <alignment horizontal="center"/>
    </xf>
    <xf numFmtId="0" fontId="5" fillId="2" borderId="93" xfId="0" applyFont="1" applyFill="1" applyBorder="1" applyAlignment="1">
      <alignment horizontal="center"/>
    </xf>
    <xf numFmtId="0" fontId="0" fillId="0" borderId="47" xfId="0" applyBorder="1"/>
    <xf numFmtId="0" fontId="0" fillId="0" borderId="8" xfId="0" applyBorder="1"/>
    <xf numFmtId="0" fontId="0" fillId="0" borderId="28" xfId="0" applyBorder="1"/>
    <xf numFmtId="0" fontId="0" fillId="0" borderId="5" xfId="0" applyBorder="1"/>
    <xf numFmtId="0" fontId="0" fillId="0" borderId="6" xfId="0" applyBorder="1"/>
    <xf numFmtId="0" fontId="0" fillId="0" borderId="50" xfId="0" applyBorder="1"/>
    <xf numFmtId="164" fontId="54" fillId="0" borderId="0" xfId="0" applyNumberFormat="1" applyFont="1" applyFill="1" applyBorder="1" applyAlignment="1">
      <alignment horizontal="center" vertical="center" wrapText="1"/>
    </xf>
    <xf numFmtId="0" fontId="22" fillId="0" borderId="0" xfId="0" applyFont="1" applyFill="1" applyBorder="1"/>
    <xf numFmtId="3" fontId="27" fillId="0" borderId="0" xfId="0" applyNumberFormat="1" applyFont="1" applyFill="1" applyBorder="1"/>
    <xf numFmtId="164" fontId="57" fillId="0" borderId="0" xfId="1" applyNumberFormat="1" applyFont="1" applyFill="1" applyBorder="1" applyAlignment="1" applyProtection="1">
      <alignment vertical="center"/>
    </xf>
    <xf numFmtId="3" fontId="51" fillId="0" borderId="0" xfId="0" applyNumberFormat="1" applyFont="1" applyFill="1" applyBorder="1" applyAlignment="1">
      <alignment horizontal="center" vertical="center"/>
    </xf>
    <xf numFmtId="164" fontId="54" fillId="0" borderId="0" xfId="1" applyNumberFormat="1" applyFont="1" applyFill="1" applyBorder="1" applyAlignment="1" applyProtection="1">
      <alignment vertical="center"/>
    </xf>
    <xf numFmtId="3" fontId="54" fillId="0" borderId="0" xfId="0" applyNumberFormat="1" applyFont="1" applyFill="1" applyBorder="1" applyAlignment="1">
      <alignment horizontal="center" vertical="center"/>
    </xf>
    <xf numFmtId="164" fontId="86" fillId="0" borderId="0" xfId="0" applyNumberFormat="1" applyFont="1"/>
    <xf numFmtId="164" fontId="86" fillId="3" borderId="0" xfId="0" applyNumberFormat="1" applyFont="1" applyFill="1"/>
    <xf numFmtId="164" fontId="0" fillId="0" borderId="0" xfId="0" applyNumberFormat="1"/>
    <xf numFmtId="164" fontId="84" fillId="0" borderId="0" xfId="0" applyNumberFormat="1" applyFont="1"/>
    <xf numFmtId="1" fontId="77" fillId="3" borderId="0" xfId="0" applyNumberFormat="1" applyFont="1" applyFill="1"/>
    <xf numFmtId="1" fontId="66" fillId="3" borderId="0" xfId="0" applyNumberFormat="1" applyFont="1" applyFill="1"/>
    <xf numFmtId="1" fontId="79" fillId="3" borderId="0" xfId="0" applyNumberFormat="1" applyFont="1" applyFill="1"/>
    <xf numFmtId="1" fontId="80" fillId="3" borderId="0" xfId="0" applyNumberFormat="1" applyFont="1" applyFill="1"/>
    <xf numFmtId="1" fontId="80" fillId="7" borderId="48" xfId="0" applyNumberFormat="1" applyFont="1" applyFill="1" applyBorder="1"/>
    <xf numFmtId="1" fontId="82" fillId="2" borderId="47" xfId="0" applyNumberFormat="1" applyFont="1" applyFill="1" applyBorder="1"/>
    <xf numFmtId="1" fontId="82" fillId="2" borderId="8" xfId="0" applyNumberFormat="1" applyFont="1" applyFill="1" applyBorder="1"/>
    <xf numFmtId="1" fontId="85" fillId="6" borderId="47" xfId="0" applyNumberFormat="1" applyFont="1" applyFill="1" applyBorder="1" applyAlignment="1">
      <alignment horizontal="left"/>
    </xf>
    <xf numFmtId="1" fontId="85" fillId="6" borderId="8" xfId="0" applyNumberFormat="1" applyFont="1" applyFill="1" applyBorder="1"/>
    <xf numFmtId="1" fontId="85" fillId="6" borderId="8" xfId="0" applyNumberFormat="1" applyFont="1" applyFill="1" applyBorder="1" applyAlignment="1">
      <alignment horizontal="left"/>
    </xf>
    <xf numFmtId="1" fontId="85" fillId="6" borderId="5" xfId="0" applyNumberFormat="1" applyFont="1" applyFill="1" applyBorder="1" applyAlignment="1">
      <alignment horizontal="left"/>
    </xf>
    <xf numFmtId="1" fontId="85" fillId="15" borderId="0" xfId="0" applyNumberFormat="1" applyFont="1" applyFill="1" applyBorder="1" applyAlignment="1">
      <alignment horizontal="left"/>
    </xf>
    <xf numFmtId="1" fontId="50" fillId="3" borderId="0" xfId="0" applyNumberFormat="1" applyFont="1" applyFill="1"/>
    <xf numFmtId="1" fontId="87" fillId="3" borderId="0" xfId="0" applyNumberFormat="1" applyFont="1" applyFill="1"/>
    <xf numFmtId="1" fontId="50" fillId="0" borderId="0" xfId="0" applyNumberFormat="1" applyFont="1"/>
    <xf numFmtId="1" fontId="66" fillId="0" borderId="0" xfId="0" applyNumberFormat="1" applyFont="1"/>
    <xf numFmtId="1" fontId="0" fillId="0" borderId="0" xfId="0" applyNumberFormat="1"/>
    <xf numFmtId="0" fontId="104" fillId="0" borderId="0" xfId="0" applyFont="1"/>
    <xf numFmtId="0" fontId="68" fillId="3" borderId="0" xfId="0" applyFont="1" applyFill="1" applyAlignment="1">
      <alignment horizontal="left" vertical="center"/>
    </xf>
    <xf numFmtId="0" fontId="33" fillId="8" borderId="0" xfId="0" applyFont="1" applyFill="1" applyBorder="1" applyAlignment="1">
      <alignment horizontal="left" wrapText="1"/>
    </xf>
    <xf numFmtId="164" fontId="54" fillId="0" borderId="0" xfId="0" applyNumberFormat="1" applyFont="1" applyFill="1" applyBorder="1" applyAlignment="1">
      <alignment horizontal="center" vertical="center" wrapText="1"/>
    </xf>
    <xf numFmtId="164" fontId="54" fillId="0" borderId="0" xfId="0" applyNumberFormat="1" applyFont="1" applyFill="1" applyBorder="1" applyAlignment="1">
      <alignment horizontal="center"/>
    </xf>
    <xf numFmtId="164" fontId="54" fillId="0" borderId="44" xfId="0" applyNumberFormat="1" applyFont="1" applyFill="1" applyBorder="1" applyAlignment="1">
      <alignment horizontal="center" vertical="center" wrapText="1"/>
    </xf>
    <xf numFmtId="164" fontId="54" fillId="0" borderId="5" xfId="0" applyNumberFormat="1" applyFont="1" applyFill="1" applyBorder="1" applyAlignment="1">
      <alignment horizontal="center" vertical="center" wrapText="1"/>
    </xf>
    <xf numFmtId="0" fontId="7" fillId="5" borderId="44" xfId="0" applyFont="1" applyFill="1" applyBorder="1" applyAlignment="1">
      <alignment horizontal="center" vertical="center" textRotation="90"/>
    </xf>
    <xf numFmtId="0" fontId="7" fillId="5" borderId="45" xfId="0" applyFont="1" applyFill="1" applyBorder="1" applyAlignment="1">
      <alignment horizontal="center" vertical="center" textRotation="90"/>
    </xf>
    <xf numFmtId="0" fontId="7" fillId="5" borderId="46" xfId="0" applyFont="1" applyFill="1" applyBorder="1" applyAlignment="1">
      <alignment horizontal="center" vertical="center" textRotation="90"/>
    </xf>
    <xf numFmtId="164" fontId="19" fillId="22" borderId="44" xfId="5" applyNumberFormat="1" applyFont="1" applyFill="1" applyBorder="1" applyAlignment="1">
      <alignment horizontal="center" vertical="center" wrapText="1"/>
    </xf>
    <xf numFmtId="164" fontId="19" fillId="22" borderId="46" xfId="5" applyNumberFormat="1" applyFont="1" applyFill="1" applyBorder="1" applyAlignment="1">
      <alignment horizontal="center" vertical="center" wrapText="1"/>
    </xf>
    <xf numFmtId="164" fontId="56" fillId="12" borderId="52" xfId="0" applyNumberFormat="1" applyFont="1" applyFill="1" applyBorder="1" applyAlignment="1">
      <alignment horizontal="center"/>
    </xf>
    <xf numFmtId="164" fontId="19" fillId="23" borderId="44" xfId="5" applyNumberFormat="1" applyFont="1" applyFill="1" applyBorder="1" applyAlignment="1">
      <alignment horizontal="center" vertical="center" wrapText="1"/>
    </xf>
    <xf numFmtId="164" fontId="19" fillId="23" borderId="46" xfId="5" applyNumberFormat="1" applyFont="1" applyFill="1" applyBorder="1" applyAlignment="1">
      <alignment horizontal="center" vertical="center" wrapText="1"/>
    </xf>
    <xf numFmtId="164" fontId="54" fillId="16" borderId="47" xfId="0" applyNumberFormat="1" applyFont="1" applyFill="1" applyBorder="1" applyAlignment="1">
      <alignment horizontal="center"/>
    </xf>
    <xf numFmtId="164" fontId="54" fillId="16" borderId="2" xfId="0" applyNumberFormat="1" applyFont="1" applyFill="1" applyBorder="1" applyAlignment="1">
      <alignment horizontal="center"/>
    </xf>
    <xf numFmtId="164" fontId="54" fillId="16" borderId="49" xfId="0" applyNumberFormat="1" applyFont="1" applyFill="1" applyBorder="1" applyAlignment="1">
      <alignment horizontal="center"/>
    </xf>
    <xf numFmtId="164" fontId="54" fillId="17" borderId="48" xfId="0" applyNumberFormat="1" applyFont="1" applyFill="1" applyBorder="1" applyAlignment="1">
      <alignment horizontal="center"/>
    </xf>
    <xf numFmtId="164" fontId="54" fillId="17" borderId="52" xfId="0" applyNumberFormat="1" applyFont="1" applyFill="1" applyBorder="1" applyAlignment="1">
      <alignment horizontal="center"/>
    </xf>
    <xf numFmtId="164" fontId="54" fillId="17" borderId="54" xfId="0" applyNumberFormat="1" applyFont="1" applyFill="1" applyBorder="1" applyAlignment="1">
      <alignment horizontal="center"/>
    </xf>
    <xf numFmtId="164" fontId="19" fillId="5" borderId="44" xfId="5" applyNumberFormat="1" applyFont="1" applyFill="1" applyBorder="1" applyAlignment="1">
      <alignment horizontal="center" vertical="center" wrapText="1"/>
    </xf>
    <xf numFmtId="164" fontId="19" fillId="5" borderId="46" xfId="5" applyNumberFormat="1" applyFont="1" applyFill="1" applyBorder="1" applyAlignment="1">
      <alignment horizontal="center" vertical="center" wrapText="1"/>
    </xf>
    <xf numFmtId="164" fontId="19" fillId="3" borderId="44" xfId="5" applyNumberFormat="1" applyFont="1" applyFill="1" applyBorder="1" applyAlignment="1">
      <alignment horizontal="center" vertical="center" wrapText="1"/>
    </xf>
    <xf numFmtId="164" fontId="19" fillId="3" borderId="46" xfId="5" applyNumberFormat="1" applyFont="1" applyFill="1" applyBorder="1" applyAlignment="1">
      <alignment horizontal="center" vertical="center" wrapText="1"/>
    </xf>
    <xf numFmtId="0" fontId="103" fillId="20" borderId="41" xfId="0" applyFont="1" applyFill="1" applyBorder="1" applyAlignment="1">
      <alignment horizontal="left" vertical="center" wrapText="1"/>
    </xf>
    <xf numFmtId="0" fontId="103" fillId="20" borderId="43" xfId="0" applyFont="1" applyFill="1" applyBorder="1" applyAlignment="1">
      <alignment horizontal="left" vertical="center" wrapText="1"/>
    </xf>
    <xf numFmtId="0" fontId="103" fillId="20" borderId="102" xfId="0" applyFont="1" applyFill="1" applyBorder="1" applyAlignment="1">
      <alignment horizontal="left" vertical="center" wrapText="1"/>
    </xf>
    <xf numFmtId="0" fontId="96" fillId="3" borderId="0" xfId="0" applyFont="1" applyFill="1" applyBorder="1" applyAlignment="1">
      <alignment horizontal="left" wrapText="1"/>
    </xf>
    <xf numFmtId="0" fontId="91" fillId="3" borderId="0" xfId="0" applyFont="1" applyFill="1" applyAlignment="1">
      <alignment horizontal="center"/>
    </xf>
    <xf numFmtId="0" fontId="93" fillId="3" borderId="0" xfId="0" applyFont="1" applyFill="1" applyAlignment="1">
      <alignment horizontal="center"/>
    </xf>
    <xf numFmtId="0" fontId="28" fillId="24" borderId="0" xfId="0" applyFont="1" applyFill="1" applyAlignment="1">
      <alignment horizontal="left"/>
    </xf>
    <xf numFmtId="0" fontId="29" fillId="3" borderId="0" xfId="0" applyFont="1" applyFill="1" applyAlignment="1">
      <alignment horizontal="center"/>
    </xf>
    <xf numFmtId="0" fontId="28" fillId="3" borderId="0" xfId="0" applyFont="1" applyFill="1" applyAlignment="1">
      <alignment horizontal="left"/>
    </xf>
    <xf numFmtId="0" fontId="0" fillId="3" borderId="104" xfId="0" applyNumberFormat="1" applyFill="1" applyBorder="1" applyAlignment="1">
      <alignment horizontal="center"/>
    </xf>
    <xf numFmtId="0" fontId="0" fillId="3" borderId="98" xfId="0" applyNumberFormat="1" applyFill="1" applyBorder="1" applyAlignment="1">
      <alignment horizontal="center"/>
    </xf>
    <xf numFmtId="0" fontId="0" fillId="3" borderId="116" xfId="0" applyNumberFormat="1" applyFill="1" applyBorder="1" applyAlignment="1">
      <alignment horizontal="center"/>
    </xf>
    <xf numFmtId="0" fontId="0" fillId="3" borderId="47" xfId="0" applyNumberFormat="1" applyFill="1" applyBorder="1" applyAlignment="1">
      <alignment horizontal="center" textRotation="90"/>
    </xf>
    <xf numFmtId="0" fontId="0" fillId="3" borderId="8" xfId="0" applyNumberFormat="1" applyFill="1" applyBorder="1" applyAlignment="1">
      <alignment horizontal="center" textRotation="90"/>
    </xf>
    <xf numFmtId="0" fontId="0" fillId="3" borderId="5" xfId="0" applyNumberFormat="1" applyFill="1" applyBorder="1" applyAlignment="1">
      <alignment horizontal="center" textRotation="90"/>
    </xf>
    <xf numFmtId="0" fontId="0" fillId="3" borderId="44" xfId="0" applyNumberFormat="1" applyFill="1" applyBorder="1" applyAlignment="1">
      <alignment horizontal="center" textRotation="90"/>
    </xf>
    <xf numFmtId="0" fontId="0" fillId="3" borderId="45" xfId="0" applyNumberFormat="1" applyFill="1" applyBorder="1" applyAlignment="1">
      <alignment horizontal="center" textRotation="90"/>
    </xf>
    <xf numFmtId="0" fontId="0" fillId="3" borderId="46" xfId="0" applyNumberFormat="1" applyFill="1" applyBorder="1" applyAlignment="1">
      <alignment horizontal="center" textRotation="90"/>
    </xf>
  </cellXfs>
  <cellStyles count="27">
    <cellStyle name="Hipervínculo" xfId="1" builtinId="8"/>
    <cellStyle name="Millares [0]_Cuadro1" xfId="2"/>
    <cellStyle name="Millares [0]_CUADRO11" xfId="3"/>
    <cellStyle name="Millares [0]_CUADRO3" xfId="4"/>
    <cellStyle name="Normal" xfId="0" builtinId="0"/>
    <cellStyle name="Normal_ANEXOA1-1" xfId="5"/>
    <cellStyle name="Normal_ANEXOA1-2" xfId="6"/>
    <cellStyle name="Normal_BALEE_97" xfId="7"/>
    <cellStyle name="Normal_Cuadro1" xfId="8"/>
    <cellStyle name="Normal_CUADRO10" xfId="9"/>
    <cellStyle name="Normal_CUADRO11" xfId="10"/>
    <cellStyle name="Normal_CUADRO12" xfId="11"/>
    <cellStyle name="Normal_CUADRO13" xfId="12"/>
    <cellStyle name="Normal_CUADRO14" xfId="13"/>
    <cellStyle name="Normal_Cuadro15" xfId="14"/>
    <cellStyle name="Normal_CUADRO16" xfId="15"/>
    <cellStyle name="Normal_CUADRO17" xfId="16"/>
    <cellStyle name="Normal_CUADRO18" xfId="17"/>
    <cellStyle name="Normal_CUADRO2" xfId="18"/>
    <cellStyle name="Normal_Cuadro4" xfId="19"/>
    <cellStyle name="Normal_Cuadro5" xfId="20"/>
    <cellStyle name="Normal_CUADRO6" xfId="21"/>
    <cellStyle name="Normal_CUADRO7" xfId="22"/>
    <cellStyle name="Normal_CUADRO8" xfId="23"/>
    <cellStyle name="Normal_Cuadroa2" xfId="24"/>
    <cellStyle name="Normal_CUADROA3" xfId="25"/>
    <cellStyle name="Porcentaje" xfId="26"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emf"/></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1</xdr:col>
      <xdr:colOff>76200</xdr:colOff>
      <xdr:row>1</xdr:row>
      <xdr:rowOff>57150</xdr:rowOff>
    </xdr:from>
    <xdr:to>
      <xdr:col>2</xdr:col>
      <xdr:colOff>1638300</xdr:colOff>
      <xdr:row>10</xdr:row>
      <xdr:rowOff>361950</xdr:rowOff>
    </xdr:to>
    <xdr:pic>
      <xdr:nvPicPr>
        <xdr:cNvPr id="5123" name="Picture 2" descr="MINENERGIA - Alta Vertical"/>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0025" y="295275"/>
          <a:ext cx="1704975" cy="2266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104775</xdr:colOff>
      <xdr:row>0</xdr:row>
      <xdr:rowOff>57150</xdr:rowOff>
    </xdr:from>
    <xdr:to>
      <xdr:col>8</xdr:col>
      <xdr:colOff>180975</xdr:colOff>
      <xdr:row>72</xdr:row>
      <xdr:rowOff>38100</xdr:rowOff>
    </xdr:to>
    <xdr:pic>
      <xdr:nvPicPr>
        <xdr:cNvPr id="1048" name="Picture 23"/>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4775" y="57150"/>
          <a:ext cx="5591175" cy="1167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38100</xdr:colOff>
      <xdr:row>7</xdr:row>
      <xdr:rowOff>133350</xdr:rowOff>
    </xdr:from>
    <xdr:to>
      <xdr:col>23</xdr:col>
      <xdr:colOff>704850</xdr:colOff>
      <xdr:row>77</xdr:row>
      <xdr:rowOff>0</xdr:rowOff>
    </xdr:to>
    <xdr:pic>
      <xdr:nvPicPr>
        <xdr:cNvPr id="7172" name="Picture 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1000" y="1905000"/>
          <a:ext cx="17430750" cy="11201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3"/>
  <sheetViews>
    <sheetView zoomScale="85" workbookViewId="0"/>
  </sheetViews>
  <sheetFormatPr baseColWidth="10" defaultRowHeight="12.75"/>
  <cols>
    <col min="1" max="1" width="1.85546875" style="3" customWidth="1"/>
    <col min="2" max="2" width="2.140625" style="3" customWidth="1"/>
    <col min="3" max="3" width="98.42578125" style="3" customWidth="1"/>
    <col min="4" max="4" width="1.85546875" style="3" customWidth="1"/>
    <col min="5" max="16384" width="11.42578125" style="3"/>
  </cols>
  <sheetData>
    <row r="1" spans="1:5" ht="18.75" thickBot="1">
      <c r="A1" s="62"/>
      <c r="B1" s="62"/>
      <c r="C1" s="206"/>
      <c r="D1" s="207"/>
      <c r="E1" s="62"/>
    </row>
    <row r="2" spans="1:5" ht="16.5" thickTop="1">
      <c r="A2" s="62"/>
      <c r="B2" s="208"/>
      <c r="C2" s="209"/>
      <c r="D2" s="147"/>
      <c r="E2" s="62"/>
    </row>
    <row r="3" spans="1:5" ht="15.75">
      <c r="A3" s="62"/>
      <c r="B3" s="210"/>
      <c r="C3" s="211"/>
      <c r="D3" s="147"/>
      <c r="E3" s="62"/>
    </row>
    <row r="4" spans="1:5" ht="15.75">
      <c r="A4" s="62"/>
      <c r="B4" s="210"/>
      <c r="C4" s="211"/>
      <c r="D4" s="210"/>
      <c r="E4" s="62"/>
    </row>
    <row r="5" spans="1:5" ht="15.75">
      <c r="A5" s="62"/>
      <c r="B5" s="212"/>
      <c r="D5" s="210"/>
      <c r="E5" s="62"/>
    </row>
    <row r="6" spans="1:5" ht="14.25">
      <c r="A6" s="62"/>
      <c r="B6" s="212"/>
      <c r="D6" s="212"/>
      <c r="E6" s="62"/>
    </row>
    <row r="7" spans="1:5" ht="33.75">
      <c r="A7" s="62"/>
      <c r="B7" s="212"/>
      <c r="C7" s="214"/>
      <c r="D7" s="147"/>
      <c r="E7" s="62"/>
    </row>
    <row r="8" spans="1:5" ht="14.25">
      <c r="A8" s="62"/>
      <c r="B8" s="212"/>
      <c r="C8" s="215"/>
      <c r="D8" s="147"/>
      <c r="E8" s="62"/>
    </row>
    <row r="9" spans="1:5" ht="14.25">
      <c r="A9" s="62"/>
      <c r="B9" s="212"/>
      <c r="C9" s="215"/>
      <c r="D9" s="147"/>
      <c r="E9" s="62"/>
    </row>
    <row r="10" spans="1:5" ht="14.25">
      <c r="A10" s="62"/>
      <c r="B10" s="212"/>
      <c r="C10" s="215"/>
      <c r="D10" s="147"/>
      <c r="E10" s="62"/>
    </row>
    <row r="11" spans="1:5" ht="33.75">
      <c r="A11" s="62"/>
      <c r="B11" s="212"/>
      <c r="C11" s="213" t="s">
        <v>503</v>
      </c>
      <c r="D11" s="147"/>
      <c r="E11" s="62"/>
    </row>
    <row r="12" spans="1:5" ht="33.75">
      <c r="A12" s="62"/>
      <c r="B12" s="212"/>
      <c r="C12" s="213" t="s">
        <v>504</v>
      </c>
      <c r="D12" s="147"/>
      <c r="E12" s="62"/>
    </row>
    <row r="13" spans="1:5" ht="26.25">
      <c r="A13" s="62"/>
      <c r="B13" s="212"/>
      <c r="C13" s="221">
        <v>2009</v>
      </c>
      <c r="D13" s="147"/>
      <c r="E13" s="62"/>
    </row>
    <row r="14" spans="1:5" ht="30">
      <c r="A14" s="62"/>
      <c r="B14" s="212"/>
      <c r="C14" s="216"/>
      <c r="D14" s="147"/>
      <c r="E14" s="62"/>
    </row>
    <row r="15" spans="1:5" ht="30">
      <c r="A15" s="62"/>
      <c r="B15" s="212"/>
      <c r="C15" s="216"/>
      <c r="D15" s="147"/>
      <c r="E15" s="62"/>
    </row>
    <row r="16" spans="1:5" ht="30">
      <c r="A16" s="62"/>
      <c r="B16" s="212"/>
      <c r="C16" s="216"/>
      <c r="D16" s="147"/>
      <c r="E16" s="62"/>
    </row>
    <row r="17" spans="1:5" ht="30">
      <c r="A17" s="62"/>
      <c r="B17" s="212"/>
      <c r="C17" s="216"/>
      <c r="D17" s="147"/>
      <c r="E17" s="62"/>
    </row>
    <row r="18" spans="1:5" ht="18">
      <c r="A18" s="62"/>
      <c r="B18" s="217"/>
      <c r="C18" s="218"/>
      <c r="D18" s="147"/>
      <c r="E18" s="62"/>
    </row>
    <row r="19" spans="1:5" ht="18">
      <c r="A19" s="62"/>
      <c r="B19" s="217"/>
      <c r="C19" s="218" t="s">
        <v>505</v>
      </c>
      <c r="D19" s="147"/>
      <c r="E19" s="62"/>
    </row>
    <row r="20" spans="1:5" ht="18">
      <c r="A20" s="62"/>
      <c r="B20" s="217"/>
      <c r="C20" s="218">
        <v>2010</v>
      </c>
      <c r="D20" s="147"/>
      <c r="E20" s="62"/>
    </row>
    <row r="21" spans="1:5" ht="15" thickBot="1">
      <c r="A21" s="62"/>
      <c r="B21" s="219"/>
      <c r="C21" s="220"/>
      <c r="D21" s="147"/>
      <c r="E21" s="62"/>
    </row>
    <row r="22" spans="1:5" ht="13.5" thickTop="1">
      <c r="A22" s="62"/>
      <c r="B22" s="147"/>
      <c r="C22" s="147"/>
      <c r="D22" s="147"/>
      <c r="E22" s="147"/>
    </row>
    <row r="23" spans="1:5">
      <c r="A23" s="62"/>
      <c r="B23" s="62"/>
      <c r="C23" s="62"/>
      <c r="D23" s="207"/>
      <c r="E23" s="62"/>
    </row>
  </sheetData>
  <phoneticPr fontId="0" type="noConversion"/>
  <pageMargins left="0.75" right="0.75" top="1" bottom="1" header="0" footer="0"/>
  <headerFooter alignWithMargins="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5:J6"/>
  <sheetViews>
    <sheetView workbookViewId="0">
      <selection activeCell="K38" sqref="K38"/>
    </sheetView>
  </sheetViews>
  <sheetFormatPr baseColWidth="10" defaultRowHeight="12.75"/>
  <cols>
    <col min="1" max="1" width="2.7109375" style="3" customWidth="1"/>
    <col min="2" max="16384" width="11.42578125" style="3"/>
  </cols>
  <sheetData>
    <row r="5" spans="2:10">
      <c r="J5" s="527" t="s">
        <v>606</v>
      </c>
    </row>
    <row r="6" spans="2:10" ht="15.75">
      <c r="B6" s="256"/>
    </row>
  </sheetData>
  <phoneticPr fontId="0" type="noConversion"/>
  <hyperlinks>
    <hyperlink ref="J5" location="INDICE!A1" display="VOLVER A INDICE"/>
  </hyperlinks>
  <pageMargins left="0.75" right="0.75" top="1" bottom="1" header="0" footer="0"/>
  <pageSetup paperSize="9" scale="74" orientation="portrait"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4"/>
  <sheetViews>
    <sheetView workbookViewId="0">
      <selection activeCell="L15" sqref="L15"/>
    </sheetView>
  </sheetViews>
  <sheetFormatPr baseColWidth="10" defaultRowHeight="12.75"/>
  <cols>
    <col min="1" max="1" width="4.42578125" style="3" customWidth="1"/>
    <col min="2" max="5" width="11.42578125" style="3"/>
    <col min="6" max="6" width="5.28515625" style="3" customWidth="1"/>
    <col min="7" max="16384" width="11.42578125" style="3"/>
  </cols>
  <sheetData>
    <row r="1" spans="1:9">
      <c r="A1" s="410"/>
      <c r="B1" s="410"/>
      <c r="C1" s="410"/>
      <c r="D1" s="410"/>
      <c r="E1" s="410"/>
      <c r="F1" s="410"/>
      <c r="G1" s="410"/>
      <c r="H1" s="410"/>
      <c r="I1" s="410"/>
    </row>
    <row r="2" spans="1:9" ht="25.5">
      <c r="A2" s="410"/>
      <c r="B2" s="410"/>
      <c r="C2" s="410"/>
      <c r="D2" s="555" t="s">
        <v>605</v>
      </c>
      <c r="E2" s="556"/>
      <c r="F2" s="556"/>
      <c r="G2" s="556"/>
      <c r="H2" s="556"/>
      <c r="I2" s="556"/>
    </row>
    <row r="3" spans="1:9" ht="25.5">
      <c r="A3" s="410"/>
      <c r="B3" s="988" t="s">
        <v>10</v>
      </c>
      <c r="C3" s="410"/>
      <c r="D3" s="555"/>
      <c r="E3" s="556"/>
      <c r="F3" s="556"/>
      <c r="G3" s="252" t="s">
        <v>5</v>
      </c>
      <c r="H3" s="556"/>
      <c r="I3" s="556"/>
    </row>
    <row r="4" spans="1:9" ht="14.25" customHeight="1">
      <c r="A4" s="556"/>
      <c r="B4" s="556"/>
      <c r="C4" s="556"/>
      <c r="D4" s="556"/>
      <c r="E4" s="556"/>
      <c r="F4" s="556"/>
      <c r="G4" s="556"/>
      <c r="H4" s="556"/>
      <c r="I4" s="556"/>
    </row>
    <row r="5" spans="1:9" ht="14.25" customHeight="1" thickBot="1">
      <c r="A5" s="556"/>
      <c r="B5" s="989" t="s">
        <v>608</v>
      </c>
      <c r="C5" s="990"/>
      <c r="D5" s="990"/>
      <c r="E5" s="990"/>
      <c r="F5" s="558"/>
      <c r="G5" s="558"/>
      <c r="H5" s="558"/>
      <c r="I5" s="558"/>
    </row>
    <row r="6" spans="1:9" s="983" customFormat="1" ht="24" customHeight="1" thickTop="1">
      <c r="A6" s="980"/>
      <c r="B6" s="980" t="s">
        <v>641</v>
      </c>
      <c r="C6" s="980"/>
      <c r="D6" s="980"/>
      <c r="E6" s="980"/>
      <c r="F6" s="980"/>
      <c r="G6" s="981" t="s">
        <v>603</v>
      </c>
      <c r="H6" s="982"/>
      <c r="I6" s="982"/>
    </row>
    <row r="7" spans="1:9" s="983" customFormat="1" ht="24" customHeight="1">
      <c r="A7" s="982"/>
      <c r="B7" s="982" t="s">
        <v>642</v>
      </c>
      <c r="C7" s="982"/>
      <c r="D7" s="982"/>
      <c r="E7" s="982"/>
      <c r="F7" s="982"/>
      <c r="G7" s="981" t="s">
        <v>604</v>
      </c>
      <c r="H7" s="982"/>
      <c r="I7" s="982"/>
    </row>
    <row r="8" spans="1:9" s="983" customFormat="1" ht="24" customHeight="1">
      <c r="A8" s="982"/>
      <c r="B8" s="982" t="s">
        <v>783</v>
      </c>
      <c r="C8" s="982"/>
      <c r="D8" s="982"/>
      <c r="E8" s="982"/>
      <c r="F8" s="982"/>
      <c r="G8" s="981" t="s">
        <v>607</v>
      </c>
      <c r="H8" s="982"/>
      <c r="I8" s="982"/>
    </row>
    <row r="9" spans="1:9" s="983" customFormat="1" ht="24" customHeight="1">
      <c r="A9" s="982"/>
      <c r="B9" s="982" t="s">
        <v>784</v>
      </c>
      <c r="C9" s="982"/>
      <c r="D9" s="982"/>
      <c r="E9" s="982"/>
      <c r="F9" s="982"/>
      <c r="G9" s="981" t="s">
        <v>609</v>
      </c>
      <c r="H9" s="982"/>
      <c r="I9" s="982"/>
    </row>
    <row r="10" spans="1:9" s="983" customFormat="1" ht="24" customHeight="1">
      <c r="A10" s="982"/>
      <c r="B10" s="982" t="s">
        <v>785</v>
      </c>
      <c r="C10" s="982"/>
      <c r="D10" s="982"/>
      <c r="E10" s="982"/>
      <c r="F10" s="982"/>
      <c r="G10" s="981" t="s">
        <v>610</v>
      </c>
      <c r="H10" s="982"/>
      <c r="I10" s="982"/>
    </row>
    <row r="11" spans="1:9" s="983" customFormat="1" ht="24" customHeight="1">
      <c r="A11" s="982"/>
      <c r="B11" s="982" t="s">
        <v>786</v>
      </c>
      <c r="C11" s="982"/>
      <c r="D11" s="982"/>
      <c r="E11" s="982"/>
      <c r="F11" s="982"/>
      <c r="G11" s="981" t="s">
        <v>611</v>
      </c>
      <c r="H11" s="982"/>
      <c r="I11" s="982"/>
    </row>
    <row r="12" spans="1:9" s="983" customFormat="1" ht="24" customHeight="1">
      <c r="A12" s="982"/>
      <c r="B12" s="982" t="s">
        <v>787</v>
      </c>
      <c r="C12" s="982"/>
      <c r="D12" s="982"/>
      <c r="E12" s="982"/>
      <c r="F12" s="982"/>
      <c r="G12" s="981" t="s">
        <v>612</v>
      </c>
      <c r="H12" s="982"/>
      <c r="I12" s="982"/>
    </row>
    <row r="13" spans="1:9" s="983" customFormat="1" ht="24" customHeight="1">
      <c r="A13" s="982"/>
      <c r="B13" s="982" t="s">
        <v>788</v>
      </c>
      <c r="C13" s="982"/>
      <c r="D13" s="982"/>
      <c r="E13" s="982"/>
      <c r="F13" s="982"/>
      <c r="G13" s="981" t="s">
        <v>613</v>
      </c>
      <c r="H13" s="982"/>
      <c r="I13" s="982"/>
    </row>
    <row r="14" spans="1:9" s="983" customFormat="1" ht="24" customHeight="1">
      <c r="A14" s="984"/>
      <c r="B14" s="982" t="s">
        <v>789</v>
      </c>
      <c r="C14" s="982"/>
      <c r="D14" s="982"/>
      <c r="E14" s="982"/>
      <c r="F14" s="982"/>
      <c r="G14" s="981" t="s">
        <v>614</v>
      </c>
      <c r="H14" s="982"/>
      <c r="I14" s="982"/>
    </row>
    <row r="15" spans="1:9" s="983" customFormat="1" ht="24" customHeight="1">
      <c r="A15" s="982"/>
      <c r="B15" s="982" t="s">
        <v>790</v>
      </c>
      <c r="C15" s="982"/>
      <c r="D15" s="982"/>
      <c r="E15" s="982"/>
      <c r="F15" s="982"/>
      <c r="G15" s="981" t="s">
        <v>615</v>
      </c>
      <c r="H15" s="982"/>
      <c r="I15" s="982"/>
    </row>
    <row r="16" spans="1:9" s="983" customFormat="1" ht="24" customHeight="1">
      <c r="A16" s="982"/>
      <c r="B16" s="982" t="s">
        <v>791</v>
      </c>
      <c r="C16" s="982"/>
      <c r="D16" s="982"/>
      <c r="E16" s="982"/>
      <c r="F16" s="982"/>
      <c r="G16" s="981" t="s">
        <v>617</v>
      </c>
      <c r="H16" s="982"/>
      <c r="I16" s="982"/>
    </row>
    <row r="17" spans="1:9" s="983" customFormat="1" ht="24" customHeight="1">
      <c r="A17" s="982"/>
      <c r="B17" s="985" t="s">
        <v>792</v>
      </c>
      <c r="C17" s="985"/>
      <c r="D17" s="982"/>
      <c r="E17" s="982"/>
      <c r="F17" s="982"/>
      <c r="G17" s="987" t="s">
        <v>6</v>
      </c>
      <c r="H17" s="982"/>
      <c r="I17" s="982"/>
    </row>
    <row r="18" spans="1:9" s="983" customFormat="1" ht="24" customHeight="1">
      <c r="A18" s="982"/>
      <c r="B18" s="985" t="s">
        <v>793</v>
      </c>
      <c r="C18" s="985"/>
      <c r="D18" s="982"/>
      <c r="E18" s="982"/>
      <c r="F18" s="982"/>
      <c r="G18" s="987" t="s">
        <v>8</v>
      </c>
      <c r="H18" s="982"/>
      <c r="I18" s="982"/>
    </row>
    <row r="19" spans="1:9" s="983" customFormat="1" ht="24" customHeight="1">
      <c r="A19" s="982"/>
      <c r="B19" s="985" t="s">
        <v>794</v>
      </c>
      <c r="C19" s="982"/>
      <c r="D19" s="982"/>
      <c r="E19" s="982"/>
      <c r="F19" s="982"/>
      <c r="G19" s="987" t="s">
        <v>9</v>
      </c>
      <c r="H19" s="982"/>
      <c r="I19" s="982"/>
    </row>
    <row r="20" spans="1:9" s="983" customFormat="1" ht="14.25" customHeight="1">
      <c r="A20" s="982"/>
      <c r="B20" s="982"/>
      <c r="C20" s="982"/>
      <c r="D20" s="982"/>
      <c r="E20" s="982"/>
      <c r="F20" s="982"/>
      <c r="G20" s="981"/>
      <c r="H20" s="982"/>
      <c r="I20" s="982"/>
    </row>
    <row r="21" spans="1:9" s="983" customFormat="1" ht="16.5" thickBot="1">
      <c r="A21" s="982"/>
      <c r="B21" s="991" t="s">
        <v>616</v>
      </c>
      <c r="C21" s="992"/>
      <c r="D21" s="992"/>
      <c r="E21" s="992"/>
      <c r="F21" s="980"/>
      <c r="G21" s="980"/>
      <c r="H21" s="980"/>
      <c r="I21" s="980"/>
    </row>
    <row r="22" spans="1:9" s="983" customFormat="1" ht="13.5" thickTop="1">
      <c r="A22" s="980"/>
      <c r="B22" s="980"/>
      <c r="C22" s="980"/>
      <c r="D22" s="980"/>
      <c r="E22" s="980"/>
      <c r="F22" s="980"/>
      <c r="G22" s="980"/>
      <c r="H22" s="980"/>
      <c r="I22" s="980"/>
    </row>
    <row r="23" spans="1:9" s="983" customFormat="1" ht="21" customHeight="1">
      <c r="A23" s="980"/>
      <c r="B23" s="980" t="s">
        <v>643</v>
      </c>
      <c r="C23" s="980"/>
      <c r="D23" s="980"/>
      <c r="E23" s="980"/>
      <c r="F23" s="980"/>
      <c r="G23" s="981" t="s">
        <v>618</v>
      </c>
      <c r="H23" s="982"/>
      <c r="I23" s="982"/>
    </row>
    <row r="24" spans="1:9" s="983" customFormat="1" ht="21" customHeight="1">
      <c r="A24" s="982"/>
      <c r="B24" s="982" t="s">
        <v>644</v>
      </c>
      <c r="C24" s="982"/>
      <c r="D24" s="982"/>
      <c r="E24" s="982"/>
      <c r="F24" s="982"/>
      <c r="G24" s="981" t="s">
        <v>619</v>
      </c>
      <c r="H24" s="982"/>
      <c r="I24" s="982"/>
    </row>
    <row r="25" spans="1:9" s="983" customFormat="1" ht="21" customHeight="1">
      <c r="A25" s="982"/>
      <c r="B25" s="982" t="s">
        <v>645</v>
      </c>
      <c r="C25" s="982"/>
      <c r="D25" s="982"/>
      <c r="E25" s="982"/>
      <c r="F25" s="982"/>
      <c r="G25" s="981" t="s">
        <v>620</v>
      </c>
      <c r="H25" s="982"/>
      <c r="I25" s="982"/>
    </row>
    <row r="26" spans="1:9" s="983" customFormat="1" ht="21" customHeight="1">
      <c r="A26" s="982"/>
      <c r="B26" s="982" t="s">
        <v>646</v>
      </c>
      <c r="C26" s="982"/>
      <c r="D26" s="982"/>
      <c r="E26" s="982"/>
      <c r="F26" s="982"/>
      <c r="G26" s="981" t="s">
        <v>621</v>
      </c>
      <c r="H26" s="982"/>
      <c r="I26" s="982"/>
    </row>
    <row r="27" spans="1:9" s="983" customFormat="1" ht="21" customHeight="1">
      <c r="A27" s="982"/>
      <c r="B27" s="982" t="s">
        <v>647</v>
      </c>
      <c r="C27" s="982"/>
      <c r="D27" s="982"/>
      <c r="E27" s="982"/>
      <c r="F27" s="982"/>
      <c r="G27" s="981" t="s">
        <v>622</v>
      </c>
      <c r="H27" s="982"/>
      <c r="I27" s="982"/>
    </row>
    <row r="28" spans="1:9" s="983" customFormat="1" ht="21" customHeight="1">
      <c r="A28" s="982"/>
      <c r="B28" s="982" t="s">
        <v>648</v>
      </c>
      <c r="C28" s="982"/>
      <c r="D28" s="982"/>
      <c r="E28" s="982"/>
      <c r="F28" s="982"/>
      <c r="G28" s="981" t="s">
        <v>623</v>
      </c>
      <c r="H28" s="982"/>
      <c r="I28" s="982"/>
    </row>
    <row r="29" spans="1:9" s="983" customFormat="1" ht="21" customHeight="1">
      <c r="A29" s="982"/>
      <c r="B29" s="982" t="s">
        <v>659</v>
      </c>
      <c r="C29" s="982"/>
      <c r="D29" s="982"/>
      <c r="E29" s="982"/>
      <c r="F29" s="982"/>
      <c r="G29" s="981" t="s">
        <v>624</v>
      </c>
      <c r="H29" s="982"/>
      <c r="I29" s="982"/>
    </row>
    <row r="30" spans="1:9" s="983" customFormat="1" ht="21" customHeight="1">
      <c r="A30" s="982"/>
      <c r="B30" s="982" t="s">
        <v>660</v>
      </c>
      <c r="C30" s="982"/>
      <c r="D30" s="982"/>
      <c r="E30" s="982"/>
      <c r="F30" s="982"/>
      <c r="G30" s="981" t="s">
        <v>627</v>
      </c>
      <c r="H30" s="982"/>
      <c r="I30" s="982"/>
    </row>
    <row r="31" spans="1:9" s="983" customFormat="1" ht="21" customHeight="1">
      <c r="A31" s="982"/>
      <c r="B31" s="982" t="s">
        <v>661</v>
      </c>
      <c r="C31" s="982"/>
      <c r="D31" s="982"/>
      <c r="E31" s="982"/>
      <c r="F31" s="982"/>
      <c r="G31" s="981" t="s">
        <v>628</v>
      </c>
      <c r="H31" s="982"/>
      <c r="I31" s="982"/>
    </row>
    <row r="32" spans="1:9" s="983" customFormat="1" ht="21" customHeight="1">
      <c r="A32" s="982"/>
      <c r="B32" s="985" t="s">
        <v>11</v>
      </c>
      <c r="C32" s="982"/>
      <c r="D32" s="982"/>
      <c r="E32" s="982"/>
      <c r="F32" s="982"/>
      <c r="G32" s="987" t="s">
        <v>12</v>
      </c>
      <c r="H32" s="982"/>
      <c r="I32" s="982"/>
    </row>
    <row r="33" spans="1:9" s="983" customFormat="1">
      <c r="A33" s="982"/>
      <c r="B33" s="982"/>
      <c r="C33" s="982"/>
      <c r="D33" s="982"/>
      <c r="E33" s="982"/>
      <c r="F33" s="982"/>
      <c r="G33" s="982"/>
      <c r="H33" s="982"/>
      <c r="I33" s="982"/>
    </row>
    <row r="34" spans="1:9" s="983" customFormat="1" ht="16.5" thickBot="1">
      <c r="A34" s="982"/>
      <c r="B34" s="991" t="s">
        <v>625</v>
      </c>
      <c r="C34" s="993"/>
      <c r="D34" s="992"/>
      <c r="E34" s="992"/>
      <c r="F34" s="980"/>
      <c r="G34" s="980"/>
      <c r="H34" s="980"/>
      <c r="I34" s="980"/>
    </row>
    <row r="35" spans="1:9" s="983" customFormat="1" ht="13.5" thickTop="1">
      <c r="A35" s="980"/>
      <c r="B35" s="980"/>
      <c r="C35" s="980"/>
      <c r="D35" s="980"/>
      <c r="E35" s="980"/>
      <c r="F35" s="980"/>
      <c r="G35" s="980"/>
      <c r="H35" s="980"/>
      <c r="I35" s="980"/>
    </row>
    <row r="36" spans="1:9" s="983" customFormat="1" ht="28.5" customHeight="1">
      <c r="A36" s="980"/>
      <c r="B36" s="1388" t="s">
        <v>626</v>
      </c>
      <c r="C36" s="1388"/>
      <c r="D36" s="1388"/>
      <c r="E36" s="1388"/>
      <c r="F36" s="980"/>
      <c r="G36" s="981" t="s">
        <v>662</v>
      </c>
      <c r="H36" s="982"/>
      <c r="I36" s="982"/>
    </row>
    <row r="37" spans="1:9" s="983" customFormat="1">
      <c r="A37" s="982"/>
      <c r="B37" s="982"/>
      <c r="C37" s="982"/>
      <c r="D37" s="982"/>
      <c r="E37" s="982"/>
      <c r="F37" s="982"/>
      <c r="G37" s="982"/>
      <c r="H37" s="982"/>
      <c r="I37" s="982"/>
    </row>
    <row r="38" spans="1:9" s="983" customFormat="1">
      <c r="A38" s="982"/>
      <c r="B38" s="982" t="s">
        <v>776</v>
      </c>
      <c r="C38" s="982"/>
      <c r="D38" s="982"/>
      <c r="E38" s="982"/>
      <c r="F38" s="982"/>
      <c r="G38" s="981" t="s">
        <v>663</v>
      </c>
      <c r="H38" s="982"/>
      <c r="I38" s="982"/>
    </row>
    <row r="39" spans="1:9" s="983" customFormat="1">
      <c r="A39" s="982"/>
      <c r="B39" s="982" t="s">
        <v>630</v>
      </c>
      <c r="C39" s="982"/>
      <c r="D39" s="982"/>
      <c r="E39" s="982"/>
      <c r="F39" s="982"/>
      <c r="G39" s="982"/>
      <c r="H39" s="982"/>
      <c r="I39" s="982"/>
    </row>
    <row r="40" spans="1:9" s="983" customFormat="1">
      <c r="A40" s="982"/>
      <c r="B40" s="982" t="s">
        <v>629</v>
      </c>
      <c r="C40" s="982"/>
      <c r="D40" s="982"/>
      <c r="E40" s="982"/>
      <c r="F40" s="982"/>
      <c r="G40" s="982"/>
      <c r="H40" s="982"/>
      <c r="I40" s="982"/>
    </row>
    <row r="41" spans="1:9" s="983" customFormat="1">
      <c r="A41" s="982"/>
      <c r="B41" s="982"/>
      <c r="C41" s="982"/>
      <c r="D41" s="982"/>
      <c r="E41" s="982"/>
      <c r="F41" s="982"/>
      <c r="G41" s="982"/>
      <c r="H41" s="982"/>
      <c r="I41" s="982"/>
    </row>
    <row r="42" spans="1:9" s="983" customFormat="1" ht="16.5" thickBot="1">
      <c r="A42" s="982"/>
      <c r="B42" s="991" t="s">
        <v>13</v>
      </c>
      <c r="C42" s="992"/>
      <c r="D42" s="992"/>
      <c r="E42" s="992"/>
      <c r="F42" s="980"/>
      <c r="G42" s="980"/>
      <c r="H42" s="980"/>
      <c r="I42" s="980"/>
    </row>
    <row r="43" spans="1:9" s="983" customFormat="1" ht="13.5" thickTop="1">
      <c r="A43" s="980"/>
      <c r="B43" s="980"/>
      <c r="C43" s="980"/>
      <c r="D43" s="980"/>
      <c r="E43" s="980"/>
      <c r="F43" s="980"/>
      <c r="G43" s="980"/>
      <c r="H43" s="980"/>
      <c r="I43" s="980"/>
    </row>
    <row r="44" spans="1:9" s="983" customFormat="1">
      <c r="A44" s="980"/>
      <c r="B44" s="980" t="s">
        <v>631</v>
      </c>
      <c r="C44" s="980"/>
      <c r="D44" s="980"/>
      <c r="E44" s="980"/>
      <c r="F44" s="980"/>
      <c r="G44" s="981" t="s">
        <v>632</v>
      </c>
      <c r="H44" s="982"/>
      <c r="I44" s="982"/>
    </row>
    <row r="45" spans="1:9" s="983" customFormat="1">
      <c r="A45" s="982"/>
      <c r="B45" s="982"/>
      <c r="C45" s="982"/>
      <c r="D45" s="982"/>
      <c r="E45" s="982"/>
      <c r="F45" s="982"/>
      <c r="G45" s="982"/>
      <c r="H45" s="982"/>
      <c r="I45" s="982"/>
    </row>
    <row r="46" spans="1:9" s="983" customFormat="1">
      <c r="A46" s="982"/>
      <c r="B46" s="982" t="s">
        <v>633</v>
      </c>
      <c r="C46" s="982"/>
      <c r="D46" s="982"/>
      <c r="E46" s="982"/>
      <c r="F46" s="982"/>
      <c r="G46" s="981" t="s">
        <v>634</v>
      </c>
      <c r="H46" s="982"/>
      <c r="I46" s="982"/>
    </row>
    <row r="47" spans="1:9" s="983" customFormat="1">
      <c r="A47" s="982"/>
      <c r="B47" s="982"/>
      <c r="C47" s="982"/>
      <c r="D47" s="982"/>
      <c r="E47" s="982"/>
      <c r="F47" s="982"/>
      <c r="G47" s="982"/>
      <c r="H47" s="982"/>
      <c r="I47" s="982"/>
    </row>
    <row r="48" spans="1:9" s="983" customFormat="1">
      <c r="A48" s="982"/>
      <c r="B48" s="982" t="s">
        <v>635</v>
      </c>
      <c r="C48" s="982"/>
      <c r="D48" s="982"/>
      <c r="E48" s="982"/>
      <c r="F48" s="982"/>
      <c r="G48" s="986" t="s">
        <v>636</v>
      </c>
      <c r="H48" s="982"/>
      <c r="I48" s="982"/>
    </row>
    <row r="49" spans="1:9" s="983" customFormat="1">
      <c r="A49" s="982"/>
      <c r="B49" s="982"/>
      <c r="C49" s="982"/>
      <c r="D49" s="982"/>
      <c r="E49" s="982"/>
      <c r="F49" s="982"/>
      <c r="G49" s="982"/>
      <c r="H49" s="982"/>
      <c r="I49" s="982"/>
    </row>
    <row r="50" spans="1:9" s="983" customFormat="1">
      <c r="A50" s="982"/>
      <c r="B50" s="982" t="s">
        <v>637</v>
      </c>
      <c r="C50" s="982"/>
      <c r="D50" s="982"/>
      <c r="E50" s="982"/>
      <c r="F50" s="982"/>
      <c r="G50" s="981" t="s">
        <v>638</v>
      </c>
      <c r="H50" s="982"/>
      <c r="I50" s="982"/>
    </row>
    <row r="51" spans="1:9" s="983" customFormat="1">
      <c r="A51" s="982"/>
      <c r="B51" s="982"/>
      <c r="C51" s="982"/>
      <c r="D51" s="982"/>
      <c r="E51" s="982"/>
      <c r="F51" s="982"/>
      <c r="G51" s="982"/>
      <c r="H51" s="982"/>
      <c r="I51" s="982"/>
    </row>
    <row r="52" spans="1:9" s="983" customFormat="1">
      <c r="A52" s="982"/>
      <c r="B52" s="982" t="s">
        <v>639</v>
      </c>
      <c r="C52" s="982"/>
      <c r="D52" s="982"/>
      <c r="E52" s="982"/>
      <c r="F52" s="982"/>
      <c r="G52" s="981" t="s">
        <v>640</v>
      </c>
      <c r="H52" s="982"/>
      <c r="I52" s="982"/>
    </row>
    <row r="53" spans="1:9">
      <c r="A53" s="556"/>
      <c r="B53" s="556"/>
      <c r="C53" s="556"/>
      <c r="D53" s="556"/>
      <c r="E53" s="556"/>
      <c r="F53" s="556"/>
      <c r="G53" s="556"/>
      <c r="H53" s="556"/>
      <c r="I53" s="556"/>
    </row>
    <row r="54" spans="1:9">
      <c r="A54" s="556"/>
      <c r="B54" s="556"/>
      <c r="C54" s="556"/>
      <c r="D54" s="556"/>
      <c r="E54" s="556"/>
      <c r="F54" s="556"/>
      <c r="G54" s="556"/>
      <c r="H54" s="556"/>
      <c r="I54" s="556"/>
    </row>
  </sheetData>
  <mergeCells count="1">
    <mergeCell ref="B36:E36"/>
  </mergeCells>
  <phoneticPr fontId="0" type="noConversion"/>
  <hyperlinks>
    <hyperlink ref="G6" location="CUADRO1!A1" display="CUADRO1"/>
    <hyperlink ref="G7" location="CUADRO2!A1" display="CUADRO2"/>
    <hyperlink ref="G8" location="CUADRO3!A1" display="CUADRO3"/>
    <hyperlink ref="G9" location="CUADRO4!A1" display="CUADRO4"/>
    <hyperlink ref="G10" location="CUADRO5!A1" display="CUADRO5"/>
    <hyperlink ref="G11" location="CUADRO6!A1" display="CUADRO6"/>
    <hyperlink ref="G12" location="CUADRO7!A1" display="CUADRO7"/>
    <hyperlink ref="G13" location="CUADRO8!A1" display="CUADRO8"/>
    <hyperlink ref="G14" location="CUADRO9!A1" display="CUADRO9"/>
    <hyperlink ref="G16" location="CUADRO11!A1" display="CUADRO11"/>
    <hyperlink ref="G23" location="CUADRO12!A1" display="CUADRO12"/>
    <hyperlink ref="G24" location="CUADRO13!A1" display="CUADRO13"/>
    <hyperlink ref="G25" location="CUADRO14!A1" display="CUADRO14"/>
    <hyperlink ref="G26" location="CUADRO15!A1" display="CUADRO15"/>
    <hyperlink ref="G27" location="CUADRO16!A1" display="CUADRO16"/>
    <hyperlink ref="G28" location="CUADRO17!A1" display="CUADRO17"/>
    <hyperlink ref="G30" location="CUADRO19!A1" display="CUADRO19"/>
    <hyperlink ref="G31" location="CUADRO20!A1" display="CUADRO20"/>
    <hyperlink ref="G36" location="CUADRO21!A1" display="CUADRO21"/>
    <hyperlink ref="G38" location="CUADRO22!A1" display="CUADRO22"/>
    <hyperlink ref="G17" location="CONS_TERAC!A1" display="CONS_TERAC."/>
    <hyperlink ref="G32" location="CONS_U.FIS!A1" display="CONS_U.FIS."/>
    <hyperlink ref="G44" location="BALANCE_ELECT!A1" display="BALANCE_ELECT"/>
    <hyperlink ref="G46" location="CAPACIDADES!A1" display="CAPACIDADES"/>
    <hyperlink ref="G48" location="'GENERACION EE'!A1" display="'GENERACION EE"/>
    <hyperlink ref="G50" location="CUADROA2!A1" display="CUADROA2"/>
    <hyperlink ref="G52" location="CUADROA3!A1" display="CUADROA3"/>
    <hyperlink ref="G15" location="CUADRO10!A1" display="CUADRO10"/>
    <hyperlink ref="G29" location="CUADRO18!A1" display="CUADRO18"/>
    <hyperlink ref="G3" location="INTRO!A1" display="INTRO"/>
    <hyperlink ref="G18" location="BALANCE!A1" display="BALANCE"/>
    <hyperlink ref="G19" location="DIAGRAMA!A1" display="DIAGRAMA"/>
  </hyperlinks>
  <pageMargins left="0.75" right="0.75" top="1" bottom="1" header="0" footer="0"/>
  <pageSetup orientation="portrait"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U83"/>
  <sheetViews>
    <sheetView workbookViewId="0">
      <selection activeCell="D30" sqref="D30"/>
    </sheetView>
  </sheetViews>
  <sheetFormatPr baseColWidth="10" defaultRowHeight="12.75"/>
  <cols>
    <col min="1" max="1" width="1.7109375" style="259" customWidth="1"/>
    <col min="2" max="2" width="23.28515625" style="259" customWidth="1"/>
    <col min="3" max="5" width="19" style="259" customWidth="1"/>
    <col min="6" max="21" width="11.42578125" style="30"/>
    <col min="22" max="16384" width="11.42578125" style="259"/>
  </cols>
  <sheetData>
    <row r="1" spans="1:10" ht="6.75" customHeight="1" thickBot="1">
      <c r="A1" s="523"/>
      <c r="B1" s="523"/>
      <c r="C1" s="523"/>
      <c r="D1" s="523"/>
      <c r="E1" s="523"/>
      <c r="F1" s="147"/>
      <c r="G1" s="147"/>
    </row>
    <row r="2" spans="1:10" ht="13.5" thickBot="1">
      <c r="A2" s="523"/>
      <c r="B2" s="524"/>
      <c r="C2" s="525"/>
      <c r="D2" s="525"/>
      <c r="E2" s="526"/>
      <c r="F2" s="147"/>
      <c r="G2" s="527" t="s">
        <v>606</v>
      </c>
    </row>
    <row r="3" spans="1:10" ht="15.75">
      <c r="A3" s="523"/>
      <c r="B3" s="528"/>
      <c r="C3" s="529" t="s">
        <v>509</v>
      </c>
      <c r="D3" s="530"/>
      <c r="E3" s="531"/>
      <c r="F3" s="147"/>
      <c r="G3" s="147"/>
    </row>
    <row r="4" spans="1:10" ht="15.75">
      <c r="A4" s="523"/>
      <c r="B4" s="532"/>
      <c r="C4" s="533" t="s">
        <v>510</v>
      </c>
      <c r="D4" s="533"/>
      <c r="E4" s="534"/>
      <c r="F4" s="147"/>
      <c r="G4" s="147"/>
    </row>
    <row r="5" spans="1:10" ht="15.75">
      <c r="A5" s="523"/>
      <c r="B5" s="532"/>
      <c r="C5" s="533"/>
      <c r="D5" s="533"/>
      <c r="E5" s="534"/>
      <c r="F5" s="147"/>
      <c r="G5" s="147"/>
    </row>
    <row r="6" spans="1:10" ht="15.75">
      <c r="A6" s="523"/>
      <c r="B6" s="532"/>
      <c r="C6" s="533"/>
      <c r="D6" s="533"/>
      <c r="E6" s="534"/>
      <c r="F6" s="147"/>
      <c r="G6" s="147"/>
    </row>
    <row r="7" spans="1:10" ht="15.75">
      <c r="A7" s="523"/>
      <c r="B7" s="532"/>
      <c r="C7" s="533"/>
      <c r="D7" s="535" t="s">
        <v>18</v>
      </c>
      <c r="E7" s="536" t="s">
        <v>19</v>
      </c>
      <c r="F7" s="147"/>
      <c r="G7" s="147"/>
    </row>
    <row r="8" spans="1:10" ht="15.75">
      <c r="A8" s="523"/>
      <c r="B8" s="537" t="s">
        <v>20</v>
      </c>
      <c r="C8" s="1">
        <v>2008</v>
      </c>
      <c r="D8" s="1">
        <v>2009</v>
      </c>
      <c r="E8" s="538" t="s">
        <v>21</v>
      </c>
      <c r="F8" s="147"/>
      <c r="G8" s="147"/>
    </row>
    <row r="9" spans="1:10" ht="13.5" thickBot="1">
      <c r="A9" s="523"/>
      <c r="B9" s="539"/>
      <c r="C9" s="540"/>
      <c r="D9" s="541"/>
      <c r="E9" s="542"/>
      <c r="F9" s="147"/>
      <c r="G9" s="147"/>
    </row>
    <row r="10" spans="1:10" ht="16.5" customHeight="1">
      <c r="A10" s="523"/>
      <c r="B10" s="543" t="s">
        <v>22</v>
      </c>
      <c r="C10" s="544">
        <v>110419.55387337925</v>
      </c>
      <c r="D10" s="413">
        <v>106487.9262325476</v>
      </c>
      <c r="E10" s="545">
        <f t="shared" ref="E10:E15" si="0">100*(D10-C10)/C10</f>
        <v>-3.5606262685503509</v>
      </c>
      <c r="F10" s="1307"/>
      <c r="G10" s="1306"/>
      <c r="H10" s="257"/>
      <c r="I10" s="257"/>
      <c r="J10" s="257"/>
    </row>
    <row r="11" spans="1:10" ht="16.5" customHeight="1">
      <c r="A11" s="523"/>
      <c r="B11" s="546" t="s">
        <v>23</v>
      </c>
      <c r="C11" s="544">
        <v>24794.691052921084</v>
      </c>
      <c r="D11" s="413">
        <v>30067.262129652787</v>
      </c>
      <c r="E11" s="545">
        <f t="shared" si="0"/>
        <v>21.264919435689183</v>
      </c>
      <c r="F11" s="1307"/>
      <c r="G11" s="1306"/>
      <c r="H11" s="257"/>
      <c r="I11" s="257"/>
      <c r="J11" s="257"/>
    </row>
    <row r="12" spans="1:10" ht="16.5" customHeight="1">
      <c r="A12" s="523"/>
      <c r="B12" s="546" t="s">
        <v>24</v>
      </c>
      <c r="C12" s="544">
        <v>43695.202646857084</v>
      </c>
      <c r="D12" s="413">
        <v>39946.324785244156</v>
      </c>
      <c r="E12" s="545">
        <f t="shared" si="0"/>
        <v>-8.5796097386507419</v>
      </c>
      <c r="F12" s="1307"/>
      <c r="G12" s="1306"/>
      <c r="H12" s="257"/>
      <c r="I12" s="257"/>
      <c r="J12" s="257"/>
    </row>
    <row r="13" spans="1:10" ht="16.5" customHeight="1">
      <c r="A13" s="523"/>
      <c r="B13" s="546" t="s">
        <v>25</v>
      </c>
      <c r="C13" s="544">
        <v>20865.125579528787</v>
      </c>
      <c r="D13" s="413">
        <v>21650.31304556696</v>
      </c>
      <c r="E13" s="545">
        <f t="shared" si="0"/>
        <v>3.7631571544843068</v>
      </c>
      <c r="F13" s="1307"/>
      <c r="G13" s="1306"/>
      <c r="H13" s="257"/>
      <c r="I13" s="257"/>
      <c r="J13" s="257"/>
    </row>
    <row r="14" spans="1:10" ht="16.5" customHeight="1">
      <c r="A14" s="523"/>
      <c r="B14" s="546" t="s">
        <v>782</v>
      </c>
      <c r="C14" s="544">
        <v>32.77899115999999</v>
      </c>
      <c r="D14" s="413">
        <v>67.94169162</v>
      </c>
      <c r="E14" s="545">
        <f t="shared" si="0"/>
        <v>107.27206425714787</v>
      </c>
      <c r="F14" s="1307"/>
      <c r="G14" s="1306"/>
      <c r="H14" s="257"/>
      <c r="I14" s="257"/>
      <c r="J14" s="257"/>
    </row>
    <row r="15" spans="1:10" ht="16.5" customHeight="1">
      <c r="A15" s="523"/>
      <c r="B15" s="546" t="s">
        <v>26</v>
      </c>
      <c r="C15" s="544">
        <v>51169.578324994305</v>
      </c>
      <c r="D15" s="413">
        <v>51279.987209247607</v>
      </c>
      <c r="E15" s="545">
        <f t="shared" si="0"/>
        <v>0.21577055716984792</v>
      </c>
      <c r="F15" s="1307"/>
      <c r="G15" s="1306"/>
      <c r="H15" s="257"/>
      <c r="I15" s="257"/>
      <c r="J15" s="257"/>
    </row>
    <row r="16" spans="1:10" ht="16.5" customHeight="1">
      <c r="A16" s="523"/>
      <c r="B16" s="546" t="s">
        <v>27</v>
      </c>
      <c r="C16" s="544">
        <v>0</v>
      </c>
      <c r="D16" s="413">
        <v>68.800938663572154</v>
      </c>
      <c r="E16" s="545" t="s">
        <v>235</v>
      </c>
      <c r="F16" s="1307"/>
      <c r="G16" s="1306"/>
      <c r="H16" s="257"/>
      <c r="I16" s="257"/>
      <c r="J16" s="257"/>
    </row>
    <row r="17" spans="1:10">
      <c r="A17" s="523"/>
      <c r="B17" s="547" t="s">
        <v>28</v>
      </c>
      <c r="C17" s="548">
        <f>SUM(C10:C16)</f>
        <v>250976.93046884055</v>
      </c>
      <c r="D17" s="548">
        <f>SUM(D10:D16)</f>
        <v>249568.55603254269</v>
      </c>
      <c r="E17" s="549">
        <f>100*(D17-C17)/C17</f>
        <v>-0.56115692931096506</v>
      </c>
      <c r="F17" s="147"/>
      <c r="G17" s="550"/>
      <c r="H17" s="258"/>
      <c r="I17" s="257"/>
      <c r="J17" s="257"/>
    </row>
    <row r="18" spans="1:10" ht="13.5" thickBot="1">
      <c r="A18" s="523"/>
      <c r="B18" s="551"/>
      <c r="C18" s="552"/>
      <c r="D18" s="553"/>
      <c r="E18" s="554"/>
      <c r="F18" s="147"/>
      <c r="G18" s="414"/>
      <c r="H18" s="257"/>
      <c r="I18" s="257"/>
      <c r="J18" s="257"/>
    </row>
    <row r="19" spans="1:10">
      <c r="A19" s="523"/>
      <c r="B19" s="994" t="s">
        <v>736</v>
      </c>
      <c r="C19" s="995"/>
      <c r="D19" s="996"/>
      <c r="E19" s="995"/>
      <c r="F19" s="147"/>
      <c r="G19" s="414"/>
      <c r="H19" s="257"/>
      <c r="I19" s="257"/>
      <c r="J19" s="257"/>
    </row>
    <row r="20" spans="1:10" ht="25.5" customHeight="1">
      <c r="A20" s="523"/>
      <c r="B20" s="1389" t="s">
        <v>737</v>
      </c>
      <c r="C20" s="1389"/>
      <c r="D20" s="1389"/>
      <c r="E20" s="1389"/>
      <c r="F20" s="147"/>
      <c r="G20" s="414"/>
      <c r="H20" s="257"/>
      <c r="I20" s="257"/>
      <c r="J20" s="257"/>
    </row>
    <row r="21" spans="1:10">
      <c r="A21" s="523"/>
      <c r="B21" s="997" t="s">
        <v>795</v>
      </c>
      <c r="C21" s="995"/>
      <c r="D21" s="995"/>
      <c r="E21" s="995"/>
      <c r="F21" s="147"/>
      <c r="G21" s="414"/>
      <c r="H21" s="257"/>
      <c r="I21" s="257"/>
      <c r="J21" s="257"/>
    </row>
    <row r="22" spans="1:10">
      <c r="A22" s="523"/>
      <c r="B22" s="1294" t="s">
        <v>798</v>
      </c>
      <c r="C22" s="995"/>
      <c r="D22" s="995"/>
      <c r="E22" s="995"/>
      <c r="F22" s="147"/>
      <c r="G22" s="414"/>
      <c r="H22" s="257"/>
      <c r="I22" s="257"/>
      <c r="J22" s="257"/>
    </row>
    <row r="23" spans="1:10">
      <c r="A23" s="523"/>
      <c r="B23" s="455" t="s">
        <v>773</v>
      </c>
      <c r="C23" s="147"/>
      <c r="D23" s="147"/>
      <c r="E23" s="147"/>
      <c r="F23" s="147"/>
      <c r="G23" s="414"/>
      <c r="H23" s="257"/>
      <c r="I23" s="257"/>
      <c r="J23" s="257"/>
    </row>
    <row r="24" spans="1:10">
      <c r="A24" s="523"/>
      <c r="B24" s="147"/>
      <c r="C24" s="147"/>
      <c r="D24" s="147"/>
      <c r="E24" s="147"/>
      <c r="F24" s="147"/>
      <c r="G24" s="147"/>
      <c r="H24" s="257"/>
      <c r="I24" s="257"/>
      <c r="J24" s="257"/>
    </row>
    <row r="25" spans="1:10">
      <c r="A25" s="523"/>
      <c r="B25" s="147"/>
      <c r="C25" s="147"/>
      <c r="D25" s="147"/>
      <c r="E25" s="147"/>
      <c r="F25" s="147"/>
      <c r="G25" s="147"/>
      <c r="H25" s="257"/>
      <c r="I25" s="257"/>
      <c r="J25" s="257"/>
    </row>
    <row r="26" spans="1:10">
      <c r="A26" s="523"/>
      <c r="B26" s="147"/>
      <c r="C26" s="147"/>
      <c r="D26" s="147"/>
      <c r="E26" s="147"/>
      <c r="F26" s="147"/>
      <c r="G26" s="147"/>
      <c r="H26" s="257"/>
      <c r="I26" s="257"/>
      <c r="J26" s="257"/>
    </row>
    <row r="27" spans="1:10">
      <c r="B27" s="30"/>
      <c r="C27" s="257"/>
      <c r="D27" s="257"/>
      <c r="E27" s="257"/>
      <c r="F27" s="257"/>
      <c r="G27" s="257"/>
      <c r="H27" s="257"/>
      <c r="I27" s="257"/>
      <c r="J27" s="257"/>
    </row>
    <row r="28" spans="1:10">
      <c r="B28" s="30"/>
      <c r="C28" s="257"/>
      <c r="D28" s="257"/>
      <c r="E28" s="257"/>
      <c r="F28" s="257"/>
      <c r="G28" s="257"/>
      <c r="H28" s="257"/>
      <c r="I28" s="257"/>
      <c r="J28" s="257"/>
    </row>
    <row r="29" spans="1:10">
      <c r="B29" s="30"/>
      <c r="C29" s="257"/>
      <c r="D29" s="257"/>
      <c r="E29" s="257"/>
      <c r="F29" s="257"/>
      <c r="G29" s="257"/>
      <c r="H29" s="257"/>
      <c r="I29" s="257"/>
      <c r="J29" s="257"/>
    </row>
    <row r="30" spans="1:10">
      <c r="B30" s="30"/>
    </row>
    <row r="31" spans="1:10">
      <c r="B31" s="30"/>
    </row>
    <row r="32" spans="1:10">
      <c r="B32" s="30"/>
    </row>
    <row r="33" spans="2:2">
      <c r="B33" s="30"/>
    </row>
    <row r="34" spans="2:2">
      <c r="B34" s="30"/>
    </row>
    <row r="35" spans="2:2">
      <c r="B35" s="30"/>
    </row>
    <row r="36" spans="2:2">
      <c r="B36" s="30"/>
    </row>
    <row r="37" spans="2:2">
      <c r="B37" s="30"/>
    </row>
    <row r="38" spans="2:2">
      <c r="B38" s="30"/>
    </row>
    <row r="39" spans="2:2">
      <c r="B39" s="30"/>
    </row>
    <row r="40" spans="2:2">
      <c r="B40" s="30"/>
    </row>
    <row r="41" spans="2:2">
      <c r="B41" s="30"/>
    </row>
    <row r="42" spans="2:2">
      <c r="B42" s="30"/>
    </row>
    <row r="43" spans="2:2">
      <c r="B43" s="30"/>
    </row>
    <row r="44" spans="2:2">
      <c r="B44" s="30"/>
    </row>
    <row r="45" spans="2:2">
      <c r="B45" s="30"/>
    </row>
    <row r="46" spans="2:2">
      <c r="B46" s="30"/>
    </row>
    <row r="47" spans="2:2">
      <c r="B47" s="30"/>
    </row>
    <row r="48" spans="2:2">
      <c r="B48" s="30"/>
    </row>
    <row r="49" spans="2:2">
      <c r="B49" s="30"/>
    </row>
    <row r="50" spans="2:2">
      <c r="B50" s="30"/>
    </row>
    <row r="51" spans="2:2">
      <c r="B51" s="30"/>
    </row>
    <row r="52" spans="2:2">
      <c r="B52" s="30"/>
    </row>
    <row r="53" spans="2:2">
      <c r="B53" s="30"/>
    </row>
    <row r="54" spans="2:2">
      <c r="B54" s="30"/>
    </row>
    <row r="55" spans="2:2">
      <c r="B55" s="30"/>
    </row>
    <row r="56" spans="2:2">
      <c r="B56" s="30"/>
    </row>
    <row r="57" spans="2:2">
      <c r="B57" s="30"/>
    </row>
    <row r="58" spans="2:2">
      <c r="B58" s="30"/>
    </row>
    <row r="59" spans="2:2">
      <c r="B59" s="30"/>
    </row>
    <row r="60" spans="2:2">
      <c r="B60" s="30"/>
    </row>
    <row r="61" spans="2:2">
      <c r="B61" s="30"/>
    </row>
    <row r="62" spans="2:2">
      <c r="B62" s="30"/>
    </row>
    <row r="63" spans="2:2">
      <c r="B63" s="30"/>
    </row>
    <row r="64" spans="2:2">
      <c r="B64" s="30"/>
    </row>
    <row r="65" spans="2:2">
      <c r="B65" s="30"/>
    </row>
    <row r="66" spans="2:2">
      <c r="B66" s="30"/>
    </row>
    <row r="67" spans="2:2">
      <c r="B67" s="30"/>
    </row>
    <row r="68" spans="2:2">
      <c r="B68" s="30"/>
    </row>
    <row r="69" spans="2:2">
      <c r="B69" s="30"/>
    </row>
    <row r="70" spans="2:2">
      <c r="B70" s="30"/>
    </row>
    <row r="71" spans="2:2">
      <c r="B71" s="30"/>
    </row>
    <row r="72" spans="2:2">
      <c r="B72" s="30"/>
    </row>
    <row r="73" spans="2:2">
      <c r="B73" s="30"/>
    </row>
    <row r="74" spans="2:2">
      <c r="B74" s="30"/>
    </row>
    <row r="75" spans="2:2">
      <c r="B75" s="30"/>
    </row>
    <row r="76" spans="2:2">
      <c r="B76" s="30"/>
    </row>
    <row r="77" spans="2:2">
      <c r="B77" s="30"/>
    </row>
    <row r="78" spans="2:2">
      <c r="B78" s="30"/>
    </row>
    <row r="79" spans="2:2">
      <c r="B79" s="30"/>
    </row>
    <row r="80" spans="2:2">
      <c r="B80" s="30"/>
    </row>
    <row r="81" spans="2:2">
      <c r="B81" s="30"/>
    </row>
    <row r="82" spans="2:2">
      <c r="B82" s="30"/>
    </row>
    <row r="83" spans="2:2">
      <c r="B83" s="30"/>
    </row>
  </sheetData>
  <mergeCells count="1">
    <mergeCell ref="B20:E20"/>
  </mergeCells>
  <phoneticPr fontId="0" type="noConversion"/>
  <hyperlinks>
    <hyperlink ref="G2" location="INDICE!A1" display="VOLVER A INDICE"/>
  </hyperlinks>
  <pageMargins left="0.75" right="0.75" top="1" bottom="1" header="0" footer="0"/>
  <pageSetup scale="77" orientation="portrait" verticalDpi="0"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M67"/>
  <sheetViews>
    <sheetView zoomScale="85" workbookViewId="0">
      <selection activeCell="G41" sqref="G41"/>
    </sheetView>
  </sheetViews>
  <sheetFormatPr baseColWidth="10" defaultRowHeight="12.75"/>
  <cols>
    <col min="1" max="1" width="1.85546875" style="260" customWidth="1"/>
    <col min="2" max="2" width="25.140625" style="260" customWidth="1"/>
    <col min="3" max="5" width="17.85546875" style="260" customWidth="1"/>
    <col min="6" max="13" width="11.42578125" style="3"/>
    <col min="14" max="16384" width="11.42578125" style="260"/>
  </cols>
  <sheetData>
    <row r="1" spans="1:9" ht="8.25" customHeight="1" thickBot="1">
      <c r="A1" s="459"/>
      <c r="B1" s="459"/>
      <c r="C1" s="459"/>
      <c r="D1" s="459"/>
      <c r="E1" s="459"/>
      <c r="F1" s="62"/>
      <c r="G1" s="62"/>
    </row>
    <row r="2" spans="1:9" ht="13.5" thickBot="1">
      <c r="A2" s="459"/>
      <c r="B2" s="493"/>
      <c r="C2" s="494"/>
      <c r="D2" s="494"/>
      <c r="E2" s="495"/>
      <c r="F2" s="496"/>
      <c r="G2" s="497"/>
      <c r="H2" s="4"/>
      <c r="I2" s="4"/>
    </row>
    <row r="3" spans="1:9">
      <c r="A3" s="459"/>
      <c r="B3" s="498"/>
      <c r="C3" s="499" t="s">
        <v>669</v>
      </c>
      <c r="D3" s="500"/>
      <c r="E3" s="501"/>
      <c r="F3" s="496"/>
      <c r="G3" s="527" t="s">
        <v>606</v>
      </c>
      <c r="H3" s="4"/>
      <c r="I3" s="4"/>
    </row>
    <row r="4" spans="1:9">
      <c r="A4" s="459"/>
      <c r="B4" s="502"/>
      <c r="C4" s="503" t="s">
        <v>32</v>
      </c>
      <c r="D4" s="504"/>
      <c r="E4" s="505"/>
      <c r="F4" s="496"/>
      <c r="G4" s="497"/>
      <c r="H4" s="4"/>
      <c r="I4" s="4"/>
    </row>
    <row r="5" spans="1:9">
      <c r="A5" s="459"/>
      <c r="B5" s="502"/>
      <c r="C5" s="504"/>
      <c r="D5" s="504"/>
      <c r="E5" s="505"/>
      <c r="F5" s="496"/>
      <c r="G5" s="497"/>
      <c r="H5" s="4"/>
      <c r="I5" s="4"/>
    </row>
    <row r="6" spans="1:9">
      <c r="A6" s="459"/>
      <c r="B6" s="502"/>
      <c r="C6" s="506" t="s">
        <v>18</v>
      </c>
      <c r="D6" s="506"/>
      <c r="E6" s="507" t="s">
        <v>19</v>
      </c>
      <c r="F6" s="496"/>
      <c r="G6" s="497"/>
      <c r="H6" s="4"/>
      <c r="I6" s="4"/>
    </row>
    <row r="7" spans="1:9" ht="15.75" thickBot="1">
      <c r="A7" s="459"/>
      <c r="B7" s="508" t="s">
        <v>20</v>
      </c>
      <c r="C7" s="61">
        <v>2008</v>
      </c>
      <c r="D7" s="61">
        <v>2009</v>
      </c>
      <c r="E7" s="509" t="s">
        <v>21</v>
      </c>
      <c r="F7" s="496"/>
      <c r="G7" s="497"/>
      <c r="H7" s="4"/>
      <c r="I7" s="4"/>
    </row>
    <row r="8" spans="1:9">
      <c r="A8" s="459"/>
      <c r="B8" s="510"/>
      <c r="C8" s="511"/>
      <c r="D8" s="147"/>
      <c r="E8" s="512"/>
      <c r="F8" s="496"/>
      <c r="G8" s="497"/>
      <c r="H8" s="4"/>
      <c r="I8" s="4"/>
    </row>
    <row r="9" spans="1:9">
      <c r="A9" s="459"/>
      <c r="B9" s="510" t="s">
        <v>33</v>
      </c>
      <c r="C9" s="511"/>
      <c r="D9" s="147"/>
      <c r="E9" s="512"/>
      <c r="F9" s="496"/>
      <c r="G9" s="497"/>
      <c r="H9" s="4"/>
      <c r="I9" s="4"/>
    </row>
    <row r="10" spans="1:9">
      <c r="A10" s="459"/>
      <c r="B10" s="510" t="s">
        <v>34</v>
      </c>
      <c r="C10" s="513">
        <v>145311.67439104986</v>
      </c>
      <c r="D10" s="311">
        <f>CUADRO4!G10</f>
        <v>139138.92386538599</v>
      </c>
      <c r="E10" s="514">
        <f>100*(D10-C10)/C10</f>
        <v>-4.247938475371436</v>
      </c>
      <c r="F10" s="1308"/>
      <c r="G10" s="1308"/>
      <c r="H10" s="1309"/>
      <c r="I10" s="4"/>
    </row>
    <row r="11" spans="1:9">
      <c r="A11" s="459"/>
      <c r="B11" s="516"/>
      <c r="C11" s="513"/>
      <c r="D11" s="312"/>
      <c r="E11" s="514"/>
      <c r="F11" s="1308"/>
      <c r="G11" s="1308"/>
      <c r="H11" s="1309"/>
      <c r="I11" s="4"/>
    </row>
    <row r="12" spans="1:9">
      <c r="A12" s="459"/>
      <c r="B12" s="510" t="s">
        <v>35</v>
      </c>
      <c r="C12" s="513">
        <v>47968.608476659028</v>
      </c>
      <c r="D12" s="311">
        <f>CUADRO4!G20</f>
        <v>48201.114386248504</v>
      </c>
      <c r="E12" s="514">
        <f>100*(D12-C12)/C12</f>
        <v>0.48470430344588894</v>
      </c>
      <c r="F12" s="1308"/>
      <c r="G12" s="1308"/>
      <c r="H12" s="1309"/>
      <c r="I12" s="4"/>
    </row>
    <row r="13" spans="1:9">
      <c r="A13" s="459"/>
      <c r="B13" s="510"/>
      <c r="C13" s="513"/>
      <c r="D13" s="312"/>
      <c r="E13" s="514"/>
      <c r="F13" s="1308"/>
      <c r="G13" s="1308"/>
      <c r="H13" s="1309"/>
      <c r="I13" s="4"/>
    </row>
    <row r="14" spans="1:9">
      <c r="A14" s="459"/>
      <c r="B14" s="510" t="s">
        <v>24</v>
      </c>
      <c r="C14" s="513">
        <v>3992.9470941064492</v>
      </c>
      <c r="D14" s="311">
        <f>CUADRO4!G21</f>
        <v>2185.4170141856107</v>
      </c>
      <c r="E14" s="514">
        <f>100*(D14-C14)/C14</f>
        <v>-45.26806985719233</v>
      </c>
      <c r="F14" s="1308"/>
      <c r="G14" s="1308"/>
      <c r="H14" s="1309"/>
      <c r="I14" s="4"/>
    </row>
    <row r="15" spans="1:9">
      <c r="A15" s="459"/>
      <c r="B15" s="510"/>
      <c r="C15" s="513"/>
      <c r="D15" s="312"/>
      <c r="E15" s="514"/>
      <c r="F15" s="1308"/>
      <c r="G15" s="1308"/>
      <c r="H15" s="1309"/>
      <c r="I15" s="4"/>
    </row>
    <row r="16" spans="1:9">
      <c r="A16" s="459"/>
      <c r="B16" s="510" t="s">
        <v>36</v>
      </c>
      <c r="C16" s="513">
        <v>3098.170869685825</v>
      </c>
      <c r="D16" s="311">
        <f>CUADRO4!G22+CUADRO4!G23</f>
        <v>4248.2865005904914</v>
      </c>
      <c r="E16" s="514">
        <f>100*(D16-C16)/C16</f>
        <v>37.122408003961894</v>
      </c>
      <c r="F16" s="1308"/>
      <c r="G16" s="1308"/>
      <c r="H16" s="1309"/>
      <c r="I16" s="4"/>
    </row>
    <row r="17" spans="1:9">
      <c r="A17" s="459"/>
      <c r="B17" s="510"/>
      <c r="C17" s="513"/>
      <c r="D17" s="312"/>
      <c r="E17" s="514"/>
      <c r="F17" s="1308"/>
      <c r="G17" s="1308"/>
      <c r="H17" s="1309"/>
      <c r="I17" s="4"/>
    </row>
    <row r="18" spans="1:9">
      <c r="A18" s="459"/>
      <c r="B18" s="510" t="s">
        <v>37</v>
      </c>
      <c r="C18" s="513">
        <v>1346.6034125749043</v>
      </c>
      <c r="D18" s="311">
        <f>CUADRO4!G24</f>
        <v>1213.6145686065133</v>
      </c>
      <c r="E18" s="514">
        <f>100*(D18-C18)/C18</f>
        <v>-9.8758730838277522</v>
      </c>
      <c r="F18" s="1308"/>
      <c r="G18" s="1308"/>
      <c r="H18" s="1309"/>
      <c r="I18" s="4"/>
    </row>
    <row r="19" spans="1:9">
      <c r="A19" s="459"/>
      <c r="B19" s="510"/>
      <c r="C19" s="513"/>
      <c r="D19" s="312"/>
      <c r="E19" s="514"/>
      <c r="F19" s="1308"/>
      <c r="G19" s="1308"/>
      <c r="H19" s="1309"/>
      <c r="I19" s="4"/>
    </row>
    <row r="20" spans="1:9">
      <c r="A20" s="459"/>
      <c r="B20" s="510" t="s">
        <v>38</v>
      </c>
      <c r="C20" s="513">
        <v>1000.532152</v>
      </c>
      <c r="D20" s="311">
        <f>CUADRO4!G25</f>
        <v>879.75400000000002</v>
      </c>
      <c r="E20" s="514">
        <f>100*(D20-C20)/C20</f>
        <v>-12.071391384931722</v>
      </c>
      <c r="F20" s="1308"/>
      <c r="G20" s="1308"/>
      <c r="H20" s="1309"/>
      <c r="I20" s="4"/>
    </row>
    <row r="21" spans="1:9">
      <c r="A21" s="459"/>
      <c r="B21" s="510"/>
      <c r="C21" s="513"/>
      <c r="D21" s="312"/>
      <c r="E21" s="514"/>
      <c r="F21" s="1308"/>
      <c r="G21" s="1308"/>
      <c r="H21" s="1309"/>
      <c r="I21" s="4"/>
    </row>
    <row r="22" spans="1:9">
      <c r="A22" s="459"/>
      <c r="B22" s="510" t="s">
        <v>23</v>
      </c>
      <c r="C22" s="513">
        <v>6054.8523290900312</v>
      </c>
      <c r="D22" s="311">
        <f>CUADRO4!G26</f>
        <v>7314.607861541328</v>
      </c>
      <c r="E22" s="514">
        <f>100*(D22-C22)/C22</f>
        <v>20.805718520977084</v>
      </c>
      <c r="F22" s="1308"/>
      <c r="G22" s="1308"/>
      <c r="H22" s="1309"/>
      <c r="I22" s="4"/>
    </row>
    <row r="23" spans="1:9">
      <c r="A23" s="459"/>
      <c r="B23" s="510"/>
      <c r="C23" s="513"/>
      <c r="D23" s="312"/>
      <c r="E23" s="514"/>
      <c r="F23" s="1308"/>
      <c r="G23" s="1308"/>
      <c r="H23" s="1309"/>
      <c r="I23" s="4"/>
    </row>
    <row r="24" spans="1:9">
      <c r="A24" s="459"/>
      <c r="B24" s="510" t="s">
        <v>39</v>
      </c>
      <c r="C24" s="513">
        <v>516.3526738600001</v>
      </c>
      <c r="D24" s="311">
        <f>CUADRO4!G27</f>
        <v>447.06612587687079</v>
      </c>
      <c r="E24" s="514">
        <v>0</v>
      </c>
      <c r="F24" s="1308"/>
      <c r="G24" s="1308"/>
      <c r="H24" s="1309"/>
      <c r="I24" s="4"/>
    </row>
    <row r="25" spans="1:9">
      <c r="A25" s="459"/>
      <c r="B25" s="510"/>
      <c r="C25" s="513"/>
      <c r="D25" s="312"/>
      <c r="E25" s="514"/>
      <c r="F25" s="1308"/>
      <c r="G25" s="1308"/>
      <c r="H25" s="1309"/>
      <c r="I25" s="4"/>
    </row>
    <row r="26" spans="1:9">
      <c r="A26" s="459"/>
      <c r="B26" s="510" t="s">
        <v>40</v>
      </c>
      <c r="C26" s="513">
        <v>45777.436188357562</v>
      </c>
      <c r="D26" s="311">
        <f>CUADRO4!G28</f>
        <v>45399.804810847534</v>
      </c>
      <c r="E26" s="514">
        <f>100*(D26-C26)/C26</f>
        <v>-0.82492906757864659</v>
      </c>
      <c r="F26" s="1308"/>
      <c r="G26" s="1308"/>
      <c r="H26" s="1309"/>
      <c r="I26" s="4"/>
    </row>
    <row r="27" spans="1:9">
      <c r="A27" s="459"/>
      <c r="B27" s="510"/>
      <c r="C27" s="513"/>
      <c r="D27" s="312"/>
      <c r="E27" s="514"/>
      <c r="F27" s="1308"/>
      <c r="G27" s="1308"/>
      <c r="H27" s="1309"/>
      <c r="I27" s="4"/>
    </row>
    <row r="28" spans="1:9">
      <c r="A28" s="459"/>
      <c r="B28" s="510" t="s">
        <v>27</v>
      </c>
      <c r="C28" s="513">
        <v>0</v>
      </c>
      <c r="D28" s="311">
        <f>CUADRO4!G29</f>
        <v>0</v>
      </c>
      <c r="E28" s="514">
        <v>0</v>
      </c>
      <c r="F28" s="1308"/>
      <c r="G28" s="1308"/>
      <c r="H28" s="1309"/>
      <c r="I28" s="4"/>
    </row>
    <row r="29" spans="1:9">
      <c r="A29" s="459"/>
      <c r="B29" s="510"/>
      <c r="C29" s="513"/>
      <c r="D29" s="513"/>
      <c r="E29" s="514"/>
      <c r="F29" s="1308"/>
      <c r="G29" s="1308"/>
      <c r="H29" s="1309"/>
      <c r="I29" s="4"/>
    </row>
    <row r="30" spans="1:9">
      <c r="A30" s="459"/>
      <c r="B30" s="510"/>
      <c r="C30" s="513"/>
      <c r="D30" s="513"/>
      <c r="E30" s="514"/>
      <c r="F30" s="1308"/>
      <c r="G30" s="1308"/>
      <c r="H30" s="1309"/>
      <c r="I30" s="4"/>
    </row>
    <row r="31" spans="1:9">
      <c r="A31" s="459"/>
      <c r="B31" s="517" t="s">
        <v>28</v>
      </c>
      <c r="C31" s="518">
        <f>SUM(C10:C28)</f>
        <v>255067.17758738366</v>
      </c>
      <c r="D31" s="518">
        <f>SUM(D10:D28)</f>
        <v>249028.58913328286</v>
      </c>
      <c r="E31" s="519">
        <f>100*(D31-C31)/C31</f>
        <v>-2.367450218886761</v>
      </c>
      <c r="F31" s="515"/>
      <c r="G31" s="496"/>
      <c r="H31" s="4"/>
      <c r="I31" s="4"/>
    </row>
    <row r="32" spans="1:9" ht="13.5" thickBot="1">
      <c r="A32" s="459"/>
      <c r="B32" s="520"/>
      <c r="C32" s="521"/>
      <c r="D32" s="521"/>
      <c r="E32" s="522"/>
      <c r="F32" s="496"/>
      <c r="G32" s="496"/>
      <c r="H32" s="4"/>
      <c r="I32" s="4"/>
    </row>
    <row r="33" spans="1:9">
      <c r="A33" s="459"/>
      <c r="B33" s="479" t="s">
        <v>29</v>
      </c>
      <c r="C33" s="998"/>
      <c r="D33" s="998"/>
      <c r="E33" s="998"/>
      <c r="F33" s="496"/>
      <c r="G33" s="497"/>
      <c r="H33" s="4"/>
      <c r="I33" s="4"/>
    </row>
    <row r="34" spans="1:9">
      <c r="A34" s="459"/>
      <c r="B34" s="479" t="s">
        <v>30</v>
      </c>
      <c r="C34" s="999"/>
      <c r="D34" s="999"/>
      <c r="E34" s="998"/>
      <c r="F34" s="496"/>
      <c r="G34" s="497"/>
      <c r="H34" s="4"/>
      <c r="I34" s="4"/>
    </row>
    <row r="35" spans="1:9">
      <c r="A35" s="459"/>
      <c r="B35" s="455" t="s">
        <v>795</v>
      </c>
      <c r="C35" s="998"/>
      <c r="D35" s="998"/>
      <c r="E35" s="998"/>
      <c r="F35" s="496"/>
      <c r="G35" s="497"/>
      <c r="H35" s="4"/>
      <c r="I35" s="4"/>
    </row>
    <row r="36" spans="1:9">
      <c r="A36" s="459"/>
      <c r="B36" s="455" t="s">
        <v>773</v>
      </c>
      <c r="C36" s="998"/>
      <c r="D36" s="998"/>
      <c r="E36" s="998"/>
      <c r="F36" s="496"/>
      <c r="G36" s="497"/>
      <c r="H36" s="4"/>
      <c r="I36" s="4"/>
    </row>
    <row r="37" spans="1:9">
      <c r="A37" s="459"/>
      <c r="C37" s="998"/>
      <c r="D37" s="998"/>
      <c r="E37" s="998"/>
      <c r="F37" s="496"/>
      <c r="G37" s="497"/>
      <c r="H37" s="4"/>
      <c r="I37" s="4"/>
    </row>
    <row r="38" spans="1:9">
      <c r="A38" s="459"/>
      <c r="B38" s="496"/>
      <c r="C38" s="496"/>
      <c r="D38" s="496"/>
      <c r="E38" s="496"/>
      <c r="F38" s="496"/>
      <c r="G38" s="497"/>
      <c r="H38" s="4"/>
      <c r="I38" s="4"/>
    </row>
    <row r="39" spans="1:9">
      <c r="A39" s="459"/>
      <c r="B39" s="496"/>
      <c r="C39" s="496"/>
      <c r="D39" s="496"/>
      <c r="E39" s="496"/>
      <c r="F39" s="496"/>
      <c r="G39" s="497"/>
      <c r="H39" s="4"/>
      <c r="I39" s="4"/>
    </row>
    <row r="40" spans="1:9">
      <c r="A40" s="459"/>
      <c r="B40" s="496"/>
      <c r="C40" s="496"/>
      <c r="D40" s="496"/>
      <c r="E40" s="496"/>
      <c r="F40" s="496"/>
      <c r="G40" s="497"/>
      <c r="H40" s="4"/>
      <c r="I40" s="4"/>
    </row>
    <row r="41" spans="1:9">
      <c r="A41" s="459"/>
      <c r="B41" s="62"/>
      <c r="C41" s="62"/>
      <c r="D41" s="62"/>
      <c r="E41" s="62"/>
      <c r="F41" s="62"/>
      <c r="G41" s="62"/>
    </row>
    <row r="42" spans="1:9">
      <c r="A42" s="459"/>
      <c r="B42" s="62"/>
      <c r="C42" s="62"/>
      <c r="D42" s="62"/>
      <c r="E42" s="62"/>
      <c r="F42" s="62"/>
      <c r="G42" s="62"/>
    </row>
    <row r="43" spans="1:9">
      <c r="B43" s="3"/>
      <c r="C43" s="3"/>
      <c r="D43" s="3"/>
      <c r="E43" s="3"/>
    </row>
    <row r="44" spans="1:9">
      <c r="B44" s="3"/>
      <c r="C44" s="3"/>
      <c r="D44" s="3"/>
      <c r="E44" s="3"/>
    </row>
    <row r="45" spans="1:9">
      <c r="B45" s="3"/>
      <c r="C45" s="3"/>
      <c r="D45" s="3"/>
      <c r="E45" s="3"/>
    </row>
    <row r="46" spans="1:9">
      <c r="B46" s="3"/>
      <c r="C46" s="3"/>
      <c r="D46" s="3"/>
      <c r="E46" s="3"/>
    </row>
    <row r="47" spans="1:9">
      <c r="B47" s="3"/>
      <c r="C47" s="3"/>
      <c r="D47" s="3"/>
      <c r="E47" s="3"/>
    </row>
    <row r="48" spans="1:9">
      <c r="B48" s="3"/>
      <c r="C48" s="3"/>
      <c r="D48" s="3"/>
      <c r="E48" s="3"/>
    </row>
    <row r="49" spans="2:5">
      <c r="B49" s="3"/>
      <c r="C49" s="3"/>
      <c r="D49" s="3"/>
      <c r="E49" s="3"/>
    </row>
    <row r="50" spans="2:5" s="3" customFormat="1"/>
    <row r="51" spans="2:5" s="3" customFormat="1"/>
    <row r="52" spans="2:5" s="3" customFormat="1"/>
    <row r="53" spans="2:5" s="3" customFormat="1"/>
    <row r="54" spans="2:5" s="3" customFormat="1"/>
    <row r="55" spans="2:5" s="3" customFormat="1"/>
    <row r="56" spans="2:5" s="3" customFormat="1"/>
    <row r="57" spans="2:5" s="3" customFormat="1"/>
    <row r="58" spans="2:5" s="3" customFormat="1"/>
    <row r="59" spans="2:5" s="3" customFormat="1"/>
    <row r="60" spans="2:5" s="3" customFormat="1"/>
    <row r="61" spans="2:5" s="3" customFormat="1"/>
    <row r="62" spans="2:5" s="3" customFormat="1"/>
    <row r="63" spans="2:5" s="3" customFormat="1"/>
    <row r="64" spans="2:5" s="3" customFormat="1"/>
    <row r="65" s="3" customFormat="1"/>
    <row r="66" s="3" customFormat="1"/>
    <row r="67" s="3" customFormat="1"/>
  </sheetData>
  <phoneticPr fontId="0" type="noConversion"/>
  <hyperlinks>
    <hyperlink ref="G3" location="INDICE!A1" display="VOLVER A INDICE"/>
  </hyperlinks>
  <pageMargins left="0.75" right="0.75" top="1" bottom="1" header="0" footer="0"/>
  <pageSetup scale="78" orientation="portrait" verticalDpi="0"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64"/>
  <sheetViews>
    <sheetView showGridLines="0" workbookViewId="0">
      <selection activeCell="I15" sqref="I15"/>
    </sheetView>
  </sheetViews>
  <sheetFormatPr baseColWidth="10" defaultRowHeight="12.75"/>
  <cols>
    <col min="1" max="1" width="1.42578125" style="260" customWidth="1"/>
    <col min="2" max="2" width="25.85546875" style="260" customWidth="1"/>
    <col min="3" max="3" width="13.28515625" style="260" customWidth="1"/>
    <col min="4" max="4" width="11.7109375" style="260" customWidth="1"/>
    <col min="5" max="5" width="11.85546875" style="260" customWidth="1"/>
    <col min="6" max="6" width="11.5703125" style="260" customWidth="1"/>
    <col min="7" max="7" width="11.42578125" style="260"/>
    <col min="8" max="8" width="14" style="5" bestFit="1" customWidth="1"/>
    <col min="9" max="9" width="26.28515625" style="3" customWidth="1"/>
    <col min="10" max="15" width="11.42578125" style="3"/>
    <col min="16" max="16384" width="11.42578125" style="260"/>
  </cols>
  <sheetData>
    <row r="1" spans="1:9" ht="7.5" customHeight="1" thickBot="1">
      <c r="A1" s="459"/>
      <c r="B1" s="459"/>
      <c r="C1" s="459"/>
      <c r="D1" s="459"/>
      <c r="E1" s="459"/>
      <c r="F1" s="459"/>
      <c r="G1" s="459"/>
      <c r="H1" s="458"/>
      <c r="I1" s="62"/>
    </row>
    <row r="2" spans="1:9" ht="15.75" customHeight="1" thickBot="1">
      <c r="A2" s="459"/>
      <c r="B2" s="313"/>
      <c r="C2" s="314"/>
      <c r="D2" s="314"/>
      <c r="E2" s="314"/>
      <c r="F2" s="314"/>
      <c r="G2" s="315"/>
      <c r="H2" s="458"/>
      <c r="I2" s="62"/>
    </row>
    <row r="3" spans="1:9" ht="15.75">
      <c r="A3" s="459"/>
      <c r="B3" s="460"/>
      <c r="C3" s="461"/>
      <c r="D3" s="462" t="s">
        <v>41</v>
      </c>
      <c r="E3" s="461"/>
      <c r="F3" s="461"/>
      <c r="G3" s="463"/>
      <c r="H3" s="489"/>
      <c r="I3" s="464" t="s">
        <v>606</v>
      </c>
    </row>
    <row r="4" spans="1:9" ht="15.75">
      <c r="A4" s="459"/>
      <c r="B4" s="465"/>
      <c r="C4" s="466"/>
      <c r="D4" s="467" t="s">
        <v>17</v>
      </c>
      <c r="E4" s="466"/>
      <c r="F4" s="466"/>
      <c r="G4" s="468"/>
      <c r="H4" s="489"/>
      <c r="I4" s="62"/>
    </row>
    <row r="5" spans="1:9" ht="15.75">
      <c r="A5" s="459"/>
      <c r="B5" s="465"/>
      <c r="C5" s="466"/>
      <c r="D5" s="467" t="s">
        <v>771</v>
      </c>
      <c r="E5" s="466"/>
      <c r="F5" s="466"/>
      <c r="G5" s="468"/>
      <c r="H5" s="489"/>
      <c r="I5" s="62"/>
    </row>
    <row r="6" spans="1:9" ht="15.75">
      <c r="A6" s="459"/>
      <c r="B6" s="465"/>
      <c r="C6" s="466"/>
      <c r="D6" s="466"/>
      <c r="E6" s="466"/>
      <c r="F6" s="466"/>
      <c r="G6" s="468"/>
      <c r="H6" s="489"/>
      <c r="I6" s="62"/>
    </row>
    <row r="7" spans="1:9" ht="15.75">
      <c r="A7" s="459"/>
      <c r="B7" s="465"/>
      <c r="C7" s="466" t="s">
        <v>42</v>
      </c>
      <c r="D7" s="466" t="s">
        <v>43</v>
      </c>
      <c r="E7" s="466" t="s">
        <v>44</v>
      </c>
      <c r="F7" s="466" t="s">
        <v>45</v>
      </c>
      <c r="G7" s="468" t="s">
        <v>46</v>
      </c>
      <c r="H7" s="489"/>
      <c r="I7" s="62"/>
    </row>
    <row r="8" spans="1:9" ht="16.5" thickBot="1">
      <c r="A8" s="459"/>
      <c r="B8" s="469" t="s">
        <v>20</v>
      </c>
      <c r="C8" s="470" t="s">
        <v>47</v>
      </c>
      <c r="D8" s="470"/>
      <c r="E8" s="470"/>
      <c r="F8" s="470" t="s">
        <v>48</v>
      </c>
      <c r="G8" s="471" t="s">
        <v>49</v>
      </c>
      <c r="H8" s="489"/>
      <c r="I8" s="62"/>
    </row>
    <row r="9" spans="1:9" ht="16.5" customHeight="1">
      <c r="A9" s="459"/>
      <c r="B9" s="490" t="s">
        <v>50</v>
      </c>
      <c r="C9" s="491">
        <v>1957.13745990966</v>
      </c>
      <c r="D9" s="491">
        <v>103619.40288279117</v>
      </c>
      <c r="E9" s="491">
        <v>0</v>
      </c>
      <c r="F9" s="491">
        <v>-911.38588984677335</v>
      </c>
      <c r="G9" s="492">
        <v>106487.9262325476</v>
      </c>
      <c r="H9" s="489"/>
      <c r="I9" s="458"/>
    </row>
    <row r="10" spans="1:9" ht="16.5" customHeight="1">
      <c r="A10" s="459"/>
      <c r="B10" s="490" t="s">
        <v>51</v>
      </c>
      <c r="C10" s="491">
        <v>23568.220215219913</v>
      </c>
      <c r="D10" s="491">
        <v>8263.6502244328694</v>
      </c>
      <c r="E10" s="491">
        <v>0</v>
      </c>
      <c r="F10" s="491">
        <v>1764.6083099999996</v>
      </c>
      <c r="G10" s="492">
        <v>30067.262129652787</v>
      </c>
      <c r="H10" s="489"/>
      <c r="I10" s="458"/>
    </row>
    <row r="11" spans="1:9" ht="16.5" customHeight="1">
      <c r="A11" s="459"/>
      <c r="B11" s="490" t="s">
        <v>24</v>
      </c>
      <c r="C11" s="491">
        <v>3708.0321649999996</v>
      </c>
      <c r="D11" s="491">
        <v>38156.598983924494</v>
      </c>
      <c r="E11" s="491">
        <v>0</v>
      </c>
      <c r="F11" s="491">
        <v>1918.3063636803372</v>
      </c>
      <c r="G11" s="492">
        <v>39946.324785244156</v>
      </c>
      <c r="H11" s="489"/>
      <c r="I11" s="458"/>
    </row>
    <row r="12" spans="1:9" ht="16.5" customHeight="1">
      <c r="A12" s="459"/>
      <c r="B12" s="490" t="s">
        <v>25</v>
      </c>
      <c r="C12" s="491">
        <v>22283.143681192396</v>
      </c>
      <c r="D12" s="491">
        <v>0</v>
      </c>
      <c r="E12" s="491">
        <v>0</v>
      </c>
      <c r="F12" s="491">
        <v>632.83063562544055</v>
      </c>
      <c r="G12" s="492">
        <v>21650.31304556696</v>
      </c>
      <c r="H12" s="489"/>
      <c r="I12" s="458"/>
    </row>
    <row r="13" spans="1:9" ht="16.5" customHeight="1">
      <c r="A13" s="459"/>
      <c r="B13" s="490" t="s">
        <v>735</v>
      </c>
      <c r="C13" s="491">
        <v>67.94169162</v>
      </c>
      <c r="D13" s="491">
        <v>0</v>
      </c>
      <c r="E13" s="491">
        <v>0</v>
      </c>
      <c r="F13" s="491">
        <v>0</v>
      </c>
      <c r="G13" s="492">
        <v>67.94169162</v>
      </c>
      <c r="H13" s="489"/>
      <c r="I13" s="458"/>
    </row>
    <row r="14" spans="1:9" ht="16.5" customHeight="1">
      <c r="A14" s="459"/>
      <c r="B14" s="490" t="s">
        <v>40</v>
      </c>
      <c r="C14" s="491">
        <v>51279.987209247607</v>
      </c>
      <c r="D14" s="491">
        <v>0</v>
      </c>
      <c r="E14" s="491">
        <v>0</v>
      </c>
      <c r="F14" s="491">
        <v>0</v>
      </c>
      <c r="G14" s="492">
        <f>C14</f>
        <v>51279.987209247607</v>
      </c>
      <c r="H14" s="489"/>
      <c r="I14" s="458"/>
    </row>
    <row r="15" spans="1:9" ht="16.5" customHeight="1">
      <c r="A15" s="459"/>
      <c r="B15" s="490" t="s">
        <v>27</v>
      </c>
      <c r="C15" s="491">
        <v>68.800938663572154</v>
      </c>
      <c r="D15" s="491">
        <v>0</v>
      </c>
      <c r="E15" s="491">
        <v>0</v>
      </c>
      <c r="F15" s="491">
        <v>0</v>
      </c>
      <c r="G15" s="492">
        <v>68.800938663572154</v>
      </c>
      <c r="H15" s="489"/>
      <c r="I15" s="458"/>
    </row>
    <row r="16" spans="1:9">
      <c r="A16" s="459"/>
      <c r="B16" s="472" t="s">
        <v>28</v>
      </c>
      <c r="C16" s="473">
        <f>SUM(C9:C15)</f>
        <v>102933.26336085313</v>
      </c>
      <c r="D16" s="473">
        <f>SUM(D9:D15)</f>
        <v>150039.65209114854</v>
      </c>
      <c r="E16" s="473">
        <f>SUM(E9:E15)</f>
        <v>0</v>
      </c>
      <c r="F16" s="473">
        <f>SUM(F9:F15)</f>
        <v>3404.3594194590041</v>
      </c>
      <c r="G16" s="474">
        <f>SUM(G9:G15)</f>
        <v>249568.55603254269</v>
      </c>
      <c r="H16" s="489"/>
      <c r="I16" s="458"/>
    </row>
    <row r="17" spans="1:9" ht="13.5" thickBot="1">
      <c r="A17" s="459"/>
      <c r="B17" s="475"/>
      <c r="C17" s="476"/>
      <c r="D17" s="477"/>
      <c r="E17" s="477"/>
      <c r="F17" s="477"/>
      <c r="G17" s="478"/>
      <c r="H17" s="489"/>
      <c r="I17" s="458"/>
    </row>
    <row r="18" spans="1:9">
      <c r="A18" s="262"/>
      <c r="B18" s="455" t="s">
        <v>64</v>
      </c>
      <c r="C18" s="455"/>
      <c r="D18" s="455"/>
      <c r="E18" s="455"/>
      <c r="F18" s="455"/>
      <c r="G18" s="455"/>
      <c r="H18" s="453"/>
      <c r="I18" s="458"/>
    </row>
    <row r="19" spans="1:9">
      <c r="A19" s="262"/>
      <c r="B19" s="479" t="s">
        <v>52</v>
      </c>
      <c r="C19" s="479"/>
      <c r="D19" s="455"/>
      <c r="E19" s="455"/>
      <c r="F19" s="455"/>
      <c r="G19" s="455"/>
      <c r="H19" s="453"/>
      <c r="I19" s="62"/>
    </row>
    <row r="20" spans="1:9">
      <c r="A20" s="262"/>
      <c r="B20" s="479"/>
      <c r="C20" s="480" t="s">
        <v>831</v>
      </c>
      <c r="D20" s="481">
        <v>1158.8096651999999</v>
      </c>
      <c r="E20" s="481">
        <v>287.32258152966</v>
      </c>
      <c r="F20" s="455">
        <v>511.00521318000006</v>
      </c>
      <c r="G20" s="455"/>
      <c r="H20" s="453"/>
      <c r="I20" s="62"/>
    </row>
    <row r="21" spans="1:9">
      <c r="A21" s="262"/>
      <c r="B21" s="479" t="s">
        <v>53</v>
      </c>
      <c r="C21" s="479"/>
      <c r="D21" s="482" t="s">
        <v>54</v>
      </c>
      <c r="E21" s="203"/>
      <c r="F21" s="203"/>
      <c r="G21" s="203"/>
      <c r="H21" s="453"/>
      <c r="I21" s="62"/>
    </row>
    <row r="22" spans="1:9">
      <c r="A22" s="262"/>
      <c r="B22" s="479"/>
      <c r="C22" s="480" t="s">
        <v>829</v>
      </c>
      <c r="D22" s="483">
        <v>23568.220215219913</v>
      </c>
      <c r="E22" s="481">
        <v>0</v>
      </c>
      <c r="F22" s="455"/>
      <c r="G22" s="455"/>
      <c r="H22" s="453"/>
      <c r="I22" s="62"/>
    </row>
    <row r="23" spans="1:9">
      <c r="A23" s="262"/>
      <c r="B23" s="479" t="s">
        <v>55</v>
      </c>
      <c r="C23" s="479"/>
      <c r="D23" s="455" t="s">
        <v>56</v>
      </c>
      <c r="E23" s="455" t="s">
        <v>57</v>
      </c>
      <c r="F23" s="455"/>
      <c r="G23" s="484"/>
      <c r="H23" s="453"/>
      <c r="I23" s="62"/>
    </row>
    <row r="24" spans="1:9">
      <c r="A24" s="262"/>
      <c r="B24" s="479"/>
      <c r="C24" s="480" t="s">
        <v>830</v>
      </c>
      <c r="D24" s="483">
        <v>319.06053699999995</v>
      </c>
      <c r="E24" s="481">
        <v>1445.5477729999998</v>
      </c>
      <c r="F24" s="455"/>
      <c r="G24" s="455"/>
      <c r="H24" s="453"/>
      <c r="I24" s="62"/>
    </row>
    <row r="25" spans="1:9">
      <c r="A25" s="262"/>
      <c r="B25" s="479" t="s">
        <v>58</v>
      </c>
      <c r="C25" s="485"/>
      <c r="D25" s="455"/>
      <c r="E25" s="486">
        <v>353.16762763078441</v>
      </c>
      <c r="F25" s="455"/>
      <c r="G25" s="455"/>
      <c r="H25" s="453"/>
      <c r="I25" s="62"/>
    </row>
    <row r="26" spans="1:9">
      <c r="A26" s="262"/>
      <c r="B26" s="455"/>
      <c r="C26" s="455"/>
      <c r="D26" s="455"/>
      <c r="E26" s="455"/>
      <c r="F26" s="455"/>
      <c r="G26" s="455"/>
      <c r="H26" s="453"/>
      <c r="I26" s="62"/>
    </row>
    <row r="27" spans="1:9">
      <c r="A27" s="262"/>
      <c r="B27" s="1294" t="s">
        <v>798</v>
      </c>
      <c r="E27" s="488"/>
      <c r="F27" s="488"/>
      <c r="G27" s="452"/>
      <c r="H27" s="453"/>
      <c r="I27" s="62"/>
    </row>
    <row r="28" spans="1:9">
      <c r="A28" s="262"/>
      <c r="B28" s="479" t="s">
        <v>59</v>
      </c>
      <c r="C28" s="487"/>
      <c r="D28" s="488"/>
      <c r="E28" s="455"/>
      <c r="F28" s="455"/>
      <c r="G28" s="455"/>
      <c r="H28" s="453"/>
      <c r="I28" s="62"/>
    </row>
    <row r="29" spans="1:9">
      <c r="A29" s="262"/>
      <c r="B29" s="479" t="s">
        <v>60</v>
      </c>
      <c r="C29" s="455"/>
      <c r="D29" s="455"/>
      <c r="E29" s="455"/>
      <c r="F29" s="455"/>
      <c r="G29" s="455"/>
      <c r="H29" s="453"/>
      <c r="I29" s="62"/>
    </row>
    <row r="30" spans="1:9">
      <c r="A30" s="262"/>
      <c r="B30" s="479" t="s">
        <v>61</v>
      </c>
      <c r="C30" s="455"/>
      <c r="D30" s="455"/>
      <c r="E30" s="455"/>
      <c r="F30" s="455"/>
      <c r="G30" s="455"/>
      <c r="H30" s="453"/>
      <c r="I30" s="62"/>
    </row>
    <row r="31" spans="1:9">
      <c r="A31" s="262"/>
      <c r="B31" s="479" t="s">
        <v>62</v>
      </c>
      <c r="C31" s="455"/>
      <c r="D31" s="455"/>
      <c r="E31" s="455"/>
      <c r="F31" s="455"/>
      <c r="G31" s="455"/>
      <c r="H31" s="453"/>
      <c r="I31" s="62"/>
    </row>
    <row r="32" spans="1:9">
      <c r="A32" s="262"/>
      <c r="B32" s="455" t="s">
        <v>795</v>
      </c>
      <c r="C32" s="455"/>
      <c r="D32" s="455"/>
      <c r="E32" s="455"/>
      <c r="F32" s="455"/>
      <c r="G32" s="455"/>
      <c r="H32" s="453"/>
      <c r="I32" s="62"/>
    </row>
    <row r="33" spans="1:12">
      <c r="A33" s="262"/>
      <c r="B33" s="455" t="s">
        <v>773</v>
      </c>
      <c r="C33" s="455"/>
      <c r="D33" s="455"/>
      <c r="E33" s="56"/>
      <c r="F33" s="56"/>
      <c r="G33" s="56"/>
      <c r="H33" s="458"/>
      <c r="I33" s="62"/>
    </row>
    <row r="34" spans="1:12">
      <c r="A34" s="262"/>
      <c r="B34" s="56"/>
      <c r="C34" s="1360"/>
      <c r="D34" s="1360"/>
      <c r="E34" s="1360"/>
      <c r="F34" s="1360"/>
      <c r="G34" s="1360"/>
      <c r="H34" s="1361"/>
      <c r="I34" s="1361"/>
      <c r="J34" s="390"/>
      <c r="K34" s="394"/>
      <c r="L34" s="390"/>
    </row>
    <row r="35" spans="1:12">
      <c r="A35" s="459"/>
      <c r="B35" s="62"/>
      <c r="C35" s="798"/>
      <c r="D35" s="798"/>
      <c r="E35" s="798"/>
      <c r="F35" s="798"/>
      <c r="G35" s="798"/>
      <c r="H35" s="1361"/>
      <c r="I35" s="798"/>
      <c r="J35" s="394"/>
      <c r="K35" s="394"/>
      <c r="L35" s="394"/>
    </row>
    <row r="36" spans="1:12">
      <c r="A36" s="459"/>
      <c r="B36" s="62"/>
      <c r="C36" s="798"/>
      <c r="D36" s="798"/>
      <c r="E36" s="798"/>
      <c r="F36" s="798"/>
      <c r="G36" s="798"/>
      <c r="H36" s="1361"/>
      <c r="I36" s="798"/>
      <c r="J36" s="394"/>
      <c r="K36" s="394"/>
      <c r="L36" s="394"/>
    </row>
    <row r="37" spans="1:12">
      <c r="B37" s="3"/>
      <c r="C37" s="1390"/>
      <c r="D37" s="1391"/>
      <c r="E37" s="1391"/>
      <c r="F37" s="1391"/>
      <c r="G37" s="1391"/>
      <c r="H37" s="1391"/>
      <c r="I37" s="1391"/>
      <c r="J37" s="1391"/>
      <c r="K37" s="1391"/>
      <c r="L37" s="394"/>
    </row>
    <row r="38" spans="1:12">
      <c r="B38" s="3"/>
      <c r="C38" s="1390"/>
      <c r="D38" s="1359"/>
      <c r="E38" s="1359"/>
      <c r="F38" s="1359"/>
      <c r="G38" s="1359"/>
      <c r="H38" s="1359"/>
      <c r="I38" s="1359"/>
      <c r="J38" s="1359"/>
      <c r="K38" s="1359"/>
      <c r="L38" s="394"/>
    </row>
    <row r="39" spans="1:12">
      <c r="B39" s="3"/>
      <c r="C39" s="1362"/>
      <c r="D39" s="1363"/>
      <c r="E39" s="1363"/>
      <c r="F39" s="1363"/>
      <c r="G39" s="1363"/>
      <c r="H39" s="1363"/>
      <c r="I39" s="1363"/>
      <c r="J39" s="1363"/>
      <c r="K39" s="1363"/>
      <c r="L39" s="394"/>
    </row>
    <row r="40" spans="1:12">
      <c r="B40" s="3"/>
      <c r="C40" s="1362"/>
      <c r="D40" s="1363"/>
      <c r="E40" s="1363"/>
      <c r="F40" s="1363"/>
      <c r="G40" s="1363"/>
      <c r="H40" s="1363"/>
      <c r="I40" s="1363"/>
      <c r="J40" s="1363"/>
      <c r="K40" s="1363"/>
      <c r="L40" s="394"/>
    </row>
    <row r="41" spans="1:12">
      <c r="B41" s="3"/>
      <c r="C41" s="1362"/>
      <c r="D41" s="1363"/>
      <c r="E41" s="1363"/>
      <c r="F41" s="1363"/>
      <c r="G41" s="1363"/>
      <c r="H41" s="1363"/>
      <c r="I41" s="1363"/>
      <c r="J41" s="1363"/>
      <c r="K41" s="1363"/>
      <c r="L41" s="394"/>
    </row>
    <row r="42" spans="1:12">
      <c r="B42" s="3"/>
      <c r="C42" s="1362"/>
      <c r="D42" s="1363"/>
      <c r="E42" s="1363"/>
      <c r="F42" s="1363"/>
      <c r="G42" s="1363"/>
      <c r="H42" s="1363"/>
      <c r="I42" s="1363"/>
      <c r="J42" s="1363"/>
      <c r="K42" s="1363"/>
      <c r="L42" s="394"/>
    </row>
    <row r="43" spans="1:12">
      <c r="B43" s="3"/>
      <c r="C43" s="1364"/>
      <c r="D43" s="1365"/>
      <c r="E43" s="1365"/>
      <c r="F43" s="1365"/>
      <c r="G43" s="1365"/>
      <c r="H43" s="1365"/>
      <c r="I43" s="1365"/>
      <c r="J43" s="1365"/>
      <c r="K43" s="1365"/>
      <c r="L43" s="394"/>
    </row>
    <row r="44" spans="1:12">
      <c r="A44" s="3"/>
      <c r="B44" s="3"/>
      <c r="C44" s="394"/>
      <c r="D44" s="394"/>
      <c r="E44" s="394"/>
      <c r="F44" s="394"/>
      <c r="G44" s="394"/>
      <c r="H44" s="390"/>
      <c r="I44" s="394"/>
      <c r="J44" s="394"/>
      <c r="K44" s="394"/>
      <c r="L44" s="394"/>
    </row>
    <row r="45" spans="1:12">
      <c r="A45" s="3"/>
      <c r="B45" s="3"/>
      <c r="C45" s="394"/>
      <c r="D45" s="394"/>
      <c r="E45" s="394"/>
      <c r="F45" s="394"/>
      <c r="G45" s="394"/>
      <c r="H45" s="390"/>
      <c r="I45" s="394"/>
      <c r="J45" s="394"/>
      <c r="K45" s="394"/>
      <c r="L45" s="394"/>
    </row>
    <row r="46" spans="1:12">
      <c r="A46" s="3"/>
      <c r="B46" s="3"/>
      <c r="C46" s="394"/>
      <c r="D46" s="394"/>
      <c r="E46" s="394"/>
      <c r="F46" s="394"/>
      <c r="G46" s="390"/>
      <c r="H46" s="390"/>
      <c r="I46" s="394"/>
      <c r="J46" s="394"/>
      <c r="K46" s="394"/>
      <c r="L46" s="394"/>
    </row>
    <row r="47" spans="1:12">
      <c r="A47" s="3"/>
      <c r="B47" s="3"/>
      <c r="C47" s="3"/>
      <c r="D47" s="3"/>
      <c r="E47" s="3"/>
      <c r="F47" s="3"/>
      <c r="G47" s="3"/>
    </row>
    <row r="48" spans="1:12">
      <c r="A48" s="3"/>
      <c r="B48" s="3"/>
      <c r="C48" s="3"/>
      <c r="D48" s="3"/>
      <c r="E48" s="3"/>
      <c r="F48" s="3"/>
      <c r="G48" s="3"/>
    </row>
    <row r="49" spans="8:8" s="3" customFormat="1">
      <c r="H49" s="5"/>
    </row>
    <row r="50" spans="8:8" s="3" customFormat="1">
      <c r="H50" s="5"/>
    </row>
    <row r="51" spans="8:8" s="3" customFormat="1">
      <c r="H51" s="5"/>
    </row>
    <row r="52" spans="8:8" s="3" customFormat="1">
      <c r="H52" s="5"/>
    </row>
    <row r="53" spans="8:8" s="3" customFormat="1">
      <c r="H53" s="5"/>
    </row>
    <row r="54" spans="8:8" s="3" customFormat="1">
      <c r="H54" s="5"/>
    </row>
    <row r="55" spans="8:8" s="3" customFormat="1">
      <c r="H55" s="5"/>
    </row>
    <row r="56" spans="8:8" s="3" customFormat="1">
      <c r="H56" s="5"/>
    </row>
    <row r="57" spans="8:8" s="3" customFormat="1">
      <c r="H57" s="5"/>
    </row>
    <row r="58" spans="8:8" s="3" customFormat="1">
      <c r="H58" s="5"/>
    </row>
    <row r="59" spans="8:8" s="3" customFormat="1">
      <c r="H59" s="5"/>
    </row>
    <row r="60" spans="8:8" s="3" customFormat="1">
      <c r="H60" s="5"/>
    </row>
    <row r="61" spans="8:8" s="3" customFormat="1">
      <c r="H61" s="5"/>
    </row>
    <row r="62" spans="8:8" s="3" customFormat="1">
      <c r="H62" s="5"/>
    </row>
    <row r="63" spans="8:8" s="3" customFormat="1">
      <c r="H63" s="5"/>
    </row>
    <row r="64" spans="8:8" s="3" customFormat="1">
      <c r="H64" s="5"/>
    </row>
  </sheetData>
  <mergeCells count="2">
    <mergeCell ref="C37:C38"/>
    <mergeCell ref="D37:K37"/>
  </mergeCells>
  <phoneticPr fontId="0" type="noConversion"/>
  <hyperlinks>
    <hyperlink ref="I3" location="INDICE!A1" display="VOLVER A INDICE"/>
  </hyperlinks>
  <pageMargins left="0.75" right="0.75" top="1" bottom="1" header="0" footer="0"/>
  <pageSetup scale="89" orientation="portrait" verticalDpi="0"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X82"/>
  <sheetViews>
    <sheetView workbookViewId="0">
      <pane ySplit="9" topLeftCell="A10" activePane="bottomLeft" state="frozen"/>
      <selection pane="bottomLeft" activeCell="K11" sqref="K11"/>
    </sheetView>
  </sheetViews>
  <sheetFormatPr baseColWidth="10" defaultRowHeight="12.75" outlineLevelRow="1"/>
  <cols>
    <col min="1" max="1" width="1.85546875" style="261" customWidth="1"/>
    <col min="2" max="2" width="26" style="261" customWidth="1"/>
    <col min="3" max="3" width="15" style="261" customWidth="1"/>
    <col min="4" max="4" width="15.5703125" style="261" customWidth="1"/>
    <col min="5" max="5" width="16.140625" style="261" customWidth="1"/>
    <col min="6" max="6" width="16.5703125" style="261" customWidth="1"/>
    <col min="7" max="7" width="14.28515625" style="261" customWidth="1"/>
    <col min="8" max="8" width="18.140625" style="261" customWidth="1"/>
    <col min="9" max="9" width="14.28515625" style="261" customWidth="1"/>
    <col min="10" max="24" width="11.42578125" style="5"/>
    <col min="25" max="16384" width="11.42578125" style="261"/>
  </cols>
  <sheetData>
    <row r="1" spans="1:13" ht="8.25" customHeight="1" thickBot="1">
      <c r="A1" s="421"/>
      <c r="B1" s="421"/>
      <c r="C1" s="421"/>
      <c r="D1" s="421"/>
      <c r="E1" s="421"/>
      <c r="F1" s="421"/>
      <c r="G1" s="421"/>
      <c r="H1" s="421"/>
      <c r="I1" s="421"/>
      <c r="J1" s="458"/>
    </row>
    <row r="2" spans="1:13" ht="13.5" thickBot="1">
      <c r="A2" s="421"/>
      <c r="B2" s="422"/>
      <c r="C2" s="423"/>
      <c r="D2" s="423"/>
      <c r="E2" s="423"/>
      <c r="F2" s="423"/>
      <c r="G2" s="423"/>
      <c r="H2" s="423"/>
      <c r="I2" s="424"/>
      <c r="J2" s="1001" t="s">
        <v>606</v>
      </c>
      <c r="K2" s="8"/>
      <c r="L2" s="8"/>
    </row>
    <row r="3" spans="1:13" ht="15.75">
      <c r="A3" s="421"/>
      <c r="B3" s="425"/>
      <c r="C3" s="426"/>
      <c r="D3" s="426"/>
      <c r="E3" s="427" t="s">
        <v>65</v>
      </c>
      <c r="F3" s="426"/>
      <c r="G3" s="428"/>
      <c r="H3" s="428"/>
      <c r="I3" s="429"/>
      <c r="J3" s="1002"/>
      <c r="K3" s="8"/>
      <c r="L3" s="8"/>
    </row>
    <row r="4" spans="1:13" ht="15.75">
      <c r="A4" s="421"/>
      <c r="B4" s="430"/>
      <c r="C4" s="431"/>
      <c r="D4" s="431"/>
      <c r="E4" s="432" t="s">
        <v>66</v>
      </c>
      <c r="F4" s="431"/>
      <c r="G4" s="433"/>
      <c r="H4" s="433"/>
      <c r="I4" s="434"/>
      <c r="J4" s="1002"/>
      <c r="K4" s="8"/>
      <c r="L4" s="8"/>
    </row>
    <row r="5" spans="1:13" ht="15.75">
      <c r="A5" s="421"/>
      <c r="B5" s="430"/>
      <c r="C5" s="431"/>
      <c r="D5" s="431"/>
      <c r="E5" s="432"/>
      <c r="F5" s="431"/>
      <c r="G5" s="433"/>
      <c r="H5" s="433"/>
      <c r="I5" s="434"/>
      <c r="J5" s="1002"/>
      <c r="K5" s="8"/>
      <c r="L5" s="8"/>
    </row>
    <row r="6" spans="1:13" ht="15.75">
      <c r="A6" s="421"/>
      <c r="B6" s="430"/>
      <c r="C6" s="431"/>
      <c r="D6" s="431"/>
      <c r="E6" s="432" t="s">
        <v>777</v>
      </c>
      <c r="F6" s="431"/>
      <c r="G6" s="433"/>
      <c r="H6" s="433"/>
      <c r="I6" s="434"/>
      <c r="J6" s="1002"/>
      <c r="K6" s="8"/>
      <c r="L6" s="8"/>
    </row>
    <row r="7" spans="1:13" ht="15.75">
      <c r="A7" s="421"/>
      <c r="B7" s="430"/>
      <c r="C7" s="431"/>
      <c r="D7" s="431"/>
      <c r="E7" s="431"/>
      <c r="F7" s="431"/>
      <c r="G7" s="433"/>
      <c r="H7" s="433"/>
      <c r="I7" s="434"/>
      <c r="J7" s="1002"/>
      <c r="K7" s="8"/>
      <c r="L7" s="8"/>
    </row>
    <row r="8" spans="1:13" ht="15.75">
      <c r="A8" s="421"/>
      <c r="B8" s="430" t="s">
        <v>20</v>
      </c>
      <c r="C8" s="432" t="s">
        <v>42</v>
      </c>
      <c r="D8" s="432" t="s">
        <v>43</v>
      </c>
      <c r="E8" s="432" t="s">
        <v>44</v>
      </c>
      <c r="F8" s="432" t="s">
        <v>63</v>
      </c>
      <c r="G8" s="432" t="s">
        <v>46</v>
      </c>
      <c r="H8" s="432" t="s">
        <v>46</v>
      </c>
      <c r="I8" s="435" t="s">
        <v>46</v>
      </c>
      <c r="J8" s="1002"/>
      <c r="K8" s="8"/>
      <c r="L8" s="8"/>
    </row>
    <row r="9" spans="1:13" ht="16.5" thickBot="1">
      <c r="A9" s="421"/>
      <c r="B9" s="436"/>
      <c r="C9" s="437" t="s">
        <v>47</v>
      </c>
      <c r="D9" s="437"/>
      <c r="E9" s="437"/>
      <c r="F9" s="437" t="s">
        <v>67</v>
      </c>
      <c r="G9" s="437" t="s">
        <v>68</v>
      </c>
      <c r="H9" s="437" t="s">
        <v>69</v>
      </c>
      <c r="I9" s="438" t="s">
        <v>70</v>
      </c>
      <c r="J9" s="449"/>
      <c r="K9" s="8"/>
      <c r="L9" s="8"/>
    </row>
    <row r="10" spans="1:13" ht="16.5" customHeight="1">
      <c r="A10" s="421"/>
      <c r="B10" s="439" t="s">
        <v>89</v>
      </c>
      <c r="C10" s="440">
        <f t="shared" ref="C10:I10" si="0">SUM(C11:C19)</f>
        <v>105499.08467505399</v>
      </c>
      <c r="D10" s="440">
        <f t="shared" si="0"/>
        <v>68627.807858758853</v>
      </c>
      <c r="E10" s="440">
        <f t="shared" si="0"/>
        <v>13447.891626481998</v>
      </c>
      <c r="F10" s="440">
        <f t="shared" si="0"/>
        <v>-2246.7254110136546</v>
      </c>
      <c r="G10" s="440">
        <f t="shared" si="0"/>
        <v>139138.92386538599</v>
      </c>
      <c r="H10" s="440">
        <f t="shared" si="0"/>
        <v>23786.802452958484</v>
      </c>
      <c r="I10" s="441">
        <f t="shared" si="0"/>
        <v>162925.72631834444</v>
      </c>
      <c r="J10" s="449"/>
      <c r="K10" s="7"/>
      <c r="L10" s="7"/>
      <c r="M10" s="7"/>
    </row>
    <row r="11" spans="1:13" ht="16.5" customHeight="1" outlineLevel="1">
      <c r="A11" s="421"/>
      <c r="B11" s="589" t="s">
        <v>71</v>
      </c>
      <c r="C11" s="419">
        <v>18923.525302499998</v>
      </c>
      <c r="D11" s="419">
        <v>4963.1864680125</v>
      </c>
      <c r="E11" s="419">
        <v>847.01147894999997</v>
      </c>
      <c r="F11" s="419">
        <v>966.35113574999832</v>
      </c>
      <c r="G11" s="419">
        <f>CONS_TERAC!D47</f>
        <v>19503.744409243496</v>
      </c>
      <c r="H11" s="419">
        <f>CONS_TERAC!D57</f>
        <v>2569.6047465689999</v>
      </c>
      <c r="I11" s="420">
        <f>CONS_TERAC!D60</f>
        <v>22073.349155812495</v>
      </c>
      <c r="J11" s="449"/>
      <c r="K11" s="384"/>
      <c r="L11" s="384"/>
      <c r="M11" s="384"/>
    </row>
    <row r="12" spans="1:13" ht="16.5" customHeight="1" outlineLevel="1">
      <c r="A12" s="421"/>
      <c r="B12" s="589" t="s">
        <v>72</v>
      </c>
      <c r="C12" s="419">
        <v>37512.607992971993</v>
      </c>
      <c r="D12" s="419">
        <v>45611.942778616802</v>
      </c>
      <c r="E12" s="419">
        <v>5168.8609708679978</v>
      </c>
      <c r="F12" s="419">
        <v>-4715.189597661586</v>
      </c>
      <c r="G12" s="419">
        <f>CONS_TERAC!C47</f>
        <v>62576.936457995798</v>
      </c>
      <c r="H12" s="419">
        <f>CONS_TERAC!C57</f>
        <v>20093.942940386594</v>
      </c>
      <c r="I12" s="420">
        <f>CONS_TERAC!C60</f>
        <v>82670.879398382385</v>
      </c>
      <c r="J12" s="449"/>
      <c r="K12" s="384"/>
      <c r="L12" s="384"/>
      <c r="M12" s="384"/>
    </row>
    <row r="13" spans="1:13" ht="16.5" customHeight="1" outlineLevel="1">
      <c r="A13" s="421"/>
      <c r="B13" s="589" t="s">
        <v>740</v>
      </c>
      <c r="C13" s="419">
        <v>27380.344138447988</v>
      </c>
      <c r="D13" s="419">
        <v>6255.020895312</v>
      </c>
      <c r="E13" s="419">
        <v>6748.3927770560013</v>
      </c>
      <c r="F13" s="419">
        <v>-1032.5177045120031</v>
      </c>
      <c r="G13" s="419">
        <f>CONS_TERAC!E47</f>
        <v>27919.489961215993</v>
      </c>
      <c r="H13" s="419">
        <f>CONS_TERAC!E57</f>
        <v>0</v>
      </c>
      <c r="I13" s="420">
        <f>CONS_TERAC!E60</f>
        <v>27919.489961215993</v>
      </c>
      <c r="J13" s="449"/>
      <c r="K13" s="384"/>
      <c r="L13" s="384"/>
      <c r="M13" s="384"/>
    </row>
    <row r="14" spans="1:13" ht="16.5" customHeight="1" outlineLevel="1">
      <c r="A14" s="421"/>
      <c r="B14" s="589" t="s">
        <v>73</v>
      </c>
      <c r="C14" s="419">
        <v>678.76205850000008</v>
      </c>
      <c r="D14" s="419">
        <v>0</v>
      </c>
      <c r="E14" s="419">
        <v>0</v>
      </c>
      <c r="F14" s="419">
        <v>-667.03248081900006</v>
      </c>
      <c r="G14" s="419">
        <f>CONS_TERAC!F47</f>
        <v>1345.7945393190003</v>
      </c>
      <c r="H14" s="419">
        <f>CONS_TERAC!F57</f>
        <v>0</v>
      </c>
      <c r="I14" s="420">
        <f>CONS_TERAC!F60</f>
        <v>1345.7945393190003</v>
      </c>
      <c r="J14" s="449"/>
      <c r="K14" s="384"/>
      <c r="L14" s="384"/>
      <c r="M14" s="384"/>
    </row>
    <row r="15" spans="1:13" ht="16.5" customHeight="1" outlineLevel="1">
      <c r="A15" s="421"/>
      <c r="B15" s="589" t="s">
        <v>74</v>
      </c>
      <c r="C15" s="419">
        <v>9096.6720437999993</v>
      </c>
      <c r="D15" s="419">
        <v>9827.2807492295433</v>
      </c>
      <c r="E15" s="419">
        <v>381.89146960799997</v>
      </c>
      <c r="F15" s="419">
        <v>2096.398584976097</v>
      </c>
      <c r="G15" s="419">
        <f>CONS_TERAC!G47</f>
        <v>15510.941989896553</v>
      </c>
      <c r="H15" s="419">
        <f>CONS_TERAC!G57</f>
        <v>934.72074854889183</v>
      </c>
      <c r="I15" s="420">
        <f>CONS_TERAC!G60</f>
        <v>16445.662738445444</v>
      </c>
      <c r="J15" s="449"/>
      <c r="K15" s="384"/>
      <c r="L15" s="384"/>
      <c r="M15" s="384"/>
    </row>
    <row r="16" spans="1:13" ht="16.5" customHeight="1" outlineLevel="1">
      <c r="A16" s="421"/>
      <c r="B16" s="589" t="s">
        <v>75</v>
      </c>
      <c r="C16" s="419">
        <v>70.634171999999992</v>
      </c>
      <c r="D16" s="419">
        <v>0</v>
      </c>
      <c r="E16" s="419">
        <v>0</v>
      </c>
      <c r="F16" s="419">
        <v>14.367191999999999</v>
      </c>
      <c r="G16" s="419">
        <f>CONS_TERAC!H47</f>
        <v>56.266979999999997</v>
      </c>
      <c r="H16" s="419">
        <f>CONS_TERAC!H57</f>
        <v>0</v>
      </c>
      <c r="I16" s="420">
        <f>CONS_TERAC!H60</f>
        <v>56.266979999999997</v>
      </c>
      <c r="J16" s="449"/>
      <c r="K16" s="384"/>
      <c r="L16" s="384"/>
      <c r="M16" s="384"/>
    </row>
    <row r="17" spans="1:13" ht="16.5" customHeight="1" outlineLevel="1">
      <c r="A17" s="421"/>
      <c r="B17" s="589" t="s">
        <v>76</v>
      </c>
      <c r="C17" s="419">
        <v>6858.2134215000005</v>
      </c>
      <c r="D17" s="419">
        <v>1935.4769975879999</v>
      </c>
      <c r="E17" s="419">
        <v>0</v>
      </c>
      <c r="F17" s="419">
        <v>1039.3869818028393</v>
      </c>
      <c r="G17" s="419">
        <f>CONS_TERAC!I47</f>
        <v>7754.3034372851607</v>
      </c>
      <c r="H17" s="419">
        <f>CONS_TERAC!I57</f>
        <v>0</v>
      </c>
      <c r="I17" s="420">
        <f>CONS_TERAC!I60</f>
        <v>7754.3034372851607</v>
      </c>
      <c r="J17" s="449"/>
      <c r="K17" s="384"/>
      <c r="L17" s="384"/>
      <c r="M17" s="384"/>
    </row>
    <row r="18" spans="1:13" ht="16.5" customHeight="1" outlineLevel="1">
      <c r="A18" s="421"/>
      <c r="B18" s="589" t="s">
        <v>77</v>
      </c>
      <c r="C18" s="419">
        <v>1379.3031000000001</v>
      </c>
      <c r="D18" s="419">
        <v>34.899969999999996</v>
      </c>
      <c r="E18" s="419">
        <v>301.73493000000008</v>
      </c>
      <c r="F18" s="419">
        <v>54.83747744999993</v>
      </c>
      <c r="G18" s="419">
        <f>CONS_TERAC!J47</f>
        <v>1057.6306625499997</v>
      </c>
      <c r="H18" s="419">
        <f>CONS_TERAC!J57</f>
        <v>0</v>
      </c>
      <c r="I18" s="420">
        <f>CONS_TERAC!J60</f>
        <v>1057.6306625499997</v>
      </c>
      <c r="J18" s="449"/>
      <c r="K18" s="384"/>
      <c r="L18" s="384"/>
      <c r="M18" s="384"/>
    </row>
    <row r="19" spans="1:13" ht="16.5" customHeight="1" outlineLevel="1">
      <c r="A19" s="421"/>
      <c r="B19" s="589" t="s">
        <v>78</v>
      </c>
      <c r="C19" s="419">
        <v>3599.0224453340006</v>
      </c>
      <c r="D19" s="419">
        <v>0</v>
      </c>
      <c r="E19" s="419">
        <v>0</v>
      </c>
      <c r="F19" s="419">
        <v>-3.3269999999998392</v>
      </c>
      <c r="G19" s="419">
        <f>CONS_TERAC!K47</f>
        <v>3413.8154278800007</v>
      </c>
      <c r="H19" s="419">
        <f>CONS_TERAC!K57</f>
        <v>188.53401745400006</v>
      </c>
      <c r="I19" s="420">
        <f>CONS_TERAC!K60</f>
        <v>3602.3494453340008</v>
      </c>
      <c r="J19" s="449"/>
      <c r="K19" s="384"/>
      <c r="L19" s="384"/>
      <c r="M19" s="384"/>
    </row>
    <row r="20" spans="1:13" ht="16.5" customHeight="1">
      <c r="A20" s="421"/>
      <c r="B20" s="442" t="s">
        <v>35</v>
      </c>
      <c r="C20" s="440">
        <v>51333.438527762657</v>
      </c>
      <c r="D20" s="440">
        <v>1159.28</v>
      </c>
      <c r="E20" s="440">
        <v>0</v>
      </c>
      <c r="F20" s="440">
        <v>4291.6041415141517</v>
      </c>
      <c r="G20" s="440">
        <f>CONS_TERAC!M47</f>
        <v>48201.114386248504</v>
      </c>
      <c r="H20" s="440">
        <f>CONS_TERAC!M57</f>
        <v>0</v>
      </c>
      <c r="I20" s="441">
        <f>CONS_TERAC!M60</f>
        <v>48201.114386248504</v>
      </c>
      <c r="J20" s="449"/>
      <c r="K20" s="7"/>
      <c r="L20" s="7"/>
      <c r="M20" s="7"/>
    </row>
    <row r="21" spans="1:13" ht="16.5" customHeight="1">
      <c r="A21" s="421"/>
      <c r="B21" s="442" t="s">
        <v>79</v>
      </c>
      <c r="C21" s="440">
        <v>39946.324785244156</v>
      </c>
      <c r="D21" s="440">
        <v>0</v>
      </c>
      <c r="E21" s="440">
        <v>0</v>
      </c>
      <c r="F21" s="440">
        <v>0</v>
      </c>
      <c r="G21" s="440">
        <f>CONS_TERAC!N47</f>
        <v>2185.4170141856107</v>
      </c>
      <c r="H21" s="440">
        <f>CONS_TERAC!N57</f>
        <v>37760.907771058541</v>
      </c>
      <c r="I21" s="441">
        <f>CONS_TERAC!N60</f>
        <v>39946.324785244149</v>
      </c>
      <c r="J21" s="449"/>
      <c r="K21" s="7"/>
      <c r="L21" s="7"/>
      <c r="M21" s="7"/>
    </row>
    <row r="22" spans="1:13" ht="16.5" customHeight="1">
      <c r="A22" s="421"/>
      <c r="B22" s="442" t="s">
        <v>80</v>
      </c>
      <c r="C22" s="440">
        <v>7605.3931346696036</v>
      </c>
      <c r="D22" s="440">
        <v>2940.1153326999997</v>
      </c>
      <c r="E22" s="440">
        <v>0</v>
      </c>
      <c r="F22" s="440">
        <v>338.3511196095078</v>
      </c>
      <c r="G22" s="440">
        <f>CONS_TERAC!O47</f>
        <v>4084.351500590491</v>
      </c>
      <c r="H22" s="440">
        <f>CONS_TERAC!O57</f>
        <v>6122.8058471696031</v>
      </c>
      <c r="I22" s="441">
        <f>CONS_TERAC!O60</f>
        <v>10207.157347760094</v>
      </c>
      <c r="J22" s="449"/>
      <c r="K22" s="7"/>
      <c r="L22" s="7"/>
      <c r="M22" s="7"/>
    </row>
    <row r="23" spans="1:13" ht="16.5" customHeight="1">
      <c r="A23" s="421"/>
      <c r="B23" s="442" t="s">
        <v>81</v>
      </c>
      <c r="C23" s="440">
        <v>182.905</v>
      </c>
      <c r="D23" s="440">
        <v>0</v>
      </c>
      <c r="E23" s="440">
        <v>0</v>
      </c>
      <c r="F23" s="440">
        <v>18.97</v>
      </c>
      <c r="G23" s="440">
        <f>CONS_TERAC!P47</f>
        <v>163.935</v>
      </c>
      <c r="H23" s="440">
        <f>CONS_TERAC!P57</f>
        <v>0</v>
      </c>
      <c r="I23" s="441">
        <f>CONS_TERAC!P60</f>
        <v>163.935</v>
      </c>
      <c r="J23" s="449"/>
      <c r="K23" s="7"/>
      <c r="L23" s="7"/>
      <c r="M23" s="7"/>
    </row>
    <row r="24" spans="1:13" ht="16.5" customHeight="1">
      <c r="A24" s="421"/>
      <c r="B24" s="442" t="s">
        <v>82</v>
      </c>
      <c r="C24" s="440">
        <v>1233.3052522059857</v>
      </c>
      <c r="D24" s="440">
        <v>0</v>
      </c>
      <c r="E24" s="440">
        <v>0</v>
      </c>
      <c r="F24" s="440">
        <v>19.690683599472322</v>
      </c>
      <c r="G24" s="440">
        <f>CONS_TERAC!Q47</f>
        <v>1213.6145686065133</v>
      </c>
      <c r="H24" s="440">
        <f>CONS_TERAC!Q57</f>
        <v>0</v>
      </c>
      <c r="I24" s="441">
        <f>CONS_TERAC!Q60</f>
        <v>1213.6145686065133</v>
      </c>
      <c r="J24" s="449"/>
      <c r="K24" s="7"/>
      <c r="L24" s="7"/>
      <c r="M24" s="7"/>
    </row>
    <row r="25" spans="1:13" ht="16.5" customHeight="1">
      <c r="A25" s="421"/>
      <c r="B25" s="442" t="s">
        <v>83</v>
      </c>
      <c r="C25" s="440">
        <v>1059.98164</v>
      </c>
      <c r="D25" s="440">
        <v>0</v>
      </c>
      <c r="E25" s="440">
        <v>0</v>
      </c>
      <c r="F25" s="440">
        <v>180.22763999999998</v>
      </c>
      <c r="G25" s="440">
        <f>CONS_TERAC!R47</f>
        <v>879.75400000000002</v>
      </c>
      <c r="H25" s="440">
        <f>CONS_TERAC!R57</f>
        <v>0</v>
      </c>
      <c r="I25" s="441">
        <f>CONS_TERAC!R60</f>
        <v>879.75400000000002</v>
      </c>
      <c r="J25" s="449"/>
      <c r="K25" s="7"/>
      <c r="L25" s="7"/>
      <c r="M25" s="7"/>
    </row>
    <row r="26" spans="1:13" ht="16.5" customHeight="1">
      <c r="A26" s="421"/>
      <c r="B26" s="442" t="s">
        <v>84</v>
      </c>
      <c r="C26" s="440">
        <v>29714.094502022002</v>
      </c>
      <c r="D26" s="440">
        <v>0</v>
      </c>
      <c r="E26" s="440">
        <v>0</v>
      </c>
      <c r="F26" s="440">
        <v>0</v>
      </c>
      <c r="G26" s="440">
        <f>CONS_TERAC!S47</f>
        <v>7314.607861541328</v>
      </c>
      <c r="H26" s="440">
        <f>CONS_TERAC!S57</f>
        <v>22399.486640480674</v>
      </c>
      <c r="I26" s="441">
        <f>CONS_TERAC!S60</f>
        <v>29714.094502022002</v>
      </c>
      <c r="J26" s="449"/>
      <c r="K26" s="7"/>
      <c r="L26" s="7"/>
      <c r="M26" s="7"/>
    </row>
    <row r="27" spans="1:13" ht="16.5" customHeight="1">
      <c r="A27" s="421"/>
      <c r="B27" s="442" t="s">
        <v>39</v>
      </c>
      <c r="C27" s="440">
        <v>5098.0738685039996</v>
      </c>
      <c r="D27" s="440">
        <v>0</v>
      </c>
      <c r="E27" s="440">
        <v>4432.5817789377579</v>
      </c>
      <c r="F27" s="440">
        <v>218.42596368937146</v>
      </c>
      <c r="G27" s="440">
        <f>CONS_TERAC!T47</f>
        <v>447.06612587687079</v>
      </c>
      <c r="H27" s="440">
        <f>CONS_TERAC!T57</f>
        <v>0</v>
      </c>
      <c r="I27" s="441">
        <f>CONS_TERAC!T60</f>
        <v>447.06612587687079</v>
      </c>
      <c r="J27" s="449"/>
      <c r="K27" s="7"/>
      <c r="L27" s="7"/>
      <c r="M27" s="7"/>
    </row>
    <row r="28" spans="1:13" ht="16.5" customHeight="1">
      <c r="A28" s="421"/>
      <c r="B28" s="442" t="s">
        <v>26</v>
      </c>
      <c r="C28" s="440">
        <v>51279.987209247607</v>
      </c>
      <c r="D28" s="440">
        <v>0</v>
      </c>
      <c r="E28" s="440">
        <v>0</v>
      </c>
      <c r="F28" s="440">
        <v>0</v>
      </c>
      <c r="G28" s="440">
        <f>CONS_TERAC!V47</f>
        <v>45399.804810847534</v>
      </c>
      <c r="H28" s="440">
        <f>CONS_TERAC!V57</f>
        <v>5880.1823984000757</v>
      </c>
      <c r="I28" s="441">
        <f>CONS_TERAC!V60</f>
        <v>51279.987209247607</v>
      </c>
      <c r="J28" s="449"/>
      <c r="K28" s="7"/>
      <c r="L28" s="7"/>
      <c r="M28" s="7"/>
    </row>
    <row r="29" spans="1:13" ht="16.5" customHeight="1">
      <c r="A29" s="421"/>
      <c r="B29" s="442" t="s">
        <v>27</v>
      </c>
      <c r="C29" s="440">
        <v>68.800938663572154</v>
      </c>
      <c r="D29" s="440">
        <v>0</v>
      </c>
      <c r="E29" s="440">
        <v>0</v>
      </c>
      <c r="F29" s="440">
        <v>0</v>
      </c>
      <c r="G29" s="440">
        <f>CONS_TERAC!U47</f>
        <v>0</v>
      </c>
      <c r="H29" s="440">
        <f>CONS_TERAC!U57</f>
        <v>68.800938663572154</v>
      </c>
      <c r="I29" s="441">
        <f>CONS_TERAC!U60</f>
        <v>68.800938663572154</v>
      </c>
      <c r="J29" s="449"/>
      <c r="K29" s="7"/>
      <c r="L29" s="7"/>
      <c r="M29" s="7"/>
    </row>
    <row r="30" spans="1:13" ht="13.5" thickBot="1">
      <c r="A30" s="421"/>
      <c r="B30" s="443" t="s">
        <v>28</v>
      </c>
      <c r="C30" s="444">
        <f t="shared" ref="C30:I30" si="1">C10+SUM(C20:C29)</f>
        <v>293021.38953337359</v>
      </c>
      <c r="D30" s="444">
        <f t="shared" si="1"/>
        <v>72727.203191458859</v>
      </c>
      <c r="E30" s="444">
        <f t="shared" si="1"/>
        <v>17880.473405419754</v>
      </c>
      <c r="F30" s="444">
        <f t="shared" si="1"/>
        <v>2820.5441373988488</v>
      </c>
      <c r="G30" s="444">
        <f t="shared" si="1"/>
        <v>249028.58913328283</v>
      </c>
      <c r="H30" s="444">
        <f t="shared" si="1"/>
        <v>96018.986048730949</v>
      </c>
      <c r="I30" s="445">
        <f t="shared" si="1"/>
        <v>345047.57518201374</v>
      </c>
      <c r="J30" s="449"/>
      <c r="K30" s="7"/>
      <c r="L30" s="7"/>
      <c r="M30" s="7"/>
    </row>
    <row r="31" spans="1:13">
      <c r="A31" s="421"/>
      <c r="B31" s="446"/>
      <c r="C31" s="447"/>
      <c r="D31" s="447"/>
      <c r="E31" s="447"/>
      <c r="F31" s="447"/>
      <c r="G31" s="447"/>
      <c r="H31" s="447"/>
      <c r="I31" s="447"/>
      <c r="J31" s="457"/>
      <c r="K31" s="8"/>
      <c r="L31" s="8"/>
    </row>
    <row r="32" spans="1:13">
      <c r="A32" s="421"/>
      <c r="B32" s="448" t="s">
        <v>14</v>
      </c>
      <c r="C32" s="384"/>
      <c r="D32" s="384"/>
      <c r="E32" s="384"/>
      <c r="F32" s="384"/>
      <c r="G32" s="449"/>
      <c r="H32" s="384"/>
      <c r="I32" s="384"/>
      <c r="J32" s="449"/>
      <c r="K32" s="8"/>
      <c r="L32" s="8"/>
    </row>
    <row r="33" spans="1:12">
      <c r="A33" s="421"/>
      <c r="B33" s="448" t="s">
        <v>85</v>
      </c>
      <c r="C33" s="384"/>
      <c r="D33" s="384"/>
      <c r="E33" s="384"/>
      <c r="F33" s="384"/>
      <c r="G33" s="384"/>
      <c r="H33" s="384"/>
      <c r="I33" s="384"/>
      <c r="J33" s="449"/>
      <c r="K33" s="8"/>
      <c r="L33" s="8"/>
    </row>
    <row r="34" spans="1:12">
      <c r="A34" s="421"/>
      <c r="B34" s="448" t="s">
        <v>86</v>
      </c>
      <c r="C34" s="384"/>
      <c r="D34" s="384"/>
      <c r="E34" s="384"/>
      <c r="F34" s="384"/>
      <c r="G34" s="384"/>
      <c r="H34" s="384"/>
      <c r="I34" s="450"/>
      <c r="J34" s="1003"/>
      <c r="K34" s="8"/>
      <c r="L34" s="8"/>
    </row>
    <row r="35" spans="1:12">
      <c r="A35" s="421"/>
      <c r="B35" s="451" t="s">
        <v>59</v>
      </c>
      <c r="C35" s="452"/>
      <c r="D35" s="452"/>
      <c r="E35" s="452"/>
      <c r="F35" s="452"/>
      <c r="G35" s="452"/>
      <c r="H35" s="453"/>
      <c r="I35" s="454"/>
      <c r="J35" s="454"/>
      <c r="K35" s="255"/>
      <c r="L35" s="255"/>
    </row>
    <row r="36" spans="1:12">
      <c r="A36" s="421"/>
      <c r="B36" s="451" t="s">
        <v>60</v>
      </c>
      <c r="C36" s="453"/>
      <c r="D36" s="453"/>
      <c r="E36" s="453"/>
      <c r="F36" s="453"/>
      <c r="G36" s="453"/>
      <c r="H36" s="453"/>
      <c r="I36" s="454"/>
      <c r="J36" s="1004"/>
      <c r="K36" s="255"/>
      <c r="L36" s="255"/>
    </row>
    <row r="37" spans="1:12">
      <c r="A37" s="421"/>
      <c r="B37" s="451" t="s">
        <v>87</v>
      </c>
      <c r="C37" s="453"/>
      <c r="D37" s="453"/>
      <c r="E37" s="453"/>
      <c r="F37" s="453"/>
      <c r="G37" s="453"/>
      <c r="H37" s="453"/>
      <c r="I37" s="454"/>
      <c r="J37" s="454"/>
      <c r="K37" s="255"/>
      <c r="L37" s="255"/>
    </row>
    <row r="38" spans="1:12">
      <c r="A38" s="421"/>
      <c r="B38" s="451" t="s">
        <v>62</v>
      </c>
      <c r="C38" s="453"/>
      <c r="D38" s="453"/>
      <c r="E38" s="453"/>
      <c r="F38" s="453"/>
      <c r="G38" s="453"/>
      <c r="H38" s="453"/>
      <c r="I38" s="454"/>
      <c r="J38" s="454"/>
      <c r="K38" s="255"/>
      <c r="L38" s="255"/>
    </row>
    <row r="39" spans="1:12">
      <c r="A39" s="421"/>
      <c r="B39" s="451" t="s">
        <v>88</v>
      </c>
      <c r="C39" s="453"/>
      <c r="D39" s="453"/>
      <c r="E39" s="453"/>
      <c r="F39" s="453"/>
      <c r="G39" s="453"/>
      <c r="H39" s="453"/>
      <c r="I39" s="454"/>
      <c r="J39" s="454"/>
      <c r="K39" s="255"/>
      <c r="L39" s="255"/>
    </row>
    <row r="40" spans="1:12">
      <c r="A40" s="421"/>
      <c r="B40" s="453" t="s">
        <v>795</v>
      </c>
      <c r="C40" s="453"/>
      <c r="D40" s="453"/>
      <c r="E40" s="453"/>
      <c r="F40" s="453"/>
      <c r="G40" s="453"/>
      <c r="H40" s="453"/>
      <c r="I40" s="454"/>
      <c r="J40" s="454"/>
      <c r="K40" s="255"/>
      <c r="L40" s="255"/>
    </row>
    <row r="41" spans="1:12">
      <c r="A41" s="421"/>
      <c r="B41" s="455" t="s">
        <v>773</v>
      </c>
      <c r="C41" s="453"/>
      <c r="D41" s="453"/>
      <c r="E41" s="453"/>
      <c r="F41" s="453"/>
      <c r="G41" s="453"/>
      <c r="H41" s="456"/>
      <c r="I41" s="454"/>
      <c r="J41" s="454"/>
      <c r="K41" s="255"/>
      <c r="L41" s="255"/>
    </row>
    <row r="42" spans="1:12">
      <c r="A42" s="421"/>
      <c r="B42" s="449"/>
      <c r="C42" s="449"/>
      <c r="D42" s="449"/>
      <c r="E42" s="449"/>
      <c r="F42" s="449"/>
      <c r="G42" s="449"/>
      <c r="H42" s="457"/>
      <c r="I42" s="457"/>
      <c r="J42" s="457"/>
      <c r="K42" s="8"/>
      <c r="L42" s="8"/>
    </row>
    <row r="43" spans="1:12">
      <c r="A43" s="421"/>
      <c r="B43" s="449"/>
      <c r="C43" s="449"/>
      <c r="D43" s="449"/>
      <c r="E43" s="449"/>
      <c r="F43" s="449"/>
      <c r="G43" s="449"/>
      <c r="H43" s="449"/>
      <c r="I43" s="449"/>
      <c r="J43" s="449"/>
      <c r="K43" s="8"/>
      <c r="L43" s="8"/>
    </row>
    <row r="44" spans="1:12">
      <c r="A44" s="421"/>
      <c r="B44" s="458"/>
      <c r="C44" s="458"/>
      <c r="D44" s="458"/>
      <c r="E44" s="458"/>
      <c r="F44" s="458"/>
      <c r="G44" s="458"/>
      <c r="H44" s="458"/>
      <c r="I44" s="458"/>
      <c r="J44" s="458"/>
    </row>
    <row r="45" spans="1:12">
      <c r="A45" s="421"/>
      <c r="B45" s="458"/>
      <c r="C45" s="458"/>
      <c r="D45" s="458"/>
      <c r="E45" s="458"/>
      <c r="F45" s="458"/>
      <c r="G45" s="458"/>
      <c r="H45" s="458"/>
      <c r="I45" s="458"/>
      <c r="J45" s="458"/>
    </row>
    <row r="46" spans="1:12">
      <c r="A46" s="421"/>
      <c r="B46" s="458"/>
      <c r="C46" s="458"/>
      <c r="D46" s="458"/>
      <c r="E46" s="458"/>
      <c r="F46" s="458"/>
      <c r="G46" s="458"/>
      <c r="H46" s="458"/>
      <c r="I46" s="458"/>
      <c r="J46" s="458"/>
    </row>
    <row r="47" spans="1:12">
      <c r="B47" s="5"/>
      <c r="C47" s="5"/>
      <c r="D47" s="5"/>
      <c r="E47" s="5"/>
      <c r="F47" s="5"/>
      <c r="G47" s="5"/>
      <c r="H47" s="5"/>
      <c r="I47" s="5"/>
    </row>
    <row r="48" spans="1:12">
      <c r="B48" s="5"/>
      <c r="C48" s="5"/>
      <c r="D48" s="5"/>
      <c r="E48" s="5"/>
      <c r="F48" s="5"/>
      <c r="G48" s="5"/>
      <c r="H48" s="5"/>
      <c r="I48" s="5"/>
    </row>
    <row r="49" spans="2:9">
      <c r="B49" s="5"/>
      <c r="C49" s="5"/>
      <c r="D49" s="5"/>
      <c r="E49" s="5"/>
      <c r="F49" s="5"/>
      <c r="G49" s="5"/>
      <c r="H49" s="5"/>
      <c r="I49" s="5"/>
    </row>
    <row r="50" spans="2:9">
      <c r="B50" s="5"/>
      <c r="C50" s="5"/>
      <c r="D50" s="5"/>
      <c r="E50" s="5"/>
      <c r="F50" s="5"/>
      <c r="G50" s="5"/>
      <c r="H50" s="5"/>
      <c r="I50" s="5"/>
    </row>
    <row r="51" spans="2:9">
      <c r="B51" s="5"/>
      <c r="C51" s="5"/>
      <c r="D51" s="5"/>
      <c r="E51" s="5"/>
      <c r="F51" s="5"/>
      <c r="G51" s="5"/>
      <c r="H51" s="5"/>
      <c r="I51" s="5"/>
    </row>
    <row r="52" spans="2:9">
      <c r="B52" s="5"/>
      <c r="C52" s="5"/>
      <c r="D52" s="5"/>
      <c r="E52" s="5"/>
      <c r="F52" s="5"/>
      <c r="G52" s="5"/>
      <c r="H52" s="5"/>
      <c r="I52" s="5"/>
    </row>
    <row r="53" spans="2:9">
      <c r="B53" s="5"/>
      <c r="C53" s="5"/>
      <c r="D53" s="5"/>
      <c r="E53" s="5"/>
      <c r="F53" s="5"/>
      <c r="G53" s="5"/>
      <c r="H53" s="5"/>
      <c r="I53" s="5"/>
    </row>
    <row r="54" spans="2:9">
      <c r="B54" s="5"/>
      <c r="C54" s="5"/>
      <c r="D54" s="5"/>
      <c r="E54" s="5"/>
      <c r="F54" s="5"/>
      <c r="G54" s="5"/>
      <c r="H54" s="5"/>
      <c r="I54" s="5"/>
    </row>
    <row r="55" spans="2:9">
      <c r="B55" s="5"/>
      <c r="C55" s="5"/>
      <c r="D55" s="5"/>
      <c r="E55" s="5"/>
      <c r="F55" s="5"/>
      <c r="G55" s="5"/>
      <c r="H55" s="5"/>
      <c r="I55" s="5"/>
    </row>
    <row r="56" spans="2:9">
      <c r="B56" s="5"/>
      <c r="C56" s="5"/>
      <c r="D56" s="5"/>
      <c r="E56" s="5"/>
      <c r="F56" s="5"/>
      <c r="G56" s="5"/>
      <c r="H56" s="5"/>
      <c r="I56" s="5"/>
    </row>
    <row r="57" spans="2:9">
      <c r="B57" s="5"/>
      <c r="C57" s="5"/>
      <c r="D57" s="5"/>
      <c r="E57" s="5"/>
      <c r="F57" s="5"/>
      <c r="G57" s="5"/>
      <c r="H57" s="5"/>
      <c r="I57" s="5"/>
    </row>
    <row r="58" spans="2:9" s="5" customFormat="1"/>
    <row r="59" spans="2:9" s="5" customFormat="1"/>
    <row r="60" spans="2:9" s="5" customFormat="1"/>
    <row r="61" spans="2:9" s="5" customFormat="1"/>
    <row r="62" spans="2:9" s="5" customFormat="1"/>
    <row r="63" spans="2:9" s="5" customFormat="1"/>
    <row r="64" spans="2:9" s="5" customFormat="1"/>
    <row r="65" s="5" customFormat="1"/>
    <row r="66" s="5" customFormat="1"/>
    <row r="67" s="5" customFormat="1"/>
    <row r="68" s="5" customFormat="1"/>
    <row r="69" s="5" customFormat="1"/>
    <row r="70" s="5" customFormat="1"/>
    <row r="71" s="5" customFormat="1"/>
    <row r="72" s="5" customFormat="1"/>
    <row r="73" s="5" customFormat="1"/>
    <row r="74" s="5" customFormat="1"/>
    <row r="75" s="5" customFormat="1"/>
    <row r="76" s="5" customFormat="1"/>
    <row r="77" s="5" customFormat="1"/>
    <row r="78" s="5" customFormat="1"/>
    <row r="79" s="5" customFormat="1"/>
    <row r="80" s="5" customFormat="1"/>
    <row r="81" s="5" customFormat="1"/>
    <row r="82" s="5" customFormat="1"/>
  </sheetData>
  <phoneticPr fontId="0" type="noConversion"/>
  <hyperlinks>
    <hyperlink ref="J2" location="INDICE!A1" display="VOLVER A INDICE"/>
  </hyperlinks>
  <pageMargins left="0.75" right="0.75" top="1" bottom="1" header="0" footer="0"/>
  <pageSetup scale="65" orientation="portrait"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34"/>
  <sheetViews>
    <sheetView workbookViewId="0">
      <pane ySplit="8" topLeftCell="A9" activePane="bottomLeft" state="frozen"/>
      <selection pane="bottomLeft" activeCell="E29" sqref="E29"/>
    </sheetView>
  </sheetViews>
  <sheetFormatPr baseColWidth="10" defaultRowHeight="12.75" outlineLevelRow="1"/>
  <cols>
    <col min="1" max="1" width="2.28515625" style="260" customWidth="1"/>
    <col min="2" max="2" width="27.85546875" style="260" customWidth="1"/>
    <col min="3" max="10" width="11.42578125" style="260"/>
    <col min="11" max="24" width="11.42578125" style="3"/>
    <col min="25" max="16384" width="11.42578125" style="260"/>
  </cols>
  <sheetData>
    <row r="1" spans="1:26" ht="7.5" customHeight="1" thickBot="1">
      <c r="A1" s="459"/>
      <c r="B1" s="459"/>
      <c r="C1" s="459"/>
      <c r="D1" s="459"/>
      <c r="E1" s="459"/>
      <c r="F1" s="459"/>
      <c r="G1" s="459"/>
      <c r="H1" s="459"/>
      <c r="I1" s="459"/>
      <c r="J1" s="459"/>
      <c r="K1" s="62"/>
      <c r="L1" s="62"/>
    </row>
    <row r="2" spans="1:26" ht="13.5" thickBot="1">
      <c r="A2" s="459"/>
      <c r="B2" s="524"/>
      <c r="C2" s="525"/>
      <c r="D2" s="525"/>
      <c r="E2" s="525"/>
      <c r="F2" s="525"/>
      <c r="G2" s="525"/>
      <c r="H2" s="525"/>
      <c r="I2" s="525"/>
      <c r="J2" s="526"/>
      <c r="K2" s="62"/>
      <c r="L2" s="62"/>
    </row>
    <row r="3" spans="1:26" ht="15.75">
      <c r="A3" s="459"/>
      <c r="B3" s="560"/>
      <c r="C3" s="561"/>
      <c r="D3" s="561"/>
      <c r="E3" s="562" t="s">
        <v>90</v>
      </c>
      <c r="F3" s="562"/>
      <c r="G3" s="561"/>
      <c r="H3" s="561"/>
      <c r="I3" s="561"/>
      <c r="J3" s="563"/>
      <c r="K3" s="527" t="s">
        <v>606</v>
      </c>
      <c r="L3" s="62"/>
    </row>
    <row r="4" spans="1:26" ht="15.75">
      <c r="A4" s="459"/>
      <c r="B4" s="564"/>
      <c r="C4" s="565"/>
      <c r="D4" s="565"/>
      <c r="E4" s="566" t="s">
        <v>91</v>
      </c>
      <c r="F4" s="566"/>
      <c r="G4" s="565"/>
      <c r="H4" s="565"/>
      <c r="I4" s="565"/>
      <c r="J4" s="567"/>
      <c r="K4" s="568"/>
      <c r="L4" s="62"/>
    </row>
    <row r="5" spans="1:26" ht="15.75">
      <c r="A5" s="459"/>
      <c r="B5" s="564"/>
      <c r="C5" s="565"/>
      <c r="D5" s="565"/>
      <c r="E5" s="566" t="s">
        <v>774</v>
      </c>
      <c r="F5" s="566"/>
      <c r="G5" s="565"/>
      <c r="H5" s="565"/>
      <c r="I5" s="565"/>
      <c r="J5" s="567"/>
      <c r="K5" s="568"/>
      <c r="L5" s="62"/>
    </row>
    <row r="6" spans="1:26" ht="15.75">
      <c r="A6" s="459"/>
      <c r="B6" s="564"/>
      <c r="C6" s="565"/>
      <c r="D6" s="565"/>
      <c r="E6" s="565"/>
      <c r="F6" s="565"/>
      <c r="G6" s="565"/>
      <c r="H6" s="565"/>
      <c r="I6" s="565"/>
      <c r="J6" s="567"/>
      <c r="K6" s="568"/>
      <c r="L6" s="62"/>
    </row>
    <row r="7" spans="1:26" ht="15.75">
      <c r="A7" s="459"/>
      <c r="B7" s="564" t="s">
        <v>20</v>
      </c>
      <c r="C7" s="566" t="s">
        <v>92</v>
      </c>
      <c r="D7" s="566" t="s">
        <v>92</v>
      </c>
      <c r="E7" s="566" t="s">
        <v>92</v>
      </c>
      <c r="F7" s="566" t="s">
        <v>654</v>
      </c>
      <c r="G7" s="566" t="s">
        <v>93</v>
      </c>
      <c r="H7" s="566" t="s">
        <v>93</v>
      </c>
      <c r="I7" s="566" t="s">
        <v>94</v>
      </c>
      <c r="J7" s="569"/>
      <c r="K7" s="568"/>
      <c r="L7" s="62"/>
    </row>
    <row r="8" spans="1:26" ht="16.5" thickBot="1">
      <c r="A8" s="459"/>
      <c r="B8" s="570"/>
      <c r="C8" s="571" t="s">
        <v>95</v>
      </c>
      <c r="D8" s="571" t="s">
        <v>96</v>
      </c>
      <c r="E8" s="571" t="s">
        <v>97</v>
      </c>
      <c r="F8" s="571" t="s">
        <v>655</v>
      </c>
      <c r="G8" s="571" t="s">
        <v>98</v>
      </c>
      <c r="H8" s="571" t="s">
        <v>99</v>
      </c>
      <c r="I8" s="571" t="s">
        <v>100</v>
      </c>
      <c r="J8" s="572"/>
      <c r="K8" s="573"/>
      <c r="L8" s="62"/>
    </row>
    <row r="9" spans="1:26" ht="16.5" customHeight="1">
      <c r="A9" s="459"/>
      <c r="B9" s="590" t="s">
        <v>101</v>
      </c>
      <c r="C9" s="574">
        <f t="shared" ref="C9:I9" si="0">SUM(C10:C18)</f>
        <v>85580.154664637754</v>
      </c>
      <c r="D9" s="574">
        <f t="shared" si="0"/>
        <v>33237.938086894719</v>
      </c>
      <c r="E9" s="574">
        <f t="shared" si="0"/>
        <v>13644.28914051113</v>
      </c>
      <c r="F9" s="574">
        <f t="shared" si="0"/>
        <v>6676.5419733423969</v>
      </c>
      <c r="G9" s="574">
        <f t="shared" si="0"/>
        <v>139138.92386538602</v>
      </c>
      <c r="H9" s="574">
        <f t="shared" si="0"/>
        <v>23786.802452958484</v>
      </c>
      <c r="I9" s="574">
        <f t="shared" si="0"/>
        <v>162925.72631834447</v>
      </c>
      <c r="J9" s="575"/>
      <c r="K9" s="573"/>
      <c r="L9" s="62"/>
      <c r="Y9" s="3"/>
      <c r="Z9" s="3"/>
    </row>
    <row r="10" spans="1:26" ht="16.5" customHeight="1" outlineLevel="1">
      <c r="A10" s="459"/>
      <c r="B10" s="591" t="s">
        <v>71</v>
      </c>
      <c r="C10" s="576">
        <f>CONS_TERAC!D12</f>
        <v>10678.862313839998</v>
      </c>
      <c r="D10" s="576">
        <f>CONS_TERAC!D26</f>
        <v>7493.0966689950001</v>
      </c>
      <c r="E10" s="576">
        <f>CONS_TERAC!D33</f>
        <v>480.98743640850006</v>
      </c>
      <c r="F10" s="576">
        <f>CONS_TERAC!D44</f>
        <v>850.79799000000003</v>
      </c>
      <c r="G10" s="576">
        <f t="shared" ref="G10:G28" si="1">SUM(C10:F10)</f>
        <v>19503.7444092435</v>
      </c>
      <c r="H10" s="419">
        <f>CONS_TERAC!D57</f>
        <v>2569.6047465689999</v>
      </c>
      <c r="I10" s="576">
        <f t="shared" ref="I10:I28" si="2">G10+H10</f>
        <v>22073.349155812499</v>
      </c>
      <c r="J10" s="577"/>
      <c r="K10" s="578"/>
      <c r="L10" s="62"/>
      <c r="Y10" s="3"/>
      <c r="Z10" s="3"/>
    </row>
    <row r="11" spans="1:26" ht="16.5" customHeight="1" outlineLevel="1">
      <c r="A11" s="459"/>
      <c r="B11" s="591" t="s">
        <v>72</v>
      </c>
      <c r="C11" s="576">
        <f>CONS_TERAC!C12</f>
        <v>39033.876251676615</v>
      </c>
      <c r="D11" s="576">
        <f>CONS_TERAC!C26</f>
        <v>22031.292348448711</v>
      </c>
      <c r="E11" s="576">
        <f>CONS_TERAC!C33</f>
        <v>1484.17632511848</v>
      </c>
      <c r="F11" s="576">
        <f>CONS_TERAC!C44</f>
        <v>27.591532752000003</v>
      </c>
      <c r="G11" s="576">
        <f t="shared" si="1"/>
        <v>62576.936457995806</v>
      </c>
      <c r="H11" s="419">
        <f>CONS_TERAC!C57</f>
        <v>20093.942940386594</v>
      </c>
      <c r="I11" s="576">
        <f t="shared" si="2"/>
        <v>82670.8793983824</v>
      </c>
      <c r="J11" s="577"/>
      <c r="K11" s="578"/>
      <c r="L11" s="62"/>
      <c r="Y11" s="3"/>
      <c r="Z11" s="3"/>
    </row>
    <row r="12" spans="1:26" ht="16.5" customHeight="1" outlineLevel="1">
      <c r="A12" s="459"/>
      <c r="B12" s="589" t="s">
        <v>740</v>
      </c>
      <c r="C12" s="576">
        <f>CONS_TERAC!E12</f>
        <v>27919.144116415995</v>
      </c>
      <c r="D12" s="576">
        <f>CONS_TERAC!E26</f>
        <v>0</v>
      </c>
      <c r="E12" s="576">
        <f>CONS_TERAC!E33</f>
        <v>0</v>
      </c>
      <c r="F12" s="576">
        <f>CONS_TERAC!E44</f>
        <v>0.34584479999999995</v>
      </c>
      <c r="G12" s="576">
        <f t="shared" si="1"/>
        <v>27919.489961215993</v>
      </c>
      <c r="H12" s="419">
        <f>CONS_TERAC!E57</f>
        <v>0</v>
      </c>
      <c r="I12" s="576">
        <f t="shared" si="2"/>
        <v>27919.489961215993</v>
      </c>
      <c r="J12" s="577"/>
      <c r="K12" s="578"/>
      <c r="L12" s="62"/>
      <c r="Y12" s="3"/>
      <c r="Z12" s="3"/>
    </row>
    <row r="13" spans="1:26" ht="16.5" customHeight="1" outlineLevel="1">
      <c r="A13" s="459"/>
      <c r="B13" s="591" t="s">
        <v>73</v>
      </c>
      <c r="C13" s="576">
        <f>CONS_TERAC!F12</f>
        <v>68.853078000000011</v>
      </c>
      <c r="D13" s="576">
        <f>CONS_TERAC!F26</f>
        <v>405.049126419</v>
      </c>
      <c r="E13" s="576">
        <f>CONS_TERAC!F33</f>
        <v>871.89233490000004</v>
      </c>
      <c r="F13" s="576">
        <f>CONS_TERAC!F44</f>
        <v>0</v>
      </c>
      <c r="G13" s="576">
        <f t="shared" si="1"/>
        <v>1345.794539319</v>
      </c>
      <c r="H13" s="419">
        <f>CONS_TERAC!F57</f>
        <v>0</v>
      </c>
      <c r="I13" s="576">
        <f t="shared" si="2"/>
        <v>1345.794539319</v>
      </c>
      <c r="J13" s="577"/>
      <c r="K13" s="578"/>
      <c r="L13" s="62"/>
      <c r="Y13" s="3"/>
      <c r="Z13" s="3"/>
    </row>
    <row r="14" spans="1:26" ht="16.5" customHeight="1" outlineLevel="1">
      <c r="A14" s="459"/>
      <c r="B14" s="591" t="s">
        <v>74</v>
      </c>
      <c r="C14" s="576">
        <f>CONS_TERAC!G12</f>
        <v>68.84848741999653</v>
      </c>
      <c r="D14" s="576">
        <f>CONS_TERAC!G26</f>
        <v>3305.1729430320092</v>
      </c>
      <c r="E14" s="576">
        <f>CONS_TERAC!G33</f>
        <v>10807.233044084149</v>
      </c>
      <c r="F14" s="576">
        <f>CONS_TERAC!G44</f>
        <v>1329.6875153603971</v>
      </c>
      <c r="G14" s="576">
        <f t="shared" si="1"/>
        <v>15510.941989896553</v>
      </c>
      <c r="H14" s="419">
        <f>CONS_TERAC!G57</f>
        <v>934.72074854889183</v>
      </c>
      <c r="I14" s="576">
        <f t="shared" si="2"/>
        <v>16445.662738445444</v>
      </c>
      <c r="J14" s="577"/>
      <c r="K14" s="578"/>
      <c r="L14" s="62"/>
      <c r="Y14" s="3"/>
      <c r="Z14" s="3"/>
    </row>
    <row r="15" spans="1:26" ht="16.5" customHeight="1" outlineLevel="1">
      <c r="A15" s="459"/>
      <c r="B15" s="591" t="s">
        <v>75</v>
      </c>
      <c r="C15" s="576">
        <f>CONS_TERAC!H12</f>
        <v>56.266979999999997</v>
      </c>
      <c r="D15" s="576">
        <f>CONS_TERAC!H26</f>
        <v>0</v>
      </c>
      <c r="E15" s="576">
        <f>CONS_TERAC!H33</f>
        <v>0</v>
      </c>
      <c r="F15" s="576">
        <f>CONS_TERAC!H44</f>
        <v>0</v>
      </c>
      <c r="G15" s="576">
        <f t="shared" si="1"/>
        <v>56.266979999999997</v>
      </c>
      <c r="H15" s="419">
        <f>CONS_TERAC!H57</f>
        <v>0</v>
      </c>
      <c r="I15" s="576">
        <f t="shared" si="2"/>
        <v>56.266979999999997</v>
      </c>
      <c r="J15" s="577"/>
      <c r="K15" s="578"/>
      <c r="L15" s="62"/>
      <c r="Y15" s="3"/>
      <c r="Z15" s="3"/>
    </row>
    <row r="16" spans="1:26" ht="16.5" customHeight="1" outlineLevel="1">
      <c r="A16" s="459"/>
      <c r="B16" s="591" t="s">
        <v>76</v>
      </c>
      <c r="C16" s="576">
        <f>CONS_TERAC!I12</f>
        <v>7754.3034372851607</v>
      </c>
      <c r="D16" s="576">
        <f>CONS_TERAC!I26</f>
        <v>0</v>
      </c>
      <c r="E16" s="576">
        <f>CONS_TERAC!I33</f>
        <v>0</v>
      </c>
      <c r="F16" s="576">
        <f>CONS_TERAC!I44</f>
        <v>0</v>
      </c>
      <c r="G16" s="576">
        <f t="shared" si="1"/>
        <v>7754.3034372851607</v>
      </c>
      <c r="H16" s="419">
        <f>CONS_TERAC!I57</f>
        <v>0</v>
      </c>
      <c r="I16" s="576">
        <f t="shared" si="2"/>
        <v>7754.3034372851607</v>
      </c>
      <c r="J16" s="577"/>
      <c r="K16" s="578"/>
      <c r="L16" s="62"/>
      <c r="Y16" s="3"/>
      <c r="Z16" s="3"/>
    </row>
    <row r="17" spans="1:26" ht="16.5" customHeight="1" outlineLevel="1">
      <c r="A17" s="459"/>
      <c r="B17" s="591" t="s">
        <v>77</v>
      </c>
      <c r="C17" s="576">
        <f>CONS_TERAC!J12</f>
        <v>0</v>
      </c>
      <c r="D17" s="576">
        <f>CONS_TERAC!J26</f>
        <v>0</v>
      </c>
      <c r="E17" s="576">
        <f>CONS_TERAC!J33</f>
        <v>0</v>
      </c>
      <c r="F17" s="576">
        <f>CONS_TERAC!J44</f>
        <v>1057.6306625499997</v>
      </c>
      <c r="G17" s="576">
        <f t="shared" si="1"/>
        <v>1057.6306625499997</v>
      </c>
      <c r="H17" s="419">
        <f>CONS_TERAC!J57</f>
        <v>0</v>
      </c>
      <c r="I17" s="576">
        <f t="shared" si="2"/>
        <v>1057.6306625499997</v>
      </c>
      <c r="J17" s="577"/>
      <c r="K17" s="578"/>
      <c r="L17" s="62"/>
      <c r="Y17" s="3"/>
      <c r="Z17" s="3"/>
    </row>
    <row r="18" spans="1:26" ht="16.5" customHeight="1" outlineLevel="1">
      <c r="A18" s="459"/>
      <c r="B18" s="591" t="s">
        <v>78</v>
      </c>
      <c r="C18" s="576">
        <f>CONS_TERAC!K12</f>
        <v>0</v>
      </c>
      <c r="D18" s="576">
        <f>CONS_TERAC!K26</f>
        <v>3.327</v>
      </c>
      <c r="E18" s="576">
        <f>CONS_TERAC!K33</f>
        <v>0</v>
      </c>
      <c r="F18" s="576">
        <f>CONS_TERAC!K44</f>
        <v>3410.4884278800005</v>
      </c>
      <c r="G18" s="576">
        <f t="shared" si="1"/>
        <v>3413.8154278800007</v>
      </c>
      <c r="H18" s="419">
        <f>CONS_TERAC!K57</f>
        <v>188.53401745400006</v>
      </c>
      <c r="I18" s="576">
        <f t="shared" si="2"/>
        <v>3602.3494453340008</v>
      </c>
      <c r="J18" s="577"/>
      <c r="K18" s="578"/>
      <c r="L18" s="62"/>
      <c r="Y18" s="3"/>
      <c r="Z18" s="3"/>
    </row>
    <row r="19" spans="1:26" ht="16.5" customHeight="1">
      <c r="A19" s="459"/>
      <c r="B19" s="592" t="s">
        <v>35</v>
      </c>
      <c r="C19" s="574">
        <f>CONS_TERAC!M12</f>
        <v>363.20603858000004</v>
      </c>
      <c r="D19" s="574">
        <f>CONS_TERAC!M26</f>
        <v>31469.173851303614</v>
      </c>
      <c r="E19" s="574">
        <f>CONS_TERAC!M33</f>
        <v>14499.828798218998</v>
      </c>
      <c r="F19" s="574">
        <f>CONS_TERAC!M44</f>
        <v>1868.9056981458937</v>
      </c>
      <c r="G19" s="574">
        <f t="shared" si="1"/>
        <v>48201.114386248504</v>
      </c>
      <c r="H19" s="440">
        <f>CONS_TERAC!M57</f>
        <v>0</v>
      </c>
      <c r="I19" s="574">
        <f t="shared" si="2"/>
        <v>48201.114386248504</v>
      </c>
      <c r="J19" s="577"/>
      <c r="K19" s="578"/>
      <c r="L19" s="62"/>
      <c r="Y19" s="3"/>
      <c r="Z19" s="3"/>
    </row>
    <row r="20" spans="1:26" ht="16.5" customHeight="1">
      <c r="A20" s="459"/>
      <c r="B20" s="592" t="s">
        <v>79</v>
      </c>
      <c r="C20" s="574">
        <f>CONS_TERAC!N12</f>
        <v>0</v>
      </c>
      <c r="D20" s="574">
        <f>CONS_TERAC!N26</f>
        <v>2157.9654141856108</v>
      </c>
      <c r="E20" s="574">
        <f>CONS_TERAC!N33</f>
        <v>27.451600000000003</v>
      </c>
      <c r="F20" s="574">
        <f>CONS_TERAC!N44</f>
        <v>0</v>
      </c>
      <c r="G20" s="574">
        <f t="shared" si="1"/>
        <v>2185.4170141856107</v>
      </c>
      <c r="H20" s="440">
        <f>CONS_TERAC!N57</f>
        <v>37760.907771058541</v>
      </c>
      <c r="I20" s="574">
        <f t="shared" si="2"/>
        <v>39946.324785244149</v>
      </c>
      <c r="J20" s="577"/>
      <c r="K20" s="578"/>
      <c r="L20" s="62"/>
      <c r="Y20" s="3"/>
      <c r="Z20" s="3"/>
    </row>
    <row r="21" spans="1:26" ht="16.5" customHeight="1">
      <c r="A21" s="459"/>
      <c r="B21" s="592" t="s">
        <v>80</v>
      </c>
      <c r="C21" s="574">
        <f>CONS_TERAC!O12</f>
        <v>0</v>
      </c>
      <c r="D21" s="574">
        <f>CONS_TERAC!O26</f>
        <v>4084.351500590491</v>
      </c>
      <c r="E21" s="574">
        <f>CONS_TERAC!O33</f>
        <v>0</v>
      </c>
      <c r="F21" s="574">
        <f>CONS_TERAC!O44</f>
        <v>0</v>
      </c>
      <c r="G21" s="574">
        <f t="shared" si="1"/>
        <v>4084.351500590491</v>
      </c>
      <c r="H21" s="440">
        <f>CONS_TERAC!O57</f>
        <v>6122.8058471696031</v>
      </c>
      <c r="I21" s="574">
        <f t="shared" si="2"/>
        <v>10207.157347760094</v>
      </c>
      <c r="J21" s="577"/>
      <c r="K21" s="578"/>
      <c r="L21" s="62"/>
      <c r="Y21" s="3"/>
      <c r="Z21" s="3"/>
    </row>
    <row r="22" spans="1:26" ht="16.5" customHeight="1">
      <c r="A22" s="459"/>
      <c r="B22" s="592" t="s">
        <v>81</v>
      </c>
      <c r="C22" s="574">
        <f>CONS_TERAC!P12</f>
        <v>0</v>
      </c>
      <c r="D22" s="574">
        <f>CONS_TERAC!P26</f>
        <v>0</v>
      </c>
      <c r="E22" s="574">
        <f>CONS_TERAC!P33</f>
        <v>0</v>
      </c>
      <c r="F22" s="574">
        <f>CONS_TERAC!P44</f>
        <v>163.935</v>
      </c>
      <c r="G22" s="574">
        <f t="shared" si="1"/>
        <v>163.935</v>
      </c>
      <c r="H22" s="440">
        <f>CONS_TERAC!P57</f>
        <v>0</v>
      </c>
      <c r="I22" s="574">
        <f t="shared" si="2"/>
        <v>163.935</v>
      </c>
      <c r="J22" s="577"/>
      <c r="K22" s="578"/>
      <c r="L22" s="62"/>
      <c r="Y22" s="3"/>
      <c r="Z22" s="3"/>
    </row>
    <row r="23" spans="1:26" ht="16.5" customHeight="1">
      <c r="A23" s="459"/>
      <c r="B23" s="592" t="s">
        <v>37</v>
      </c>
      <c r="C23" s="574">
        <f>CONS_TERAC!Q12</f>
        <v>0</v>
      </c>
      <c r="D23" s="574">
        <f>CONS_TERAC!Q26</f>
        <v>709.25030508414932</v>
      </c>
      <c r="E23" s="574">
        <f>CONS_TERAC!Q33</f>
        <v>234.16143023354647</v>
      </c>
      <c r="F23" s="574">
        <f>CONS_TERAC!Q44</f>
        <v>270.20283328881771</v>
      </c>
      <c r="G23" s="574">
        <f t="shared" si="1"/>
        <v>1213.6145686065133</v>
      </c>
      <c r="H23" s="440">
        <f>CONS_TERAC!Q57</f>
        <v>0</v>
      </c>
      <c r="I23" s="574">
        <f t="shared" si="2"/>
        <v>1213.6145686065133</v>
      </c>
      <c r="J23" s="577"/>
      <c r="K23" s="578"/>
      <c r="L23" s="62"/>
      <c r="Y23" s="3"/>
      <c r="Z23" s="3"/>
    </row>
    <row r="24" spans="1:26" ht="16.5" customHeight="1">
      <c r="A24" s="459"/>
      <c r="B24" s="592" t="s">
        <v>83</v>
      </c>
      <c r="C24" s="574">
        <f>CONS_TERAC!R12</f>
        <v>0</v>
      </c>
      <c r="D24" s="574">
        <f>CONS_TERAC!R26</f>
        <v>165.60400000000001</v>
      </c>
      <c r="E24" s="574">
        <f>CONS_TERAC!R33</f>
        <v>0</v>
      </c>
      <c r="F24" s="574">
        <f>CONS_TERAC!R44</f>
        <v>714.15</v>
      </c>
      <c r="G24" s="574">
        <f t="shared" si="1"/>
        <v>879.75400000000002</v>
      </c>
      <c r="H24" s="440">
        <f>CONS_TERAC!R57</f>
        <v>0</v>
      </c>
      <c r="I24" s="574">
        <f t="shared" si="2"/>
        <v>879.75400000000002</v>
      </c>
      <c r="J24" s="577"/>
      <c r="K24" s="578"/>
      <c r="L24" s="62"/>
      <c r="Y24" s="3"/>
      <c r="Z24" s="3"/>
    </row>
    <row r="25" spans="1:26" ht="16.5" customHeight="1">
      <c r="A25" s="459"/>
      <c r="B25" s="592" t="s">
        <v>84</v>
      </c>
      <c r="C25" s="574">
        <f>CONS_TERAC!S12</f>
        <v>223.2994833275786</v>
      </c>
      <c r="D25" s="574">
        <f>CONS_TERAC!S26</f>
        <v>1517.8800340793337</v>
      </c>
      <c r="E25" s="574">
        <f>CONS_TERAC!S33</f>
        <v>5562.3134769846374</v>
      </c>
      <c r="F25" s="574">
        <f>CONS_TERAC!S44</f>
        <v>11.114867149777659</v>
      </c>
      <c r="G25" s="574">
        <f t="shared" si="1"/>
        <v>7314.6078615413271</v>
      </c>
      <c r="H25" s="440">
        <f>CONS_TERAC!S57</f>
        <v>22399.486640480674</v>
      </c>
      <c r="I25" s="574">
        <f t="shared" si="2"/>
        <v>29714.094502022002</v>
      </c>
      <c r="J25" s="577"/>
      <c r="K25" s="578"/>
      <c r="L25" s="62"/>
      <c r="Y25" s="3"/>
      <c r="Z25" s="3"/>
    </row>
    <row r="26" spans="1:26" ht="16.5" customHeight="1">
      <c r="A26" s="459"/>
      <c r="B26" s="592" t="s">
        <v>39</v>
      </c>
      <c r="C26" s="574">
        <f>CONS_TERAC!T12</f>
        <v>0</v>
      </c>
      <c r="D26" s="574">
        <f>CONS_TERAC!T26</f>
        <v>447.06612587687079</v>
      </c>
      <c r="E26" s="574">
        <f>CONS_TERAC!T33</f>
        <v>0</v>
      </c>
      <c r="F26" s="574">
        <f>CONS_TERAC!T44</f>
        <v>0</v>
      </c>
      <c r="G26" s="574">
        <f t="shared" si="1"/>
        <v>447.06612587687079</v>
      </c>
      <c r="H26" s="440">
        <f>CONS_TERAC!T57</f>
        <v>0</v>
      </c>
      <c r="I26" s="574">
        <f t="shared" si="2"/>
        <v>447.06612587687079</v>
      </c>
      <c r="J26" s="577"/>
      <c r="K26" s="578"/>
      <c r="L26" s="62"/>
      <c r="Y26" s="3"/>
      <c r="Z26" s="3"/>
    </row>
    <row r="27" spans="1:26" ht="16.5" customHeight="1">
      <c r="A27" s="459"/>
      <c r="B27" s="592" t="s">
        <v>26</v>
      </c>
      <c r="C27" s="574">
        <f>CONS_TERAC!V12</f>
        <v>0</v>
      </c>
      <c r="D27" s="574">
        <f>CONS_TERAC!V26</f>
        <v>15747.062102540436</v>
      </c>
      <c r="E27" s="574">
        <f>CONS_TERAC!V33</f>
        <v>29652.742708307094</v>
      </c>
      <c r="F27" s="574">
        <f>CONS_TERAC!V44</f>
        <v>0</v>
      </c>
      <c r="G27" s="574">
        <f t="shared" si="1"/>
        <v>45399.804810847534</v>
      </c>
      <c r="H27" s="440">
        <f>CONS_TERAC!V57</f>
        <v>5880.1823984000757</v>
      </c>
      <c r="I27" s="574">
        <f t="shared" si="2"/>
        <v>51279.987209247607</v>
      </c>
      <c r="J27" s="577"/>
      <c r="K27" s="578"/>
      <c r="L27" s="62"/>
      <c r="Y27" s="3"/>
      <c r="Z27" s="3"/>
    </row>
    <row r="28" spans="1:26" ht="16.5" customHeight="1">
      <c r="A28" s="459"/>
      <c r="B28" s="592" t="s">
        <v>27</v>
      </c>
      <c r="C28" s="574">
        <f>CONS_TERAC!U12</f>
        <v>0</v>
      </c>
      <c r="D28" s="574">
        <f>CONS_TERAC!U26</f>
        <v>0</v>
      </c>
      <c r="E28" s="574">
        <f>CONS_TERAC!U33</f>
        <v>0</v>
      </c>
      <c r="F28" s="574">
        <f>CONS_TERAC!U44</f>
        <v>0</v>
      </c>
      <c r="G28" s="574">
        <f t="shared" si="1"/>
        <v>0</v>
      </c>
      <c r="H28" s="440">
        <f>CONS_TERAC!U57</f>
        <v>68.800938663572154</v>
      </c>
      <c r="I28" s="574">
        <f t="shared" si="2"/>
        <v>68.800938663572154</v>
      </c>
      <c r="J28" s="577"/>
      <c r="K28" s="578"/>
      <c r="L28" s="62"/>
      <c r="Y28" s="3"/>
      <c r="Z28" s="3"/>
    </row>
    <row r="29" spans="1:26">
      <c r="A29" s="459"/>
      <c r="B29" s="593" t="s">
        <v>28</v>
      </c>
      <c r="C29" s="579">
        <f t="shared" ref="C29:I29" si="3">C9+SUM(C19:C28)</f>
        <v>86166.660186545327</v>
      </c>
      <c r="D29" s="579">
        <f t="shared" si="3"/>
        <v>89536.291420555222</v>
      </c>
      <c r="E29" s="579">
        <f t="shared" si="3"/>
        <v>63620.787154255406</v>
      </c>
      <c r="F29" s="579">
        <f t="shared" si="3"/>
        <v>9704.8503719268865</v>
      </c>
      <c r="G29" s="579">
        <f t="shared" si="3"/>
        <v>249028.58913328289</v>
      </c>
      <c r="H29" s="579">
        <f t="shared" si="3"/>
        <v>96018.986048730949</v>
      </c>
      <c r="I29" s="579">
        <f t="shared" si="3"/>
        <v>345047.5751820138</v>
      </c>
      <c r="J29" s="580"/>
      <c r="K29" s="578"/>
      <c r="L29" s="62"/>
      <c r="Y29" s="3"/>
      <c r="Z29" s="3"/>
    </row>
    <row r="30" spans="1:26" ht="13.5" thickBot="1">
      <c r="A30" s="459"/>
      <c r="B30" s="581"/>
      <c r="C30" s="582"/>
      <c r="D30" s="582"/>
      <c r="E30" s="582"/>
      <c r="F30" s="582"/>
      <c r="G30" s="582"/>
      <c r="H30" s="582"/>
      <c r="I30" s="582"/>
      <c r="J30" s="583"/>
      <c r="K30" s="578"/>
      <c r="L30" s="62"/>
      <c r="Y30" s="3"/>
      <c r="Z30" s="3"/>
    </row>
    <row r="31" spans="1:26" s="3" customFormat="1">
      <c r="A31" s="62"/>
      <c r="B31" s="448" t="s">
        <v>14</v>
      </c>
      <c r="C31" s="585"/>
      <c r="D31" s="585"/>
      <c r="E31" s="585"/>
      <c r="F31" s="585"/>
      <c r="G31" s="586"/>
      <c r="H31" s="587"/>
      <c r="I31" s="384"/>
      <c r="J31" s="588"/>
      <c r="K31" s="449"/>
      <c r="L31" s="62"/>
    </row>
    <row r="32" spans="1:26" s="3" customFormat="1">
      <c r="A32" s="62"/>
      <c r="B32" s="584" t="s">
        <v>85</v>
      </c>
      <c r="C32" s="585"/>
      <c r="D32" s="585"/>
      <c r="E32" s="585"/>
      <c r="F32" s="585"/>
      <c r="G32" s="585"/>
      <c r="H32" s="585"/>
      <c r="I32" s="585"/>
      <c r="J32" s="585"/>
      <c r="K32" s="587"/>
      <c r="L32" s="62"/>
    </row>
    <row r="33" spans="1:12">
      <c r="A33" s="62"/>
      <c r="B33" s="584" t="s">
        <v>86</v>
      </c>
      <c r="C33" s="585"/>
      <c r="D33" s="585"/>
      <c r="E33" s="585"/>
      <c r="F33" s="585"/>
      <c r="G33" s="585"/>
      <c r="H33" s="585"/>
      <c r="I33" s="585"/>
      <c r="J33" s="585"/>
      <c r="K33" s="587"/>
      <c r="L33" s="62"/>
    </row>
    <row r="34" spans="1:12">
      <c r="A34" s="62"/>
      <c r="B34" s="479" t="s">
        <v>59</v>
      </c>
      <c r="C34" s="487"/>
      <c r="D34" s="488"/>
      <c r="E34" s="488"/>
      <c r="F34" s="488"/>
      <c r="G34" s="488"/>
      <c r="H34" s="452"/>
      <c r="I34" s="455"/>
      <c r="J34" s="415"/>
      <c r="K34" s="415"/>
      <c r="L34" s="62"/>
    </row>
    <row r="35" spans="1:12">
      <c r="A35" s="62"/>
      <c r="B35" s="479" t="s">
        <v>60</v>
      </c>
      <c r="C35" s="455"/>
      <c r="D35" s="455"/>
      <c r="E35" s="455"/>
      <c r="F35" s="455"/>
      <c r="G35" s="455"/>
      <c r="H35" s="455"/>
      <c r="I35" s="455"/>
      <c r="J35" s="415"/>
      <c r="K35" s="415"/>
      <c r="L35" s="62"/>
    </row>
    <row r="36" spans="1:12">
      <c r="A36" s="62"/>
      <c r="B36" s="479" t="s">
        <v>665</v>
      </c>
      <c r="C36" s="455"/>
      <c r="D36" s="455"/>
      <c r="E36" s="455"/>
      <c r="F36" s="455"/>
      <c r="G36" s="455"/>
      <c r="H36" s="455"/>
      <c r="I36" s="455"/>
      <c r="J36" s="415"/>
      <c r="K36" s="415"/>
      <c r="L36" s="62"/>
    </row>
    <row r="37" spans="1:12">
      <c r="A37" s="62"/>
      <c r="B37" s="479" t="s">
        <v>666</v>
      </c>
      <c r="C37" s="455"/>
      <c r="D37" s="455"/>
      <c r="E37" s="455"/>
      <c r="F37" s="455"/>
      <c r="G37" s="455"/>
      <c r="H37" s="455"/>
      <c r="I37" s="455"/>
      <c r="J37" s="415"/>
      <c r="K37" s="415"/>
      <c r="L37" s="62"/>
    </row>
    <row r="38" spans="1:12">
      <c r="A38" s="62"/>
      <c r="B38" s="479" t="s">
        <v>664</v>
      </c>
      <c r="C38" s="455"/>
      <c r="D38" s="455"/>
      <c r="E38" s="455"/>
      <c r="F38" s="455"/>
      <c r="G38" s="455"/>
      <c r="H38" s="455"/>
      <c r="I38" s="455"/>
      <c r="J38" s="415"/>
      <c r="K38" s="415"/>
      <c r="L38" s="62"/>
    </row>
    <row r="39" spans="1:12">
      <c r="A39" s="62"/>
      <c r="B39" s="455" t="s">
        <v>795</v>
      </c>
      <c r="C39" s="455"/>
      <c r="D39" s="455"/>
      <c r="E39" s="455"/>
      <c r="F39" s="455"/>
      <c r="G39" s="455"/>
      <c r="H39" s="455"/>
      <c r="I39" s="455"/>
      <c r="J39" s="415"/>
      <c r="K39" s="415"/>
      <c r="L39" s="62"/>
    </row>
    <row r="40" spans="1:12">
      <c r="A40" s="62"/>
      <c r="B40" s="455" t="s">
        <v>773</v>
      </c>
      <c r="C40" s="455"/>
      <c r="D40" s="455"/>
      <c r="E40" s="455"/>
      <c r="F40" s="455"/>
      <c r="G40" s="455"/>
      <c r="H40" s="455"/>
      <c r="I40" s="455"/>
      <c r="J40" s="415"/>
      <c r="K40" s="415"/>
      <c r="L40" s="62"/>
    </row>
    <row r="41" spans="1:12">
      <c r="A41" s="62"/>
      <c r="B41" s="573"/>
      <c r="C41" s="573"/>
      <c r="D41" s="573"/>
      <c r="E41" s="573"/>
      <c r="F41" s="573"/>
      <c r="G41" s="573"/>
      <c r="H41" s="573"/>
      <c r="I41" s="573"/>
      <c r="J41" s="573"/>
      <c r="K41" s="573"/>
      <c r="L41" s="62"/>
    </row>
    <row r="42" spans="1:12">
      <c r="A42" s="62"/>
      <c r="B42" s="573"/>
      <c r="C42" s="573"/>
      <c r="D42" s="573"/>
      <c r="E42" s="573"/>
      <c r="F42" s="573"/>
      <c r="G42" s="573"/>
      <c r="H42" s="573"/>
      <c r="I42" s="573"/>
      <c r="J42" s="573"/>
      <c r="K42" s="573"/>
      <c r="L42" s="62"/>
    </row>
    <row r="43" spans="1:12">
      <c r="A43" s="62"/>
      <c r="B43" s="573"/>
      <c r="C43" s="573"/>
      <c r="D43" s="573"/>
      <c r="E43" s="573"/>
      <c r="F43" s="573"/>
      <c r="G43" s="573"/>
      <c r="H43" s="573"/>
      <c r="I43" s="573"/>
      <c r="J43" s="573"/>
      <c r="K43" s="573"/>
      <c r="L43" s="62"/>
    </row>
    <row r="44" spans="1:12">
      <c r="A44" s="62"/>
      <c r="B44" s="62"/>
      <c r="C44" s="62"/>
      <c r="D44" s="62"/>
      <c r="E44" s="62"/>
      <c r="F44" s="62"/>
      <c r="G44" s="62"/>
      <c r="H44" s="62"/>
      <c r="I44" s="62"/>
      <c r="J44" s="62"/>
      <c r="K44" s="62"/>
      <c r="L44" s="62"/>
    </row>
    <row r="45" spans="1:12">
      <c r="A45" s="62"/>
      <c r="B45" s="62"/>
      <c r="C45" s="62"/>
      <c r="D45" s="62"/>
      <c r="E45" s="62"/>
      <c r="F45" s="62"/>
      <c r="G45" s="62"/>
      <c r="H45" s="62"/>
      <c r="I45" s="62"/>
      <c r="J45" s="62"/>
      <c r="K45" s="62"/>
      <c r="L45" s="62"/>
    </row>
    <row r="46" spans="1:12">
      <c r="A46" s="3"/>
      <c r="B46" s="3"/>
      <c r="C46" s="3"/>
      <c r="D46" s="3"/>
      <c r="E46" s="3"/>
      <c r="F46" s="3"/>
      <c r="G46" s="3"/>
      <c r="H46" s="3"/>
      <c r="I46" s="3"/>
      <c r="J46" s="3"/>
    </row>
    <row r="47" spans="1:12">
      <c r="A47" s="3"/>
      <c r="B47" s="3"/>
      <c r="C47" s="3"/>
      <c r="D47" s="3"/>
      <c r="E47" s="3"/>
      <c r="F47" s="3"/>
      <c r="G47" s="3"/>
      <c r="H47" s="3"/>
      <c r="I47" s="3"/>
      <c r="J47" s="3"/>
    </row>
    <row r="48" spans="1:12">
      <c r="A48" s="3"/>
      <c r="B48" s="3"/>
      <c r="C48" s="3"/>
      <c r="D48" s="3"/>
      <c r="E48" s="3"/>
      <c r="F48" s="3"/>
      <c r="G48" s="3"/>
      <c r="H48" s="3"/>
      <c r="I48" s="3"/>
      <c r="J48" s="3"/>
    </row>
    <row r="49" s="3" customFormat="1"/>
    <row r="50" s="3" customFormat="1"/>
    <row r="51" s="3" customFormat="1"/>
    <row r="52" s="3" customFormat="1"/>
    <row r="53" s="3" customFormat="1"/>
    <row r="54" s="3" customFormat="1"/>
    <row r="55" s="3" customFormat="1"/>
    <row r="56" s="3" customFormat="1"/>
    <row r="57" s="3" customFormat="1"/>
    <row r="58" s="3" customFormat="1"/>
    <row r="59" s="3" customFormat="1"/>
    <row r="60" s="3" customFormat="1"/>
    <row r="61" s="3" customFormat="1"/>
    <row r="62" s="3" customFormat="1"/>
    <row r="63" s="3" customFormat="1"/>
    <row r="64" s="3" customFormat="1"/>
    <row r="65" s="3" customFormat="1"/>
    <row r="66" s="3" customFormat="1"/>
    <row r="67" s="3" customFormat="1"/>
    <row r="68" s="3" customFormat="1"/>
    <row r="69" s="3" customFormat="1"/>
    <row r="70" s="3" customFormat="1"/>
    <row r="71" s="3" customFormat="1"/>
    <row r="72" s="3" customFormat="1"/>
    <row r="73" s="3" customFormat="1"/>
    <row r="74" s="3" customFormat="1"/>
    <row r="75" s="3" customFormat="1"/>
    <row r="76" s="3" customFormat="1"/>
    <row r="77" s="3" customFormat="1"/>
    <row r="78" s="3" customFormat="1"/>
    <row r="79" s="3" customFormat="1"/>
    <row r="80" s="3" customFormat="1"/>
    <row r="81" s="3" customFormat="1"/>
    <row r="82" s="3" customFormat="1"/>
    <row r="83" s="3" customFormat="1"/>
    <row r="84" s="3" customFormat="1"/>
    <row r="85" s="3" customFormat="1"/>
    <row r="86" s="3" customFormat="1"/>
    <row r="87" s="3" customFormat="1"/>
    <row r="88" s="3" customFormat="1"/>
    <row r="89" s="3" customFormat="1"/>
    <row r="90" s="3" customFormat="1"/>
    <row r="91" s="3" customFormat="1"/>
    <row r="92" s="3" customFormat="1"/>
    <row r="93" s="3" customFormat="1"/>
    <row r="94" s="3" customFormat="1"/>
    <row r="95" s="3" customFormat="1"/>
    <row r="96" s="3" customFormat="1"/>
    <row r="97" s="3" customFormat="1"/>
    <row r="98" s="3" customFormat="1"/>
    <row r="99" s="3" customFormat="1"/>
    <row r="100" s="3" customFormat="1"/>
    <row r="101" s="3" customFormat="1"/>
    <row r="102" s="3" customFormat="1"/>
    <row r="103" s="3" customFormat="1"/>
    <row r="104" s="3" customFormat="1"/>
    <row r="105" s="3" customFormat="1"/>
    <row r="106" s="3" customFormat="1"/>
    <row r="107" s="3" customFormat="1"/>
    <row r="108" s="3" customFormat="1"/>
    <row r="109" s="3" customFormat="1"/>
    <row r="110" s="3" customFormat="1"/>
    <row r="111" s="3" customFormat="1"/>
    <row r="112" s="3" customFormat="1"/>
    <row r="113" s="3" customFormat="1"/>
    <row r="114" s="3" customFormat="1"/>
    <row r="115" s="3" customFormat="1"/>
    <row r="116" s="3" customFormat="1"/>
    <row r="117" s="3" customFormat="1"/>
    <row r="118" s="3" customFormat="1"/>
    <row r="119" s="3" customFormat="1"/>
    <row r="120" s="3" customFormat="1"/>
    <row r="121" s="3" customFormat="1"/>
    <row r="122" s="3" customFormat="1"/>
    <row r="123" s="3" customFormat="1"/>
    <row r="124" s="3" customFormat="1"/>
    <row r="125" s="3" customFormat="1"/>
    <row r="126" s="3" customFormat="1"/>
    <row r="127" s="3" customFormat="1"/>
    <row r="128" s="3" customFormat="1"/>
    <row r="129" s="3" customFormat="1"/>
    <row r="130" s="3" customFormat="1"/>
    <row r="131" s="3" customFormat="1"/>
    <row r="132" s="3" customFormat="1"/>
    <row r="133" s="3" customFormat="1"/>
    <row r="134" s="3" customFormat="1"/>
    <row r="135" s="3" customFormat="1"/>
    <row r="136" s="3" customFormat="1"/>
    <row r="137" s="3" customFormat="1"/>
    <row r="138" s="3" customFormat="1"/>
    <row r="139" s="3" customFormat="1"/>
    <row r="140" s="3" customFormat="1"/>
    <row r="141" s="3" customFormat="1"/>
    <row r="142" s="3" customFormat="1"/>
    <row r="143" s="3" customFormat="1"/>
    <row r="144" s="3" customFormat="1"/>
    <row r="145" s="3" customFormat="1"/>
    <row r="146" s="3" customFormat="1"/>
    <row r="147" s="3" customFormat="1"/>
    <row r="148" s="3" customFormat="1"/>
    <row r="149" s="3" customFormat="1"/>
    <row r="150" s="3" customFormat="1"/>
    <row r="151" s="3" customFormat="1"/>
    <row r="152" s="3" customFormat="1"/>
    <row r="153" s="3" customFormat="1"/>
    <row r="154" s="3" customFormat="1"/>
    <row r="155" s="3" customFormat="1"/>
    <row r="156" s="3" customFormat="1"/>
    <row r="157" s="3" customFormat="1"/>
    <row r="158" s="3" customFormat="1"/>
    <row r="159" s="3" customFormat="1"/>
    <row r="160" s="3" customFormat="1"/>
    <row r="161" s="3" customFormat="1"/>
    <row r="162" s="3" customFormat="1"/>
    <row r="163" s="3" customFormat="1"/>
    <row r="164" s="3" customFormat="1"/>
    <row r="165" s="3" customFormat="1"/>
    <row r="166" s="3" customFormat="1"/>
    <row r="167" s="3" customFormat="1"/>
    <row r="168" s="3" customFormat="1"/>
    <row r="169" s="3" customFormat="1"/>
    <row r="170" s="3" customFormat="1"/>
    <row r="171" s="3" customFormat="1"/>
    <row r="172" s="3" customFormat="1"/>
    <row r="173" s="3" customFormat="1"/>
    <row r="174" s="3" customFormat="1"/>
    <row r="175" s="3" customFormat="1"/>
    <row r="176" s="3" customFormat="1"/>
    <row r="177" s="3" customFormat="1"/>
    <row r="178" s="3" customFormat="1"/>
    <row r="179" s="3" customFormat="1"/>
    <row r="180" s="3" customFormat="1"/>
    <row r="181" s="3" customFormat="1"/>
    <row r="182" s="3" customFormat="1"/>
    <row r="183" s="3" customFormat="1"/>
    <row r="184" s="3" customFormat="1"/>
    <row r="185" s="3" customFormat="1"/>
    <row r="186" s="3" customFormat="1"/>
    <row r="187" s="3" customFormat="1"/>
    <row r="188" s="3" customFormat="1"/>
    <row r="189" s="3" customFormat="1"/>
    <row r="190" s="3" customFormat="1"/>
    <row r="191" s="3" customFormat="1"/>
    <row r="192" s="3" customFormat="1"/>
    <row r="193" s="3" customFormat="1"/>
    <row r="194" s="3" customFormat="1"/>
    <row r="195" s="3" customFormat="1"/>
    <row r="196" s="3" customFormat="1"/>
    <row r="197" s="3" customFormat="1"/>
    <row r="198" s="3" customFormat="1"/>
    <row r="199" s="3" customFormat="1"/>
    <row r="200" s="3" customFormat="1"/>
    <row r="201" s="3" customFormat="1"/>
    <row r="202" s="3" customFormat="1"/>
    <row r="203" s="3" customFormat="1"/>
    <row r="204" s="3" customFormat="1"/>
    <row r="205" s="3" customFormat="1"/>
    <row r="206" s="3" customFormat="1"/>
    <row r="207" s="3" customFormat="1"/>
    <row r="208" s="3" customFormat="1"/>
    <row r="209" s="3" customFormat="1"/>
    <row r="210" s="3" customFormat="1"/>
    <row r="211" s="3" customFormat="1"/>
    <row r="212" s="3" customFormat="1"/>
    <row r="213" s="3" customFormat="1"/>
    <row r="214" s="3" customFormat="1"/>
    <row r="215" s="3" customFormat="1"/>
    <row r="216" s="3" customFormat="1"/>
    <row r="217" s="3" customFormat="1"/>
    <row r="218" s="3" customFormat="1"/>
    <row r="219" s="3" customFormat="1"/>
    <row r="220" s="3" customFormat="1"/>
    <row r="221" s="3" customFormat="1"/>
    <row r="222" s="3" customFormat="1"/>
    <row r="223" s="3" customFormat="1"/>
    <row r="224" s="3" customFormat="1"/>
    <row r="225" s="3" customFormat="1"/>
    <row r="226" s="3" customFormat="1"/>
    <row r="227" s="3" customFormat="1"/>
    <row r="228" s="3" customFormat="1"/>
    <row r="229" s="3" customFormat="1"/>
    <row r="230" s="3" customFormat="1"/>
    <row r="231" s="3" customFormat="1"/>
    <row r="232" s="3" customFormat="1"/>
    <row r="233" s="3" customFormat="1"/>
    <row r="234" s="3" customFormat="1"/>
  </sheetData>
  <phoneticPr fontId="0" type="noConversion"/>
  <hyperlinks>
    <hyperlink ref="K3" location="INDICE!A1" display="VOLVER A INDICE"/>
  </hyperlinks>
  <pageMargins left="0.75" right="0.75" top="1" bottom="1" header="0" footer="0"/>
  <pageSetup paperSize="9" orientation="portrait" horizontalDpi="200" verticalDpi="200" copies="0"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87"/>
  <sheetViews>
    <sheetView workbookViewId="0">
      <selection activeCell="I21" sqref="I21"/>
    </sheetView>
  </sheetViews>
  <sheetFormatPr baseColWidth="10" defaultRowHeight="12.75" outlineLevelRow="1"/>
  <cols>
    <col min="1" max="1" width="1.5703125" style="260" customWidth="1"/>
    <col min="2" max="2" width="31" style="260" customWidth="1"/>
    <col min="3" max="6" width="11.42578125" style="260"/>
    <col min="7" max="7" width="11.5703125" style="260" customWidth="1"/>
    <col min="8" max="17" width="11.42578125" style="3"/>
    <col min="18" max="16384" width="11.42578125" style="260"/>
  </cols>
  <sheetData>
    <row r="1" spans="1:10" ht="6.75" customHeight="1" thickBot="1">
      <c r="A1" s="459"/>
      <c r="B1" s="459"/>
      <c r="C1" s="459"/>
      <c r="D1" s="459"/>
      <c r="E1" s="459"/>
      <c r="F1" s="459"/>
      <c r="G1" s="459"/>
      <c r="H1" s="62"/>
    </row>
    <row r="2" spans="1:10" ht="13.5" thickBot="1">
      <c r="A2" s="459"/>
      <c r="B2" s="594"/>
      <c r="C2" s="595"/>
      <c r="D2" s="595"/>
      <c r="E2" s="595"/>
      <c r="F2" s="595"/>
      <c r="G2" s="596"/>
      <c r="H2" s="527" t="s">
        <v>606</v>
      </c>
      <c r="I2" s="11"/>
      <c r="J2" s="11"/>
    </row>
    <row r="3" spans="1:10" ht="15.75">
      <c r="A3" s="459"/>
      <c r="B3" s="597"/>
      <c r="C3" s="562"/>
      <c r="D3" s="562" t="s">
        <v>90</v>
      </c>
      <c r="E3" s="598"/>
      <c r="F3" s="598"/>
      <c r="G3" s="599"/>
      <c r="H3" s="600"/>
      <c r="I3" s="13"/>
      <c r="J3" s="13"/>
    </row>
    <row r="4" spans="1:10" ht="15.75">
      <c r="A4" s="459"/>
      <c r="B4" s="601"/>
      <c r="C4" s="602"/>
      <c r="D4" s="603" t="s">
        <v>102</v>
      </c>
      <c r="E4" s="602"/>
      <c r="F4" s="602"/>
      <c r="G4" s="604"/>
      <c r="H4" s="600"/>
      <c r="I4" s="13"/>
      <c r="J4" s="13"/>
    </row>
    <row r="5" spans="1:10" ht="15.75">
      <c r="A5" s="459"/>
      <c r="B5" s="601"/>
      <c r="C5" s="602"/>
      <c r="D5" s="605" t="s">
        <v>778</v>
      </c>
      <c r="E5" s="602"/>
      <c r="F5" s="602"/>
      <c r="G5" s="604"/>
      <c r="H5" s="600"/>
      <c r="I5" s="13"/>
      <c r="J5" s="13"/>
    </row>
    <row r="6" spans="1:10" ht="15.75">
      <c r="A6" s="459"/>
      <c r="B6" s="601"/>
      <c r="C6" s="602"/>
      <c r="D6" s="603" t="s">
        <v>103</v>
      </c>
      <c r="E6" s="602"/>
      <c r="F6" s="602"/>
      <c r="G6" s="604"/>
      <c r="H6" s="600"/>
      <c r="I6" s="13"/>
      <c r="J6" s="13"/>
    </row>
    <row r="7" spans="1:10" ht="15.75">
      <c r="A7" s="459"/>
      <c r="B7" s="601"/>
      <c r="C7" s="602"/>
      <c r="D7" s="602"/>
      <c r="E7" s="602"/>
      <c r="F7" s="602"/>
      <c r="G7" s="604"/>
      <c r="H7" s="600"/>
      <c r="I7" s="13"/>
      <c r="J7" s="13"/>
    </row>
    <row r="8" spans="1:10" ht="15.75">
      <c r="A8" s="459"/>
      <c r="B8" s="601"/>
      <c r="C8" s="602"/>
      <c r="D8" s="602"/>
      <c r="E8" s="602"/>
      <c r="F8" s="602"/>
      <c r="G8" s="604"/>
      <c r="H8" s="600"/>
      <c r="I8" s="13"/>
      <c r="J8" s="13"/>
    </row>
    <row r="9" spans="1:10" ht="16.5" thickBot="1">
      <c r="A9" s="459"/>
      <c r="B9" s="606" t="s">
        <v>20</v>
      </c>
      <c r="C9" s="614" t="s">
        <v>104</v>
      </c>
      <c r="D9" s="614" t="s">
        <v>105</v>
      </c>
      <c r="E9" s="614" t="s">
        <v>106</v>
      </c>
      <c r="F9" s="614" t="s">
        <v>107</v>
      </c>
      <c r="G9" s="615" t="s">
        <v>28</v>
      </c>
      <c r="H9" s="600"/>
      <c r="I9" s="13"/>
      <c r="J9" s="13"/>
    </row>
    <row r="10" spans="1:10" ht="16.5" customHeight="1">
      <c r="A10" s="459"/>
      <c r="B10" s="590" t="s">
        <v>101</v>
      </c>
      <c r="C10" s="616">
        <f>SUM(C11:C18)</f>
        <v>63208.529193252929</v>
      </c>
      <c r="D10" s="616">
        <f>SUM(D11:D18)</f>
        <v>466.96411221599993</v>
      </c>
      <c r="E10" s="616">
        <f>SUM(E11:E18)</f>
        <v>14091.186360883667</v>
      </c>
      <c r="F10" s="616">
        <f>SUM(F11:F18)</f>
        <v>7813.4749982851608</v>
      </c>
      <c r="G10" s="617">
        <f>SUM(G11:G18)</f>
        <v>85580.154664637754</v>
      </c>
      <c r="H10" s="600"/>
      <c r="I10" s="11"/>
      <c r="J10" s="11"/>
    </row>
    <row r="11" spans="1:10" ht="16.5" customHeight="1" outlineLevel="1">
      <c r="A11" s="459"/>
      <c r="B11" s="611" t="s">
        <v>71</v>
      </c>
      <c r="C11" s="618">
        <f>CONS_TERAC!D7</f>
        <v>24.622838898000001</v>
      </c>
      <c r="D11" s="618">
        <f>CONS_TERAC!D8</f>
        <v>0</v>
      </c>
      <c r="E11" s="618">
        <f>CONS_TERAC!D9</f>
        <v>10654.239474941998</v>
      </c>
      <c r="F11" s="618">
        <f>CONS_TERAC!D10</f>
        <v>0</v>
      </c>
      <c r="G11" s="619">
        <f>SUM(C11:F11)</f>
        <v>10678.862313839998</v>
      </c>
      <c r="H11" s="607"/>
      <c r="I11" s="12"/>
      <c r="J11" s="11"/>
    </row>
    <row r="12" spans="1:10" ht="16.5" customHeight="1" outlineLevel="1">
      <c r="A12" s="459"/>
      <c r="B12" s="611" t="s">
        <v>72</v>
      </c>
      <c r="C12" s="618">
        <f>CONS_TERAC!C7</f>
        <v>35166.124775734686</v>
      </c>
      <c r="D12" s="618">
        <f>CONS_TERAC!C8</f>
        <v>466.96411221599993</v>
      </c>
      <c r="E12" s="618">
        <f>CONS_TERAC!C9</f>
        <v>3394.1858877259201</v>
      </c>
      <c r="F12" s="618">
        <f>CONS_TERAC!C10</f>
        <v>6.6014759999999999</v>
      </c>
      <c r="G12" s="619">
        <f t="shared" ref="G12:G20" si="0">SUM(C12:F12)</f>
        <v>39033.876251676615</v>
      </c>
      <c r="H12" s="607"/>
      <c r="I12" s="12"/>
      <c r="J12" s="11"/>
    </row>
    <row r="13" spans="1:10" ht="16.5" customHeight="1" outlineLevel="1">
      <c r="A13" s="459"/>
      <c r="B13" s="589" t="s">
        <v>740</v>
      </c>
      <c r="C13" s="618">
        <f>CONS_TERAC!E7</f>
        <v>27879.491590660633</v>
      </c>
      <c r="D13" s="618">
        <f>CONS_TERAC!E8</f>
        <v>0</v>
      </c>
      <c r="E13" s="618">
        <f>CONS_TERAC!E9</f>
        <v>39.292781755360004</v>
      </c>
      <c r="F13" s="618">
        <f>CONS_TERAC!E10</f>
        <v>0.35974399999999995</v>
      </c>
      <c r="G13" s="619">
        <f t="shared" si="0"/>
        <v>27919.144116415995</v>
      </c>
      <c r="H13" s="607"/>
      <c r="I13" s="12"/>
      <c r="J13" s="11"/>
    </row>
    <row r="14" spans="1:10" ht="16.5" customHeight="1" outlineLevel="1">
      <c r="A14" s="459"/>
      <c r="B14" s="611" t="s">
        <v>75</v>
      </c>
      <c r="C14" s="618">
        <f>CONS_TERAC!H7</f>
        <v>0.19949999999999998</v>
      </c>
      <c r="D14" s="618">
        <f>CONS_TERAC!H8</f>
        <v>0</v>
      </c>
      <c r="E14" s="618">
        <f>CONS_TERAC!H9</f>
        <v>0</v>
      </c>
      <c r="F14" s="618">
        <f>CONS_TERAC!H10</f>
        <v>56.067479999999996</v>
      </c>
      <c r="G14" s="619">
        <f t="shared" si="0"/>
        <v>56.266979999999997</v>
      </c>
      <c r="H14" s="607"/>
      <c r="I14" s="12"/>
      <c r="J14" s="11"/>
    </row>
    <row r="15" spans="1:10" ht="16.5" customHeight="1" outlineLevel="1">
      <c r="A15" s="459"/>
      <c r="B15" s="611" t="s">
        <v>76</v>
      </c>
      <c r="C15" s="618">
        <f>CONS_TERAC!I7</f>
        <v>2.1038940000000004</v>
      </c>
      <c r="D15" s="618">
        <f>CONS_TERAC!I8</f>
        <v>0</v>
      </c>
      <c r="E15" s="618">
        <f>CONS_TERAC!I9</f>
        <v>1.7532450000000002</v>
      </c>
      <c r="F15" s="618">
        <f>CONS_TERAC!I10</f>
        <v>7750.446298285161</v>
      </c>
      <c r="G15" s="619">
        <f t="shared" si="0"/>
        <v>7754.3034372851607</v>
      </c>
      <c r="H15" s="607"/>
      <c r="I15" s="12"/>
      <c r="J15" s="11"/>
    </row>
    <row r="16" spans="1:10" ht="16.5" customHeight="1" outlineLevel="1">
      <c r="A16" s="459"/>
      <c r="B16" s="591" t="s">
        <v>73</v>
      </c>
      <c r="C16" s="618">
        <f>CONS_TERAC!F7</f>
        <v>67.144788000000005</v>
      </c>
      <c r="D16" s="618">
        <f>CONS_TERAC!F8</f>
        <v>0</v>
      </c>
      <c r="E16" s="618">
        <f>CONS_TERAC!F9</f>
        <v>1.7082900000000001</v>
      </c>
      <c r="F16" s="618">
        <f>CONS_TERAC!F10</f>
        <v>0</v>
      </c>
      <c r="G16" s="619">
        <f>SUM(C16:F16)</f>
        <v>68.853078000000011</v>
      </c>
      <c r="H16" s="607"/>
      <c r="I16" s="11"/>
      <c r="J16" s="11"/>
    </row>
    <row r="17" spans="1:10" ht="16.5" customHeight="1" outlineLevel="1">
      <c r="A17" s="459"/>
      <c r="B17" s="591" t="s">
        <v>77</v>
      </c>
      <c r="C17" s="618">
        <f>CONS_TERAC!J7</f>
        <v>0</v>
      </c>
      <c r="D17" s="618">
        <f>CONS_TERAC!J8</f>
        <v>0</v>
      </c>
      <c r="E17" s="618">
        <f>CONS_TERAC!J9</f>
        <v>0</v>
      </c>
      <c r="F17" s="618">
        <f>CONS_TERAC!J10</f>
        <v>0</v>
      </c>
      <c r="G17" s="619">
        <f>SUM(C17:F17)</f>
        <v>0</v>
      </c>
      <c r="H17" s="607"/>
      <c r="I17" s="11"/>
      <c r="J17" s="11"/>
    </row>
    <row r="18" spans="1:10" ht="16.5" customHeight="1" outlineLevel="1">
      <c r="A18" s="459"/>
      <c r="B18" s="591" t="s">
        <v>74</v>
      </c>
      <c r="C18" s="618">
        <f>CONS_TERAC!G7</f>
        <v>68.841805959608195</v>
      </c>
      <c r="D18" s="618">
        <f>CONS_TERAC!G8</f>
        <v>0</v>
      </c>
      <c r="E18" s="618">
        <f>CONS_TERAC!G9</f>
        <v>6.6814603883395985E-3</v>
      </c>
      <c r="F18" s="618">
        <f>CONS_TERAC!G10</f>
        <v>0</v>
      </c>
      <c r="G18" s="619">
        <f t="shared" si="0"/>
        <v>68.84848741999653</v>
      </c>
      <c r="H18" s="607"/>
      <c r="I18" s="11"/>
      <c r="J18" s="11"/>
    </row>
    <row r="19" spans="1:10" ht="16.5" customHeight="1">
      <c r="A19" s="459"/>
      <c r="B19" s="612" t="s">
        <v>35</v>
      </c>
      <c r="C19" s="620">
        <f>CONS_TERAC!M7</f>
        <v>318.46547426000001</v>
      </c>
      <c r="D19" s="620">
        <f>CONS_TERAC!M8</f>
        <v>44.740564320000004</v>
      </c>
      <c r="E19" s="620">
        <f>CONS_TERAC!M9</f>
        <v>0</v>
      </c>
      <c r="F19" s="620">
        <f>CONS_TERAC!M10</f>
        <v>0</v>
      </c>
      <c r="G19" s="621">
        <f t="shared" si="0"/>
        <v>363.20603858000004</v>
      </c>
      <c r="H19" s="607"/>
      <c r="I19" s="12"/>
      <c r="J19" s="11"/>
    </row>
    <row r="20" spans="1:10" ht="16.5" customHeight="1">
      <c r="A20" s="459"/>
      <c r="B20" s="592" t="s">
        <v>84</v>
      </c>
      <c r="C20" s="620">
        <f>CONS_TERAC!S7</f>
        <v>223.2994833275786</v>
      </c>
      <c r="D20" s="620">
        <f>CONS_TERAC!S8</f>
        <v>0</v>
      </c>
      <c r="E20" s="620">
        <f>CONS_TERAC!S9</f>
        <v>0</v>
      </c>
      <c r="F20" s="620">
        <f>CONS_TERAC!S10</f>
        <v>0</v>
      </c>
      <c r="G20" s="621">
        <f t="shared" si="0"/>
        <v>223.2994833275786</v>
      </c>
      <c r="H20" s="607"/>
      <c r="I20" s="12"/>
      <c r="J20" s="11"/>
    </row>
    <row r="21" spans="1:10" ht="13.5" thickBot="1">
      <c r="A21" s="459"/>
      <c r="B21" s="613" t="s">
        <v>28</v>
      </c>
      <c r="C21" s="622">
        <f>C10+C19+C20</f>
        <v>63750.294150840513</v>
      </c>
      <c r="D21" s="622">
        <f>D10+D19+D20</f>
        <v>511.70467653599997</v>
      </c>
      <c r="E21" s="622">
        <f>E10+E19+E20</f>
        <v>14091.186360883667</v>
      </c>
      <c r="F21" s="622">
        <f>F10+F19+F20</f>
        <v>7813.4749982851608</v>
      </c>
      <c r="G21" s="623">
        <f>G10+G19+G20</f>
        <v>86166.660186545327</v>
      </c>
      <c r="H21" s="607"/>
      <c r="I21" s="222"/>
      <c r="J21" s="11"/>
    </row>
    <row r="22" spans="1:10" ht="13.5" thickBot="1">
      <c r="A22" s="459"/>
      <c r="B22" s="608"/>
      <c r="C22" s="609"/>
      <c r="D22" s="609"/>
      <c r="E22" s="609"/>
      <c r="F22" s="609"/>
      <c r="G22" s="610"/>
      <c r="H22" s="607"/>
      <c r="I22" s="223"/>
      <c r="J22" s="11"/>
    </row>
    <row r="23" spans="1:10">
      <c r="A23" s="459"/>
      <c r="B23" s="448" t="s">
        <v>14</v>
      </c>
      <c r="C23" s="585"/>
      <c r="D23" s="585"/>
      <c r="E23" s="585"/>
      <c r="F23" s="586"/>
      <c r="G23" s="587"/>
      <c r="H23" s="384"/>
      <c r="I23" s="10"/>
      <c r="J23" s="8"/>
    </row>
    <row r="24" spans="1:10">
      <c r="A24" s="459"/>
      <c r="B24" s="584" t="s">
        <v>85</v>
      </c>
      <c r="C24" s="585"/>
      <c r="D24" s="585"/>
      <c r="E24" s="585"/>
      <c r="F24" s="585"/>
      <c r="G24" s="585"/>
      <c r="H24" s="585"/>
      <c r="I24" s="10"/>
      <c r="J24" s="9"/>
    </row>
    <row r="25" spans="1:10">
      <c r="A25" s="459"/>
      <c r="B25" s="479" t="s">
        <v>59</v>
      </c>
      <c r="C25" s="487"/>
      <c r="D25" s="488"/>
      <c r="E25" s="488"/>
      <c r="F25" s="488"/>
      <c r="G25" s="452"/>
      <c r="H25" s="455"/>
      <c r="I25" s="6"/>
      <c r="J25" s="6"/>
    </row>
    <row r="26" spans="1:10">
      <c r="A26" s="459"/>
      <c r="B26" s="479" t="s">
        <v>60</v>
      </c>
      <c r="C26" s="455"/>
      <c r="D26" s="455"/>
      <c r="E26" s="455"/>
      <c r="F26" s="455"/>
      <c r="G26" s="455"/>
      <c r="H26" s="455"/>
      <c r="I26" s="6"/>
      <c r="J26" s="6"/>
    </row>
    <row r="27" spans="1:10">
      <c r="A27" s="459"/>
      <c r="B27" s="455" t="s">
        <v>795</v>
      </c>
      <c r="C27" s="455"/>
      <c r="D27" s="455"/>
      <c r="E27" s="455"/>
      <c r="F27" s="455"/>
      <c r="G27" s="455"/>
      <c r="H27" s="455"/>
      <c r="I27" s="6"/>
      <c r="J27" s="6"/>
    </row>
    <row r="28" spans="1:10">
      <c r="A28" s="459"/>
      <c r="B28" s="455" t="s">
        <v>773</v>
      </c>
      <c r="C28" s="455"/>
      <c r="D28" s="455"/>
      <c r="E28" s="455"/>
      <c r="F28" s="455"/>
      <c r="G28" s="455"/>
      <c r="H28" s="455"/>
      <c r="I28" s="6"/>
      <c r="J28" s="6"/>
    </row>
    <row r="29" spans="1:10">
      <c r="A29" s="459"/>
      <c r="B29" s="600"/>
      <c r="C29" s="600"/>
      <c r="D29" s="600"/>
      <c r="E29" s="600"/>
      <c r="F29" s="600"/>
      <c r="G29" s="600"/>
      <c r="H29" s="600"/>
      <c r="I29" s="11"/>
      <c r="J29" s="11"/>
    </row>
    <row r="30" spans="1:10">
      <c r="A30" s="459"/>
      <c r="B30" s="62"/>
      <c r="C30" s="62"/>
      <c r="D30" s="62"/>
      <c r="E30" s="62"/>
      <c r="F30" s="62"/>
      <c r="G30" s="62"/>
      <c r="H30" s="62"/>
    </row>
    <row r="31" spans="1:10">
      <c r="A31" s="459"/>
      <c r="B31" s="62"/>
      <c r="C31" s="62"/>
      <c r="D31" s="62"/>
      <c r="E31" s="62"/>
      <c r="F31" s="62"/>
      <c r="G31" s="62"/>
      <c r="H31" s="62"/>
    </row>
    <row r="32" spans="1:10">
      <c r="A32" s="459"/>
      <c r="B32" s="62"/>
      <c r="C32" s="62"/>
      <c r="D32" s="62"/>
      <c r="E32" s="62"/>
      <c r="F32" s="62"/>
      <c r="G32" s="62"/>
      <c r="H32" s="62"/>
    </row>
    <row r="33" spans="2:7">
      <c r="B33" s="3"/>
      <c r="C33" s="3"/>
      <c r="D33" s="3"/>
      <c r="E33" s="3"/>
      <c r="F33" s="3"/>
      <c r="G33" s="3"/>
    </row>
    <row r="34" spans="2:7">
      <c r="B34" s="3"/>
      <c r="C34" s="3"/>
      <c r="D34" s="3"/>
      <c r="E34" s="3"/>
      <c r="F34" s="3"/>
      <c r="G34" s="3"/>
    </row>
    <row r="35" spans="2:7">
      <c r="B35" s="3"/>
      <c r="C35" s="3"/>
      <c r="D35" s="3"/>
      <c r="E35" s="3"/>
      <c r="F35" s="3"/>
      <c r="G35" s="3"/>
    </row>
    <row r="36" spans="2:7" s="3" customFormat="1"/>
    <row r="37" spans="2:7" s="3" customFormat="1"/>
    <row r="38" spans="2:7" s="3" customFormat="1"/>
    <row r="39" spans="2:7" s="3" customFormat="1"/>
    <row r="40" spans="2:7" s="3" customFormat="1"/>
    <row r="41" spans="2:7" s="3" customFormat="1"/>
    <row r="42" spans="2:7" s="3" customFormat="1"/>
    <row r="43" spans="2:7" s="3" customFormat="1"/>
    <row r="44" spans="2:7" s="3" customFormat="1"/>
    <row r="45" spans="2:7" s="3" customFormat="1"/>
    <row r="46" spans="2:7" s="3" customFormat="1"/>
    <row r="47" spans="2:7" s="3" customFormat="1"/>
    <row r="48" spans="2:7" s="3" customFormat="1"/>
    <row r="49" spans="3:7">
      <c r="C49" s="3"/>
      <c r="D49" s="3"/>
      <c r="E49" s="3"/>
      <c r="F49" s="3"/>
      <c r="G49" s="3"/>
    </row>
    <row r="50" spans="3:7">
      <c r="C50" s="3"/>
      <c r="D50" s="3"/>
      <c r="E50" s="3"/>
      <c r="F50" s="3"/>
      <c r="G50" s="3"/>
    </row>
    <row r="51" spans="3:7">
      <c r="C51" s="3"/>
      <c r="D51" s="3"/>
      <c r="E51" s="3"/>
      <c r="F51" s="3"/>
      <c r="G51" s="3"/>
    </row>
    <row r="52" spans="3:7">
      <c r="C52" s="3"/>
      <c r="D52" s="3"/>
      <c r="E52" s="3"/>
      <c r="F52" s="3"/>
      <c r="G52" s="3"/>
    </row>
    <row r="53" spans="3:7">
      <c r="C53" s="3"/>
      <c r="D53" s="3"/>
      <c r="E53" s="3"/>
      <c r="F53" s="3"/>
      <c r="G53" s="3"/>
    </row>
    <row r="54" spans="3:7">
      <c r="C54" s="3"/>
      <c r="D54" s="3"/>
      <c r="E54" s="3"/>
      <c r="F54" s="3"/>
      <c r="G54" s="3"/>
    </row>
    <row r="55" spans="3:7">
      <c r="C55" s="3"/>
      <c r="D55" s="3"/>
      <c r="E55" s="3"/>
      <c r="F55" s="3"/>
      <c r="G55" s="3"/>
    </row>
    <row r="56" spans="3:7">
      <c r="C56" s="3"/>
      <c r="D56" s="3"/>
      <c r="E56" s="3"/>
      <c r="F56" s="3"/>
      <c r="G56" s="3"/>
    </row>
    <row r="57" spans="3:7">
      <c r="C57" s="3"/>
      <c r="D57" s="3"/>
      <c r="E57" s="3"/>
      <c r="F57" s="3"/>
      <c r="G57" s="3"/>
    </row>
    <row r="58" spans="3:7">
      <c r="C58" s="3"/>
      <c r="D58" s="3"/>
      <c r="E58" s="3"/>
      <c r="F58" s="3"/>
      <c r="G58" s="3"/>
    </row>
    <row r="59" spans="3:7">
      <c r="C59" s="3"/>
      <c r="D59" s="3"/>
      <c r="E59" s="3"/>
      <c r="F59" s="3"/>
      <c r="G59" s="3"/>
    </row>
    <row r="60" spans="3:7">
      <c r="C60" s="3"/>
      <c r="D60" s="3"/>
      <c r="E60" s="3"/>
      <c r="F60" s="3"/>
      <c r="G60" s="3"/>
    </row>
    <row r="61" spans="3:7">
      <c r="C61" s="3"/>
      <c r="D61" s="3"/>
      <c r="E61" s="3"/>
      <c r="F61" s="3"/>
      <c r="G61" s="3"/>
    </row>
    <row r="62" spans="3:7">
      <c r="C62" s="3"/>
      <c r="D62" s="3"/>
      <c r="E62" s="3"/>
      <c r="F62" s="3"/>
      <c r="G62" s="3"/>
    </row>
    <row r="63" spans="3:7">
      <c r="C63" s="3"/>
      <c r="D63" s="3"/>
      <c r="E63" s="3"/>
      <c r="F63" s="3"/>
      <c r="G63" s="3"/>
    </row>
    <row r="64" spans="3:7">
      <c r="C64" s="3"/>
      <c r="D64" s="3"/>
      <c r="E64" s="3"/>
      <c r="F64" s="3"/>
      <c r="G64" s="3"/>
    </row>
    <row r="65" spans="3:7">
      <c r="C65" s="3"/>
      <c r="D65" s="3"/>
      <c r="E65" s="3"/>
      <c r="F65" s="3"/>
      <c r="G65" s="3"/>
    </row>
    <row r="66" spans="3:7">
      <c r="C66" s="3"/>
      <c r="D66" s="3"/>
      <c r="E66" s="3"/>
      <c r="F66" s="3"/>
      <c r="G66" s="3"/>
    </row>
    <row r="67" spans="3:7">
      <c r="C67" s="3"/>
      <c r="D67" s="3"/>
      <c r="E67" s="3"/>
      <c r="F67" s="3"/>
      <c r="G67" s="3"/>
    </row>
    <row r="68" spans="3:7">
      <c r="C68" s="3"/>
      <c r="D68" s="3"/>
      <c r="E68" s="3"/>
      <c r="F68" s="3"/>
      <c r="G68" s="3"/>
    </row>
    <row r="69" spans="3:7">
      <c r="C69" s="3"/>
      <c r="D69" s="3"/>
      <c r="E69" s="3"/>
      <c r="F69" s="3"/>
      <c r="G69" s="3"/>
    </row>
    <row r="70" spans="3:7">
      <c r="C70" s="3"/>
      <c r="D70" s="3"/>
      <c r="E70" s="3"/>
      <c r="F70" s="3"/>
      <c r="G70" s="3"/>
    </row>
    <row r="71" spans="3:7">
      <c r="C71" s="3"/>
      <c r="D71" s="3"/>
      <c r="E71" s="3"/>
      <c r="F71" s="3"/>
      <c r="G71" s="3"/>
    </row>
    <row r="72" spans="3:7">
      <c r="C72" s="3"/>
      <c r="D72" s="3"/>
      <c r="E72" s="3"/>
      <c r="F72" s="3"/>
      <c r="G72" s="3"/>
    </row>
    <row r="73" spans="3:7">
      <c r="C73" s="3"/>
      <c r="D73" s="3"/>
      <c r="E73" s="3"/>
      <c r="F73" s="3"/>
      <c r="G73" s="3"/>
    </row>
    <row r="74" spans="3:7">
      <c r="C74" s="3"/>
      <c r="D74" s="3"/>
      <c r="E74" s="3"/>
      <c r="F74" s="3"/>
      <c r="G74" s="3"/>
    </row>
    <row r="75" spans="3:7">
      <c r="C75" s="3"/>
      <c r="D75" s="3"/>
      <c r="E75" s="3"/>
      <c r="F75" s="3"/>
      <c r="G75" s="3"/>
    </row>
    <row r="76" spans="3:7">
      <c r="C76" s="3"/>
      <c r="D76" s="3"/>
      <c r="E76" s="3"/>
      <c r="F76" s="3"/>
      <c r="G76" s="3"/>
    </row>
    <row r="77" spans="3:7">
      <c r="C77" s="3"/>
      <c r="D77" s="3"/>
      <c r="E77" s="3"/>
      <c r="F77" s="3"/>
      <c r="G77" s="3"/>
    </row>
    <row r="78" spans="3:7">
      <c r="C78" s="3"/>
      <c r="D78" s="3"/>
      <c r="E78" s="3"/>
      <c r="F78" s="3"/>
      <c r="G78" s="3"/>
    </row>
    <row r="79" spans="3:7">
      <c r="C79" s="3"/>
      <c r="D79" s="3"/>
      <c r="E79" s="3"/>
      <c r="F79" s="3"/>
      <c r="G79" s="3"/>
    </row>
    <row r="80" spans="3:7">
      <c r="C80" s="3"/>
      <c r="D80" s="3"/>
      <c r="E80" s="3"/>
      <c r="F80" s="3"/>
      <c r="G80" s="3"/>
    </row>
    <row r="81" spans="3:7">
      <c r="C81" s="3"/>
      <c r="D81" s="3"/>
      <c r="E81" s="3"/>
      <c r="F81" s="3"/>
      <c r="G81" s="3"/>
    </row>
    <row r="82" spans="3:7">
      <c r="C82" s="3"/>
      <c r="D82" s="3"/>
      <c r="E82" s="3"/>
      <c r="F82" s="3"/>
      <c r="G82" s="3"/>
    </row>
    <row r="83" spans="3:7">
      <c r="C83" s="3"/>
      <c r="D83" s="3"/>
      <c r="E83" s="3"/>
      <c r="F83" s="3"/>
      <c r="G83" s="3"/>
    </row>
    <row r="84" spans="3:7">
      <c r="C84" s="3"/>
      <c r="D84" s="3"/>
      <c r="E84" s="3"/>
      <c r="F84" s="3"/>
      <c r="G84" s="3"/>
    </row>
    <row r="85" spans="3:7">
      <c r="C85" s="3"/>
      <c r="D85" s="3"/>
      <c r="E85" s="3"/>
      <c r="F85" s="3"/>
      <c r="G85" s="3"/>
    </row>
    <row r="86" spans="3:7">
      <c r="C86" s="3"/>
      <c r="D86" s="3"/>
      <c r="E86" s="3"/>
      <c r="F86" s="3"/>
      <c r="G86" s="3"/>
    </row>
    <row r="87" spans="3:7">
      <c r="C87" s="3"/>
      <c r="D87" s="3"/>
      <c r="E87" s="3"/>
      <c r="F87" s="3"/>
      <c r="G87" s="3"/>
    </row>
  </sheetData>
  <phoneticPr fontId="0" type="noConversion"/>
  <hyperlinks>
    <hyperlink ref="H2" location="INDICE!A1" display="VOLVER A INDICE"/>
  </hyperlinks>
  <pageMargins left="0.75" right="0.75" top="1" bottom="1" header="0" footer="0"/>
  <pageSetup orientation="portrait"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84"/>
  <sheetViews>
    <sheetView workbookViewId="0">
      <selection activeCell="H35" sqref="H35"/>
    </sheetView>
  </sheetViews>
  <sheetFormatPr baseColWidth="10" defaultRowHeight="12.75" outlineLevelRow="1"/>
  <cols>
    <col min="1" max="1" width="1.85546875" style="260" customWidth="1"/>
    <col min="2" max="2" width="26.5703125" style="260" customWidth="1"/>
    <col min="3" max="14" width="11.42578125" style="260"/>
    <col min="15" max="25" width="11.42578125" style="3"/>
    <col min="26" max="16384" width="11.42578125" style="260"/>
  </cols>
  <sheetData>
    <row r="1" spans="1:17" ht="8.25" customHeight="1" thickBot="1">
      <c r="A1" s="459"/>
      <c r="B1" s="459"/>
      <c r="C1" s="459"/>
      <c r="D1" s="459"/>
      <c r="E1" s="459"/>
      <c r="F1" s="459"/>
      <c r="G1" s="459"/>
      <c r="H1" s="459"/>
      <c r="I1" s="459"/>
      <c r="J1" s="459"/>
      <c r="K1" s="459"/>
      <c r="L1" s="459"/>
      <c r="M1" s="459"/>
      <c r="N1" s="459"/>
    </row>
    <row r="2" spans="1:17" ht="15.75" customHeight="1" thickBot="1">
      <c r="A2" s="459"/>
      <c r="B2" s="1005"/>
      <c r="C2" s="1006"/>
      <c r="D2" s="1006"/>
      <c r="E2" s="1006"/>
      <c r="F2" s="1006"/>
      <c r="G2" s="1006"/>
      <c r="H2" s="1006"/>
      <c r="I2" s="1006"/>
      <c r="J2" s="1006"/>
      <c r="K2" s="1006"/>
      <c r="L2" s="1006"/>
      <c r="M2" s="1006"/>
      <c r="N2" s="1007"/>
      <c r="O2" s="14"/>
      <c r="P2" s="16"/>
      <c r="Q2" s="16"/>
    </row>
    <row r="3" spans="1:17" ht="15.75">
      <c r="A3" s="459"/>
      <c r="B3" s="1008"/>
      <c r="C3" s="1009"/>
      <c r="D3" s="1009"/>
      <c r="E3" s="1010"/>
      <c r="F3" s="1010"/>
      <c r="G3" s="562" t="s">
        <v>90</v>
      </c>
      <c r="H3" s="1010"/>
      <c r="I3" s="1010"/>
      <c r="J3" s="1009"/>
      <c r="K3" s="1009"/>
      <c r="L3" s="1009"/>
      <c r="M3" s="1009"/>
      <c r="N3" s="1011"/>
      <c r="O3" s="14"/>
      <c r="P3" s="16"/>
      <c r="Q3" s="16"/>
    </row>
    <row r="4" spans="1:17" ht="15.75">
      <c r="A4" s="459"/>
      <c r="B4" s="1012"/>
      <c r="C4" s="1013"/>
      <c r="D4" s="1013"/>
      <c r="E4" s="1014"/>
      <c r="F4" s="1014"/>
      <c r="G4" s="1014" t="s">
        <v>91</v>
      </c>
      <c r="H4" s="1014"/>
      <c r="I4" s="1014"/>
      <c r="J4" s="1013"/>
      <c r="K4" s="1013"/>
      <c r="L4" s="1013"/>
      <c r="M4" s="1013"/>
      <c r="N4" s="1015"/>
      <c r="O4" s="527" t="s">
        <v>606</v>
      </c>
      <c r="P4" s="16"/>
      <c r="Q4" s="16"/>
    </row>
    <row r="5" spans="1:17" ht="15.75">
      <c r="A5" s="459"/>
      <c r="B5" s="1012"/>
      <c r="C5" s="1013"/>
      <c r="D5" s="1013"/>
      <c r="E5" s="1014"/>
      <c r="F5" s="1014"/>
      <c r="G5" s="1014" t="s">
        <v>774</v>
      </c>
      <c r="H5" s="1014"/>
      <c r="I5" s="1014"/>
      <c r="J5" s="1013"/>
      <c r="K5" s="1013"/>
      <c r="L5" s="1013"/>
      <c r="M5" s="1013"/>
      <c r="N5" s="1015"/>
      <c r="O5" s="14"/>
      <c r="P5" s="16"/>
      <c r="Q5" s="16"/>
    </row>
    <row r="6" spans="1:17" ht="15.75">
      <c r="A6" s="459"/>
      <c r="B6" s="1012"/>
      <c r="C6" s="1013"/>
      <c r="D6" s="1013"/>
      <c r="E6" s="1013"/>
      <c r="F6" s="1016" t="s">
        <v>108</v>
      </c>
      <c r="G6" s="1013"/>
      <c r="H6" s="1013"/>
      <c r="I6" s="1013"/>
      <c r="J6" s="1013"/>
      <c r="K6" s="1013"/>
      <c r="L6" s="1013"/>
      <c r="M6" s="1013"/>
      <c r="N6" s="1015"/>
      <c r="O6" s="14"/>
      <c r="P6" s="16"/>
      <c r="Q6" s="16"/>
    </row>
    <row r="7" spans="1:17" ht="15.75">
      <c r="A7" s="459"/>
      <c r="B7" s="1012" t="s">
        <v>20</v>
      </c>
      <c r="C7" s="1014" t="s">
        <v>109</v>
      </c>
      <c r="D7" s="1014" t="s">
        <v>110</v>
      </c>
      <c r="E7" s="1014" t="s">
        <v>111</v>
      </c>
      <c r="F7" s="1014" t="s">
        <v>112</v>
      </c>
      <c r="G7" s="1014" t="s">
        <v>113</v>
      </c>
      <c r="H7" s="1014" t="s">
        <v>114</v>
      </c>
      <c r="I7" s="1014" t="s">
        <v>115</v>
      </c>
      <c r="J7" s="1014" t="s">
        <v>116</v>
      </c>
      <c r="K7" s="1014" t="s">
        <v>117</v>
      </c>
      <c r="L7" s="1014" t="s">
        <v>118</v>
      </c>
      <c r="M7" s="1014" t="s">
        <v>119</v>
      </c>
      <c r="N7" s="1017" t="s">
        <v>28</v>
      </c>
      <c r="O7" s="14"/>
      <c r="P7" s="16"/>
      <c r="Q7" s="16"/>
    </row>
    <row r="8" spans="1:17" ht="16.5" thickBot="1">
      <c r="A8" s="459"/>
      <c r="B8" s="1018"/>
      <c r="C8" s="1019"/>
      <c r="D8" s="1019"/>
      <c r="E8" s="1019"/>
      <c r="F8" s="1019" t="s">
        <v>120</v>
      </c>
      <c r="G8" s="1019" t="s">
        <v>121</v>
      </c>
      <c r="H8" s="1019" t="s">
        <v>122</v>
      </c>
      <c r="I8" s="1019"/>
      <c r="J8" s="1019"/>
      <c r="K8" s="1019"/>
      <c r="L8" s="1019" t="s">
        <v>123</v>
      </c>
      <c r="M8" s="1019" t="s">
        <v>123</v>
      </c>
      <c r="N8" s="1020"/>
      <c r="O8" s="14"/>
      <c r="P8" s="16"/>
      <c r="Q8" s="16"/>
    </row>
    <row r="9" spans="1:17" ht="17.25" customHeight="1">
      <c r="A9" s="459"/>
      <c r="B9" s="1021" t="s">
        <v>101</v>
      </c>
      <c r="C9" s="1022">
        <f t="shared" ref="C9:N9" si="0">SUM(C10:C17)</f>
        <v>12485.507609972152</v>
      </c>
      <c r="D9" s="1022">
        <f t="shared" si="0"/>
        <v>316.40389199999998</v>
      </c>
      <c r="E9" s="1022">
        <f t="shared" si="0"/>
        <v>90.246728175999991</v>
      </c>
      <c r="F9" s="1022">
        <f t="shared" si="0"/>
        <v>2674.4745552163681</v>
      </c>
      <c r="G9" s="1022">
        <f t="shared" si="0"/>
        <v>537.78994616006287</v>
      </c>
      <c r="H9" s="1022">
        <f t="shared" si="0"/>
        <v>11.366269534999999</v>
      </c>
      <c r="I9" s="1022">
        <f t="shared" si="0"/>
        <v>231.58681940861794</v>
      </c>
      <c r="J9" s="1022">
        <f t="shared" si="0"/>
        <v>4.4612443559999999</v>
      </c>
      <c r="K9" s="1022">
        <f t="shared" si="0"/>
        <v>1572.3559582351443</v>
      </c>
      <c r="L9" s="1022">
        <f t="shared" si="0"/>
        <v>11230.011918454769</v>
      </c>
      <c r="M9" s="1022">
        <f t="shared" si="0"/>
        <v>4083.7331453806082</v>
      </c>
      <c r="N9" s="1023">
        <f t="shared" si="0"/>
        <v>33237.938086894719</v>
      </c>
      <c r="O9" s="14"/>
      <c r="P9" s="15"/>
      <c r="Q9" s="16"/>
    </row>
    <row r="10" spans="1:17" ht="17.25" customHeight="1" outlineLevel="1">
      <c r="A10" s="459"/>
      <c r="B10" s="1024" t="s">
        <v>71</v>
      </c>
      <c r="C10" s="1025">
        <f>CONS_TERAC!D14</f>
        <v>1662.3359152050004</v>
      </c>
      <c r="D10" s="1025">
        <f>CONS_TERAC!D15</f>
        <v>0</v>
      </c>
      <c r="E10" s="1025">
        <f>CONS_TERAC!D16</f>
        <v>28.828799999999998</v>
      </c>
      <c r="F10" s="1025">
        <f>CONS_TERAC!D17</f>
        <v>2425.8227332080005</v>
      </c>
      <c r="G10" s="1025">
        <f>CONS_TERAC!D18</f>
        <v>427.61250000000001</v>
      </c>
      <c r="H10" s="1025">
        <f>CONS_TERAC!D19</f>
        <v>0</v>
      </c>
      <c r="I10" s="1025">
        <f>CONS_TERAC!D20</f>
        <v>122.510617900125</v>
      </c>
      <c r="J10" s="1025">
        <f>CONS_TERAC!D21</f>
        <v>0</v>
      </c>
      <c r="K10" s="1025">
        <f>CONS_TERAC!D22</f>
        <v>859.85856873</v>
      </c>
      <c r="L10" s="1025">
        <f>CONS_TERAC!D23</f>
        <v>1431.2953678143745</v>
      </c>
      <c r="M10" s="1025">
        <f>CONS_TERAC!D24</f>
        <v>534.83216613749926</v>
      </c>
      <c r="N10" s="1026">
        <f t="shared" ref="N10:N26" si="1">SUM(C10:M10)</f>
        <v>7493.0966689950001</v>
      </c>
      <c r="O10" s="17"/>
      <c r="P10" s="15"/>
      <c r="Q10" s="16"/>
    </row>
    <row r="11" spans="1:17" ht="17.25" customHeight="1" outlineLevel="1">
      <c r="A11" s="459"/>
      <c r="B11" s="1024" t="s">
        <v>72</v>
      </c>
      <c r="C11" s="1025">
        <f>CONS_TERAC!C14</f>
        <v>10693.109635168652</v>
      </c>
      <c r="D11" s="1025">
        <f>CONS_TERAC!C15</f>
        <v>316.40389199999998</v>
      </c>
      <c r="E11" s="1025">
        <f>CONS_TERAC!C16</f>
        <v>59.578055375999995</v>
      </c>
      <c r="F11" s="1025">
        <f>CONS_TERAC!C17</f>
        <v>106.15702672760003</v>
      </c>
      <c r="G11" s="1025">
        <f>CONS_TERAC!C18</f>
        <v>7.1012013240000007</v>
      </c>
      <c r="H11" s="1025">
        <f>CONS_TERAC!C19</f>
        <v>1.3596660000000003</v>
      </c>
      <c r="I11" s="1025">
        <f>CONS_TERAC!C20</f>
        <v>102.23790012937205</v>
      </c>
      <c r="J11" s="1025">
        <f>CONS_TERAC!C21</f>
        <v>2.3274643560000001</v>
      </c>
      <c r="K11" s="1025">
        <f>CONS_TERAC!C22</f>
        <v>653.26240702799987</v>
      </c>
      <c r="L11" s="1025">
        <f>CONS_TERAC!C23</f>
        <v>6625.2067361837408</v>
      </c>
      <c r="M11" s="1025">
        <f>CONS_TERAC!C24</f>
        <v>3464.5483641553487</v>
      </c>
      <c r="N11" s="1026">
        <f t="shared" si="1"/>
        <v>22031.292348448711</v>
      </c>
      <c r="O11" s="17"/>
      <c r="P11" s="15"/>
      <c r="Q11" s="16"/>
    </row>
    <row r="12" spans="1:17" ht="17.25" customHeight="1" outlineLevel="1">
      <c r="A12" s="459"/>
      <c r="B12" s="1024" t="s">
        <v>73</v>
      </c>
      <c r="C12" s="1025">
        <f>CONS_TERAC!F14</f>
        <v>81.085378455000011</v>
      </c>
      <c r="D12" s="1025">
        <f>CONS_TERAC!F15</f>
        <v>0</v>
      </c>
      <c r="E12" s="1025">
        <f>CONS_TERAC!F16</f>
        <v>0</v>
      </c>
      <c r="F12" s="1025">
        <f>CONS_TERAC!F17</f>
        <v>4.6861092E-2</v>
      </c>
      <c r="G12" s="1025">
        <f>CONS_TERAC!F18</f>
        <v>0.467532</v>
      </c>
      <c r="H12" s="1025">
        <f>CONS_TERAC!F19</f>
        <v>0</v>
      </c>
      <c r="I12" s="1025">
        <f>CONS_TERAC!F20</f>
        <v>0</v>
      </c>
      <c r="J12" s="1025">
        <f>CONS_TERAC!F21</f>
        <v>0</v>
      </c>
      <c r="K12" s="1025">
        <f>CONS_TERAC!F22</f>
        <v>0</v>
      </c>
      <c r="L12" s="1025">
        <f>CONS_TERAC!F23</f>
        <v>265.77074122200003</v>
      </c>
      <c r="M12" s="1025">
        <f>CONS_TERAC!F24</f>
        <v>57.67861365000001</v>
      </c>
      <c r="N12" s="1026">
        <f t="shared" si="1"/>
        <v>405.049126419</v>
      </c>
      <c r="O12" s="17"/>
      <c r="P12" s="15"/>
      <c r="Q12" s="16"/>
    </row>
    <row r="13" spans="1:17" ht="17.25" customHeight="1" outlineLevel="1">
      <c r="A13" s="459"/>
      <c r="B13" s="1024" t="s">
        <v>74</v>
      </c>
      <c r="C13" s="1025">
        <f>CONS_TERAC!G14</f>
        <v>48.976681143500002</v>
      </c>
      <c r="D13" s="1025">
        <f>CONS_TERAC!G15</f>
        <v>0</v>
      </c>
      <c r="E13" s="1025">
        <f>CONS_TERAC!G16</f>
        <v>1.8398728000000002</v>
      </c>
      <c r="F13" s="1025">
        <f>CONS_TERAC!G17</f>
        <v>142.44793418876708</v>
      </c>
      <c r="G13" s="1025">
        <f>CONS_TERAC!G18</f>
        <v>102.60871283606288</v>
      </c>
      <c r="H13" s="1025">
        <f>CONS_TERAC!G19</f>
        <v>6.6796035349999991</v>
      </c>
      <c r="I13" s="1025">
        <f>CONS_TERAC!G20</f>
        <v>6.8383013791208835</v>
      </c>
      <c r="J13" s="1025">
        <f>CONS_TERAC!G21</f>
        <v>2.1337799999999998</v>
      </c>
      <c r="K13" s="1025">
        <f>CONS_TERAC!G22</f>
        <v>59.2349824771443</v>
      </c>
      <c r="L13" s="1025">
        <f>CONS_TERAC!G23</f>
        <v>2907.7390732346539</v>
      </c>
      <c r="M13" s="1025">
        <f>CONS_TERAC!G24</f>
        <v>26.674001437759994</v>
      </c>
      <c r="N13" s="1026">
        <f t="shared" si="1"/>
        <v>3305.1729430320092</v>
      </c>
      <c r="O13" s="17"/>
      <c r="P13" s="15"/>
      <c r="Q13" s="16"/>
    </row>
    <row r="14" spans="1:17" ht="17.25" customHeight="1" outlineLevel="1">
      <c r="A14" s="459"/>
      <c r="B14" s="1024" t="s">
        <v>77</v>
      </c>
      <c r="C14" s="1025">
        <f>CONS_TERAC!J14</f>
        <v>0</v>
      </c>
      <c r="D14" s="1025">
        <f>CONS_TERAC!J15</f>
        <v>0</v>
      </c>
      <c r="E14" s="1025">
        <f>CONS_TERAC!J16</f>
        <v>0</v>
      </c>
      <c r="F14" s="1025">
        <f>CONS_TERAC!J17</f>
        <v>0</v>
      </c>
      <c r="G14" s="1025">
        <f>CONS_TERAC!J18</f>
        <v>0</v>
      </c>
      <c r="H14" s="1025">
        <f>CONS_TERAC!J19</f>
        <v>0</v>
      </c>
      <c r="I14" s="1025">
        <f>CONS_TERAC!J20</f>
        <v>0</v>
      </c>
      <c r="J14" s="1025">
        <f>CONS_TERAC!J21</f>
        <v>0</v>
      </c>
      <c r="K14" s="1025">
        <f>CONS_TERAC!J22</f>
        <v>0</v>
      </c>
      <c r="L14" s="1025">
        <f>CONS_TERAC!J23</f>
        <v>0</v>
      </c>
      <c r="M14" s="1025">
        <f>CONS_TERAC!J24</f>
        <v>0</v>
      </c>
      <c r="N14" s="1026">
        <f t="shared" si="1"/>
        <v>0</v>
      </c>
      <c r="O14" s="17"/>
      <c r="P14" s="15"/>
      <c r="Q14" s="16"/>
    </row>
    <row r="15" spans="1:17" ht="17.25" customHeight="1" outlineLevel="1">
      <c r="A15" s="459"/>
      <c r="B15" s="1024" t="s">
        <v>78</v>
      </c>
      <c r="C15" s="1025">
        <f>CONS_TERAC!K14</f>
        <v>0</v>
      </c>
      <c r="D15" s="1025">
        <f>CONS_TERAC!K15</f>
        <v>0</v>
      </c>
      <c r="E15" s="1025">
        <f>CONS_TERAC!K16</f>
        <v>0</v>
      </c>
      <c r="F15" s="1025">
        <f>CONS_TERAC!K17</f>
        <v>0</v>
      </c>
      <c r="G15" s="1025">
        <f>CONS_TERAC!K18</f>
        <v>0</v>
      </c>
      <c r="H15" s="1025">
        <f>CONS_TERAC!K19</f>
        <v>3.327</v>
      </c>
      <c r="I15" s="1025">
        <f>CONS_TERAC!K20</f>
        <v>0</v>
      </c>
      <c r="J15" s="1025">
        <f>CONS_TERAC!K21</f>
        <v>0</v>
      </c>
      <c r="K15" s="1025">
        <f>CONS_TERAC!K22</f>
        <v>0</v>
      </c>
      <c r="L15" s="1025">
        <f>CONS_TERAC!K23</f>
        <v>0</v>
      </c>
      <c r="M15" s="1025">
        <f>CONS_TERAC!K24</f>
        <v>0</v>
      </c>
      <c r="N15" s="1026">
        <f t="shared" si="1"/>
        <v>3.327</v>
      </c>
      <c r="O15" s="17"/>
      <c r="P15" s="15"/>
      <c r="Q15" s="16"/>
    </row>
    <row r="16" spans="1:17" ht="17.25" customHeight="1" outlineLevel="1">
      <c r="A16" s="459"/>
      <c r="B16" s="1027" t="s">
        <v>76</v>
      </c>
      <c r="C16" s="1025">
        <f>CONS_TERAC!I14</f>
        <v>0</v>
      </c>
      <c r="D16" s="1025">
        <f>CONS_TERAC!I15</f>
        <v>0</v>
      </c>
      <c r="E16" s="1025">
        <f>CONS_TERAC!I16</f>
        <v>0</v>
      </c>
      <c r="F16" s="1025">
        <f>CONS_TERAC!I17</f>
        <v>0</v>
      </c>
      <c r="G16" s="1025">
        <f>CONS_TERAC!I18</f>
        <v>0</v>
      </c>
      <c r="H16" s="1025">
        <f>CONS_TERAC!I19</f>
        <v>0</v>
      </c>
      <c r="I16" s="1025">
        <f>CONS_TERAC!I20</f>
        <v>0</v>
      </c>
      <c r="J16" s="1025">
        <f>CONS_TERAC!I21</f>
        <v>0</v>
      </c>
      <c r="K16" s="1025">
        <f>CONS_TERAC!I22</f>
        <v>0</v>
      </c>
      <c r="L16" s="1025">
        <f>CONS_TERAC!I23</f>
        <v>0</v>
      </c>
      <c r="M16" s="1025">
        <f>CONS_TERAC!I24</f>
        <v>0</v>
      </c>
      <c r="N16" s="1026">
        <f t="shared" si="1"/>
        <v>0</v>
      </c>
      <c r="O16" s="17"/>
      <c r="P16" s="15"/>
      <c r="Q16" s="16"/>
    </row>
    <row r="17" spans="1:17" ht="17.25" customHeight="1" outlineLevel="1">
      <c r="A17" s="459"/>
      <c r="B17" s="589" t="s">
        <v>740</v>
      </c>
      <c r="C17" s="1025">
        <f>CONS_TERAC!E14</f>
        <v>0</v>
      </c>
      <c r="D17" s="1025">
        <f>CONS_TERAC!E15</f>
        <v>0</v>
      </c>
      <c r="E17" s="1025">
        <f>CONS_TERAC!E16</f>
        <v>0</v>
      </c>
      <c r="F17" s="1025">
        <f>CONS_TERAC!E17</f>
        <v>0</v>
      </c>
      <c r="G17" s="1025">
        <f>CONS_TERAC!E18</f>
        <v>0</v>
      </c>
      <c r="H17" s="1025">
        <f>CONS_TERAC!E19</f>
        <v>0</v>
      </c>
      <c r="I17" s="1025">
        <f>CONS_TERAC!E20</f>
        <v>0</v>
      </c>
      <c r="J17" s="1025">
        <f>CONS_TERAC!E21</f>
        <v>0</v>
      </c>
      <c r="K17" s="1025">
        <f>CONS_TERAC!E22</f>
        <v>0</v>
      </c>
      <c r="L17" s="1025">
        <f>CONS_TERAC!E23</f>
        <v>0</v>
      </c>
      <c r="M17" s="1025">
        <f>CONS_TERAC!E24</f>
        <v>0</v>
      </c>
      <c r="N17" s="1026">
        <f t="shared" si="1"/>
        <v>0</v>
      </c>
      <c r="O17" s="17"/>
      <c r="P17" s="15"/>
      <c r="Q17" s="16"/>
    </row>
    <row r="18" spans="1:17" ht="17.25" customHeight="1">
      <c r="A18" s="459"/>
      <c r="B18" s="1028" t="s">
        <v>35</v>
      </c>
      <c r="C18" s="1029">
        <f>CONS_TERAC!M14</f>
        <v>15948.367459527688</v>
      </c>
      <c r="D18" s="1029">
        <f>CONS_TERAC!M15</f>
        <v>329.76289350000008</v>
      </c>
      <c r="E18" s="1029">
        <f>CONS_TERAC!M16</f>
        <v>377.43608104000009</v>
      </c>
      <c r="F18" s="1029">
        <f>CONS_TERAC!M17</f>
        <v>4464.7272588882197</v>
      </c>
      <c r="G18" s="1029">
        <f>CONS_TERAC!M18</f>
        <v>440.73584009999985</v>
      </c>
      <c r="H18" s="1029">
        <f>CONS_TERAC!M19</f>
        <v>378.57549933999991</v>
      </c>
      <c r="I18" s="1029">
        <f>CONS_TERAC!M20</f>
        <v>436.83042441696779</v>
      </c>
      <c r="J18" s="1029">
        <f>CONS_TERAC!M21</f>
        <v>31.263082059999995</v>
      </c>
      <c r="K18" s="1029">
        <f>CONS_TERAC!M22</f>
        <v>140.13685208000004</v>
      </c>
      <c r="L18" s="1029">
        <f>CONS_TERAC!M23</f>
        <v>7662.6369238260759</v>
      </c>
      <c r="M18" s="1029">
        <f>CONS_TERAC!M24</f>
        <v>1258.7015365246677</v>
      </c>
      <c r="N18" s="1030">
        <f t="shared" si="1"/>
        <v>31469.173851303614</v>
      </c>
      <c r="O18" s="17"/>
      <c r="P18" s="15"/>
      <c r="Q18" s="16"/>
    </row>
    <row r="19" spans="1:17" ht="17.25" customHeight="1">
      <c r="A19" s="459"/>
      <c r="B19" s="1028" t="s">
        <v>79</v>
      </c>
      <c r="C19" s="1029">
        <f>CONS_TERAC!N14</f>
        <v>0</v>
      </c>
      <c r="D19" s="1029">
        <f>CONS_TERAC!N15</f>
        <v>0</v>
      </c>
      <c r="E19" s="1029">
        <f>CONS_TERAC!N16</f>
        <v>355.02005700000001</v>
      </c>
      <c r="F19" s="1029">
        <f>CONS_TERAC!N17</f>
        <v>48.447115383333333</v>
      </c>
      <c r="G19" s="1029">
        <f>CONS_TERAC!N18</f>
        <v>0</v>
      </c>
      <c r="H19" s="1029">
        <f>CONS_TERAC!N19</f>
        <v>0</v>
      </c>
      <c r="I19" s="1029">
        <f>CONS_TERAC!N20</f>
        <v>518.27007393945439</v>
      </c>
      <c r="J19" s="1029">
        <f>CONS_TERAC!N21</f>
        <v>419.07539506000012</v>
      </c>
      <c r="K19" s="1029">
        <f>CONS_TERAC!N22</f>
        <v>59.497681939999993</v>
      </c>
      <c r="L19" s="1029">
        <f>CONS_TERAC!N23</f>
        <v>757.65509086282282</v>
      </c>
      <c r="M19" s="1029">
        <f>CONS_TERAC!N24</f>
        <v>0</v>
      </c>
      <c r="N19" s="1030">
        <f t="shared" si="1"/>
        <v>2157.9654141856108</v>
      </c>
      <c r="O19" s="17"/>
      <c r="P19" s="15"/>
      <c r="Q19" s="16"/>
    </row>
    <row r="20" spans="1:17" ht="17.25" customHeight="1">
      <c r="A20" s="459"/>
      <c r="B20" s="1028" t="s">
        <v>124</v>
      </c>
      <c r="C20" s="1029">
        <f>CONS_TERAC!O14</f>
        <v>54.206474</v>
      </c>
      <c r="D20" s="1029">
        <f>CONS_TERAC!O15</f>
        <v>0</v>
      </c>
      <c r="E20" s="1029">
        <f>CONS_TERAC!O16</f>
        <v>0</v>
      </c>
      <c r="F20" s="1029">
        <f>CONS_TERAC!O17</f>
        <v>0</v>
      </c>
      <c r="G20" s="1029">
        <f>CONS_TERAC!O18</f>
        <v>2013.6256000000003</v>
      </c>
      <c r="H20" s="1029">
        <f>CONS_TERAC!O19</f>
        <v>0</v>
      </c>
      <c r="I20" s="1029">
        <f>CONS_TERAC!O20</f>
        <v>1908.2831640904908</v>
      </c>
      <c r="J20" s="1029">
        <f>CONS_TERAC!O21</f>
        <v>18.4151718</v>
      </c>
      <c r="K20" s="1029">
        <f>CONS_TERAC!O22</f>
        <v>0</v>
      </c>
      <c r="L20" s="1029">
        <f>CONS_TERAC!O23</f>
        <v>58.658590700000005</v>
      </c>
      <c r="M20" s="1029">
        <f>CONS_TERAC!O24</f>
        <v>31.162500000000001</v>
      </c>
      <c r="N20" s="1030">
        <f t="shared" si="1"/>
        <v>4084.351500590491</v>
      </c>
      <c r="O20" s="17"/>
      <c r="P20" s="15"/>
      <c r="Q20" s="16"/>
    </row>
    <row r="21" spans="1:17" ht="17.25" customHeight="1">
      <c r="A21" s="459"/>
      <c r="B21" s="1028" t="s">
        <v>742</v>
      </c>
      <c r="C21" s="1029">
        <f>CONS_TERAC!P14</f>
        <v>0</v>
      </c>
      <c r="D21" s="1029">
        <f>CONS_TERAC!P15</f>
        <v>0</v>
      </c>
      <c r="E21" s="1029">
        <f>CONS_TERAC!P16</f>
        <v>0</v>
      </c>
      <c r="F21" s="1029">
        <f>CONS_TERAC!P17</f>
        <v>0</v>
      </c>
      <c r="G21" s="1029">
        <f>CONS_TERAC!P18</f>
        <v>0</v>
      </c>
      <c r="H21" s="1029">
        <f>CONS_TERAC!P19</f>
        <v>0</v>
      </c>
      <c r="I21" s="1029">
        <f>CONS_TERAC!P20</f>
        <v>0</v>
      </c>
      <c r="J21" s="1029">
        <f>CONS_TERAC!P21</f>
        <v>0</v>
      </c>
      <c r="K21" s="1029">
        <f>CONS_TERAC!P22</f>
        <v>0</v>
      </c>
      <c r="L21" s="1029">
        <f>CONS_TERAC!P23</f>
        <v>0</v>
      </c>
      <c r="M21" s="1029">
        <f>CONS_TERAC!P24</f>
        <v>0</v>
      </c>
      <c r="N21" s="1030">
        <f t="shared" si="1"/>
        <v>0</v>
      </c>
      <c r="O21" s="17"/>
      <c r="P21" s="15"/>
      <c r="Q21" s="16"/>
    </row>
    <row r="22" spans="1:17" ht="17.25" customHeight="1">
      <c r="A22" s="459"/>
      <c r="B22" s="1028" t="s">
        <v>37</v>
      </c>
      <c r="C22" s="1029">
        <f>CONS_TERAC!Q14</f>
        <v>0</v>
      </c>
      <c r="D22" s="1029">
        <f>CONS_TERAC!Q15</f>
        <v>0</v>
      </c>
      <c r="E22" s="1029">
        <f>CONS_TERAC!Q16</f>
        <v>0</v>
      </c>
      <c r="F22" s="1029">
        <f>CONS_TERAC!Q17</f>
        <v>0</v>
      </c>
      <c r="G22" s="1029">
        <f>CONS_TERAC!Q18</f>
        <v>709.25030508414932</v>
      </c>
      <c r="H22" s="1029">
        <f>CONS_TERAC!Q19</f>
        <v>0</v>
      </c>
      <c r="I22" s="1029">
        <f>CONS_TERAC!Q20</f>
        <v>0</v>
      </c>
      <c r="J22" s="1029">
        <f>CONS_TERAC!Q21</f>
        <v>0</v>
      </c>
      <c r="K22" s="1029">
        <f>CONS_TERAC!Q22</f>
        <v>0</v>
      </c>
      <c r="L22" s="1029">
        <f>CONS_TERAC!Q23</f>
        <v>0</v>
      </c>
      <c r="M22" s="1029">
        <f>CONS_TERAC!Q24</f>
        <v>0</v>
      </c>
      <c r="N22" s="1030">
        <f t="shared" si="1"/>
        <v>709.25030508414932</v>
      </c>
      <c r="O22" s="17"/>
      <c r="P22" s="15"/>
      <c r="Q22" s="16"/>
    </row>
    <row r="23" spans="1:17" ht="17.25" customHeight="1">
      <c r="A23" s="459"/>
      <c r="B23" s="1028" t="s">
        <v>83</v>
      </c>
      <c r="C23" s="1029">
        <f>CONS_TERAC!R14</f>
        <v>0</v>
      </c>
      <c r="D23" s="1029">
        <f>CONS_TERAC!R15</f>
        <v>0</v>
      </c>
      <c r="E23" s="1029">
        <f>CONS_TERAC!R16</f>
        <v>0</v>
      </c>
      <c r="F23" s="1029">
        <f>CONS_TERAC!R17</f>
        <v>0</v>
      </c>
      <c r="G23" s="1029">
        <f>CONS_TERAC!R18</f>
        <v>165.60400000000001</v>
      </c>
      <c r="H23" s="1029">
        <f>CONS_TERAC!R19</f>
        <v>0</v>
      </c>
      <c r="I23" s="1029">
        <f>CONS_TERAC!R20</f>
        <v>0</v>
      </c>
      <c r="J23" s="1029">
        <f>CONS_TERAC!R21</f>
        <v>0</v>
      </c>
      <c r="K23" s="1029">
        <f>CONS_TERAC!R22</f>
        <v>0</v>
      </c>
      <c r="L23" s="1029">
        <f>CONS_TERAC!R23</f>
        <v>0</v>
      </c>
      <c r="M23" s="1029">
        <f>CONS_TERAC!R24</f>
        <v>0</v>
      </c>
      <c r="N23" s="1030">
        <f t="shared" si="1"/>
        <v>165.60400000000001</v>
      </c>
      <c r="O23" s="17"/>
      <c r="P23" s="15"/>
      <c r="Q23" s="16"/>
    </row>
    <row r="24" spans="1:17" ht="17.25" customHeight="1">
      <c r="A24" s="459"/>
      <c r="B24" s="1028" t="s">
        <v>84</v>
      </c>
      <c r="C24" s="1029">
        <f>CONS_TERAC!S14</f>
        <v>438.10410974911395</v>
      </c>
      <c r="D24" s="1029">
        <f>CONS_TERAC!S15</f>
        <v>136.24364700901799</v>
      </c>
      <c r="E24" s="1029">
        <f>CONS_TERAC!S16</f>
        <v>0</v>
      </c>
      <c r="F24" s="1029">
        <f>CONS_TERAC!S17</f>
        <v>545.09446960916159</v>
      </c>
      <c r="G24" s="1029">
        <f>CONS_TERAC!S18</f>
        <v>0</v>
      </c>
      <c r="H24" s="1029">
        <f>CONS_TERAC!S19</f>
        <v>0.78346265910126578</v>
      </c>
      <c r="I24" s="1029">
        <f>CONS_TERAC!S20</f>
        <v>8.0637637800000004</v>
      </c>
      <c r="J24" s="1029">
        <f>CONS_TERAC!S21</f>
        <v>0</v>
      </c>
      <c r="K24" s="1029">
        <f>CONS_TERAC!S22</f>
        <v>58.97836341</v>
      </c>
      <c r="L24" s="1029">
        <f>CONS_TERAC!S23</f>
        <v>219.30858635293865</v>
      </c>
      <c r="M24" s="1029">
        <f>CONS_TERAC!S24</f>
        <v>111.30363151</v>
      </c>
      <c r="N24" s="1030">
        <f t="shared" si="1"/>
        <v>1517.8800340793337</v>
      </c>
      <c r="O24" s="17"/>
      <c r="P24" s="15"/>
      <c r="Q24" s="16"/>
    </row>
    <row r="25" spans="1:17" ht="17.25" customHeight="1">
      <c r="A25" s="459"/>
      <c r="B25" s="1028" t="s">
        <v>39</v>
      </c>
      <c r="C25" s="1029">
        <f>CONS_TERAC!T14</f>
        <v>0</v>
      </c>
      <c r="D25" s="1029">
        <f>CONS_TERAC!T15</f>
        <v>0</v>
      </c>
      <c r="E25" s="1029">
        <f>CONS_TERAC!T16</f>
        <v>0</v>
      </c>
      <c r="F25" s="1029">
        <f>CONS_TERAC!T17</f>
        <v>0</v>
      </c>
      <c r="G25" s="1029">
        <f>CONS_TERAC!T18</f>
        <v>0</v>
      </c>
      <c r="H25" s="1029">
        <f>CONS_TERAC!T19</f>
        <v>0</v>
      </c>
      <c r="I25" s="1029">
        <f>CONS_TERAC!T20</f>
        <v>0</v>
      </c>
      <c r="J25" s="1029">
        <f>CONS_TERAC!T21</f>
        <v>0</v>
      </c>
      <c r="K25" s="1029">
        <f>CONS_TERAC!T22</f>
        <v>0</v>
      </c>
      <c r="L25" s="1029">
        <f>CONS_TERAC!T23</f>
        <v>447.06612587687079</v>
      </c>
      <c r="M25" s="1029">
        <f>CONS_TERAC!T24</f>
        <v>0</v>
      </c>
      <c r="N25" s="1030">
        <f t="shared" si="1"/>
        <v>447.06612587687079</v>
      </c>
      <c r="O25" s="17"/>
      <c r="P25" s="15"/>
      <c r="Q25" s="16"/>
    </row>
    <row r="26" spans="1:17" ht="17.25" customHeight="1">
      <c r="A26" s="459"/>
      <c r="B26" s="1028" t="s">
        <v>26</v>
      </c>
      <c r="C26" s="1029">
        <f>CONS_TERAC!V14</f>
        <v>0</v>
      </c>
      <c r="D26" s="1029">
        <f>CONS_TERAC!V15</f>
        <v>0</v>
      </c>
      <c r="E26" s="1029">
        <f>CONS_TERAC!V16</f>
        <v>0</v>
      </c>
      <c r="F26" s="1029">
        <f>CONS_TERAC!V17</f>
        <v>12161.258377890625</v>
      </c>
      <c r="G26" s="1029">
        <f>CONS_TERAC!V18</f>
        <v>0</v>
      </c>
      <c r="H26" s="1029">
        <f>CONS_TERAC!V19</f>
        <v>0</v>
      </c>
      <c r="I26" s="1029">
        <f>CONS_TERAC!V20</f>
        <v>0</v>
      </c>
      <c r="J26" s="1029">
        <f>CONS_TERAC!V21</f>
        <v>0</v>
      </c>
      <c r="K26" s="1029">
        <f>CONS_TERAC!V22</f>
        <v>0</v>
      </c>
      <c r="L26" s="1029">
        <f>CONS_TERAC!V23</f>
        <v>3585.8037246498125</v>
      </c>
      <c r="M26" s="1029">
        <f>CONS_TERAC!V24</f>
        <v>0</v>
      </c>
      <c r="N26" s="1030">
        <f t="shared" si="1"/>
        <v>15747.062102540436</v>
      </c>
      <c r="O26" s="17"/>
      <c r="P26" s="15"/>
      <c r="Q26" s="16"/>
    </row>
    <row r="27" spans="1:17" ht="17.25" customHeight="1">
      <c r="A27" s="459"/>
      <c r="B27" s="1031" t="s">
        <v>28</v>
      </c>
      <c r="C27" s="1032">
        <f t="shared" ref="C27:N27" si="2">SUM(C18:C26)+C9</f>
        <v>28926.185653248955</v>
      </c>
      <c r="D27" s="1032">
        <f t="shared" si="2"/>
        <v>782.41043250901805</v>
      </c>
      <c r="E27" s="1032">
        <f t="shared" si="2"/>
        <v>822.70286621600007</v>
      </c>
      <c r="F27" s="1032">
        <f t="shared" si="2"/>
        <v>19894.001776987709</v>
      </c>
      <c r="G27" s="1032">
        <f t="shared" si="2"/>
        <v>3867.0056913442118</v>
      </c>
      <c r="H27" s="1032">
        <f t="shared" si="2"/>
        <v>390.72523153410117</v>
      </c>
      <c r="I27" s="1032">
        <f t="shared" si="2"/>
        <v>3103.0342456355311</v>
      </c>
      <c r="J27" s="1032">
        <f t="shared" si="2"/>
        <v>473.21489327600011</v>
      </c>
      <c r="K27" s="1032">
        <f t="shared" si="2"/>
        <v>1830.9688556651442</v>
      </c>
      <c r="L27" s="1032">
        <f t="shared" si="2"/>
        <v>23961.140960723293</v>
      </c>
      <c r="M27" s="1032">
        <f t="shared" si="2"/>
        <v>5484.9008134152755</v>
      </c>
      <c r="N27" s="1033">
        <f t="shared" si="2"/>
        <v>89536.291420555222</v>
      </c>
      <c r="O27" s="17"/>
      <c r="P27" s="15"/>
      <c r="Q27" s="16"/>
    </row>
    <row r="28" spans="1:17" ht="13.5" thickBot="1">
      <c r="A28" s="459"/>
      <c r="B28" s="1034"/>
      <c r="C28" s="1035"/>
      <c r="D28" s="1035"/>
      <c r="E28" s="1035"/>
      <c r="F28" s="1035"/>
      <c r="G28" s="1035"/>
      <c r="H28" s="1035"/>
      <c r="I28" s="1035"/>
      <c r="J28" s="1035"/>
      <c r="K28" s="1035"/>
      <c r="L28" s="1035"/>
      <c r="M28" s="1035"/>
      <c r="N28" s="1036"/>
      <c r="O28" s="17"/>
      <c r="P28" s="16"/>
      <c r="Q28" s="16"/>
    </row>
    <row r="29" spans="1:17">
      <c r="A29" s="459"/>
      <c r="B29" s="448" t="s">
        <v>14</v>
      </c>
      <c r="C29" s="1037"/>
      <c r="D29" s="1037"/>
      <c r="E29" s="1037"/>
      <c r="F29" s="1037"/>
      <c r="G29" s="1037"/>
      <c r="H29" s="1037"/>
      <c r="I29" s="1037"/>
      <c r="J29" s="1037"/>
      <c r="K29" s="1037"/>
      <c r="L29" s="1037"/>
      <c r="M29" s="1037"/>
      <c r="N29" s="1037"/>
      <c r="O29" s="17"/>
      <c r="P29" s="16"/>
      <c r="Q29" s="16"/>
    </row>
    <row r="30" spans="1:17">
      <c r="A30" s="459"/>
      <c r="B30" s="584" t="s">
        <v>85</v>
      </c>
      <c r="C30" s="585"/>
      <c r="D30" s="585"/>
      <c r="E30" s="585"/>
      <c r="F30" s="585"/>
      <c r="G30" s="585"/>
      <c r="H30" s="585"/>
      <c r="I30" s="585"/>
      <c r="J30" s="464"/>
      <c r="K30" s="587"/>
      <c r="L30" s="587"/>
      <c r="M30" s="587"/>
      <c r="N30" s="587"/>
      <c r="O30" s="9"/>
      <c r="P30" s="9"/>
      <c r="Q30" s="9"/>
    </row>
    <row r="31" spans="1:17">
      <c r="A31" s="459"/>
      <c r="B31" s="584" t="s">
        <v>743</v>
      </c>
      <c r="C31" s="585"/>
      <c r="D31" s="585"/>
      <c r="E31" s="585"/>
      <c r="F31" s="585"/>
      <c r="G31" s="585"/>
      <c r="H31" s="585"/>
      <c r="I31" s="585"/>
      <c r="J31" s="587"/>
      <c r="K31" s="587"/>
      <c r="L31" s="587"/>
      <c r="M31" s="587"/>
      <c r="N31" s="587"/>
      <c r="O31" s="9"/>
      <c r="P31" s="9"/>
      <c r="Q31" s="9"/>
    </row>
    <row r="32" spans="1:17">
      <c r="A32" s="459"/>
      <c r="B32" s="479" t="s">
        <v>59</v>
      </c>
      <c r="C32" s="487"/>
      <c r="D32" s="488"/>
      <c r="E32" s="488"/>
      <c r="F32" s="488"/>
      <c r="G32" s="452"/>
      <c r="H32" s="455"/>
      <c r="I32" s="415"/>
      <c r="J32" s="415"/>
      <c r="K32" s="415"/>
      <c r="L32" s="415"/>
      <c r="M32" s="415"/>
      <c r="N32" s="415"/>
      <c r="O32" s="6"/>
      <c r="P32" s="6"/>
      <c r="Q32" s="6"/>
    </row>
    <row r="33" spans="1:17">
      <c r="A33" s="459"/>
      <c r="B33" s="479" t="s">
        <v>60</v>
      </c>
      <c r="C33" s="455"/>
      <c r="D33" s="455"/>
      <c r="E33" s="455"/>
      <c r="F33" s="455"/>
      <c r="G33" s="455"/>
      <c r="H33" s="455"/>
      <c r="I33" s="415"/>
      <c r="J33" s="415"/>
      <c r="K33" s="415"/>
      <c r="L33" s="415"/>
      <c r="M33" s="415"/>
      <c r="N33" s="415"/>
      <c r="O33" s="6"/>
      <c r="P33" s="6"/>
      <c r="Q33" s="6"/>
    </row>
    <row r="34" spans="1:17">
      <c r="A34" s="459"/>
      <c r="B34" s="455" t="s">
        <v>795</v>
      </c>
      <c r="C34" s="455"/>
      <c r="D34" s="455"/>
      <c r="E34" s="455"/>
      <c r="F34" s="455"/>
      <c r="G34" s="455"/>
      <c r="H34" s="455"/>
      <c r="I34" s="415"/>
      <c r="J34" s="415"/>
      <c r="K34" s="415"/>
      <c r="L34" s="415"/>
      <c r="M34" s="415"/>
      <c r="N34" s="415"/>
      <c r="O34" s="6"/>
      <c r="P34" s="6"/>
      <c r="Q34" s="6"/>
    </row>
    <row r="35" spans="1:17">
      <c r="A35" s="459"/>
      <c r="B35" s="455" t="s">
        <v>773</v>
      </c>
      <c r="C35" s="455"/>
      <c r="D35" s="455"/>
      <c r="E35" s="455"/>
      <c r="F35" s="455"/>
      <c r="G35" s="455"/>
      <c r="H35" s="455"/>
      <c r="I35" s="415"/>
      <c r="J35" s="415"/>
      <c r="K35" s="415"/>
      <c r="L35" s="415"/>
      <c r="M35" s="415"/>
      <c r="N35" s="415"/>
      <c r="O35" s="6"/>
      <c r="P35" s="6"/>
      <c r="Q35" s="6"/>
    </row>
    <row r="36" spans="1:17">
      <c r="A36" s="459"/>
      <c r="B36" s="1038"/>
      <c r="C36" s="1038"/>
      <c r="D36" s="1038"/>
      <c r="E36" s="1038"/>
      <c r="F36" s="1038"/>
      <c r="G36" s="1038"/>
      <c r="H36" s="1038"/>
      <c r="I36" s="1038"/>
      <c r="J36" s="1038"/>
      <c r="K36" s="1038"/>
      <c r="L36" s="1038"/>
      <c r="M36" s="1038"/>
      <c r="N36" s="1038"/>
      <c r="O36" s="14"/>
      <c r="P36" s="16"/>
      <c r="Q36" s="16"/>
    </row>
    <row r="37" spans="1:17">
      <c r="B37" s="16"/>
      <c r="C37" s="16"/>
      <c r="D37" s="16"/>
      <c r="E37" s="16"/>
      <c r="F37" s="16"/>
      <c r="G37" s="16"/>
      <c r="H37" s="16"/>
      <c r="I37" s="16"/>
      <c r="J37" s="16"/>
      <c r="K37" s="16"/>
      <c r="L37" s="16"/>
      <c r="M37" s="16"/>
      <c r="N37" s="16"/>
      <c r="O37" s="14"/>
      <c r="P37" s="16"/>
      <c r="Q37" s="16"/>
    </row>
    <row r="38" spans="1:17">
      <c r="B38" s="16"/>
      <c r="C38" s="16"/>
      <c r="D38" s="16"/>
      <c r="E38" s="16"/>
      <c r="F38" s="16"/>
      <c r="G38" s="16"/>
      <c r="H38" s="16"/>
      <c r="I38" s="16"/>
      <c r="J38" s="16"/>
      <c r="K38" s="16"/>
      <c r="L38" s="16"/>
      <c r="M38" s="16"/>
      <c r="N38" s="16"/>
      <c r="O38" s="14"/>
      <c r="P38" s="16"/>
      <c r="Q38" s="16"/>
    </row>
    <row r="39" spans="1:17">
      <c r="B39" s="16"/>
      <c r="C39" s="16"/>
      <c r="D39" s="16"/>
      <c r="E39" s="16"/>
      <c r="F39" s="16"/>
      <c r="G39" s="16"/>
      <c r="H39" s="16"/>
      <c r="I39" s="16"/>
      <c r="J39" s="16"/>
      <c r="K39" s="16"/>
      <c r="L39" s="16"/>
      <c r="M39" s="16"/>
      <c r="N39" s="16"/>
      <c r="O39" s="14"/>
      <c r="P39" s="16"/>
      <c r="Q39" s="16"/>
    </row>
    <row r="40" spans="1:17">
      <c r="B40" s="16"/>
      <c r="C40" s="16"/>
      <c r="D40" s="16"/>
      <c r="E40" s="16"/>
      <c r="F40" s="16"/>
      <c r="G40" s="16"/>
      <c r="H40" s="16"/>
      <c r="I40" s="16"/>
      <c r="J40" s="16"/>
      <c r="K40" s="16"/>
      <c r="L40" s="16"/>
      <c r="M40" s="16"/>
      <c r="N40" s="16"/>
      <c r="O40" s="14"/>
      <c r="P40" s="16"/>
      <c r="Q40" s="16"/>
    </row>
    <row r="41" spans="1:17">
      <c r="B41" s="16"/>
      <c r="C41" s="16"/>
      <c r="D41" s="16"/>
      <c r="E41" s="16"/>
      <c r="F41" s="16"/>
      <c r="G41" s="16"/>
      <c r="H41" s="16"/>
      <c r="I41" s="16"/>
      <c r="J41" s="16"/>
      <c r="K41" s="16"/>
      <c r="L41" s="16"/>
      <c r="M41" s="16"/>
      <c r="N41" s="16"/>
      <c r="O41" s="14"/>
      <c r="P41" s="16"/>
      <c r="Q41" s="16"/>
    </row>
    <row r="42" spans="1:17">
      <c r="B42" s="16"/>
      <c r="C42" s="16"/>
      <c r="D42" s="16"/>
      <c r="E42" s="16"/>
      <c r="F42" s="16"/>
      <c r="G42" s="16"/>
      <c r="H42" s="16"/>
      <c r="I42" s="16"/>
      <c r="J42" s="16"/>
      <c r="K42" s="16"/>
      <c r="L42" s="16"/>
      <c r="M42" s="16"/>
      <c r="N42" s="16"/>
      <c r="O42" s="14"/>
      <c r="P42" s="16"/>
      <c r="Q42" s="16"/>
    </row>
    <row r="43" spans="1:17">
      <c r="B43" s="16"/>
      <c r="C43" s="16"/>
      <c r="D43" s="16"/>
      <c r="E43" s="16"/>
      <c r="F43" s="16"/>
      <c r="G43" s="16"/>
      <c r="H43" s="16"/>
      <c r="I43" s="16"/>
      <c r="J43" s="16"/>
      <c r="K43" s="16"/>
      <c r="L43" s="16"/>
      <c r="M43" s="16"/>
      <c r="N43" s="16"/>
      <c r="O43" s="14"/>
      <c r="P43" s="16"/>
      <c r="Q43" s="16"/>
    </row>
    <row r="44" spans="1:17">
      <c r="B44" s="16"/>
      <c r="C44" s="16"/>
      <c r="D44" s="16"/>
      <c r="E44" s="16"/>
      <c r="F44" s="16"/>
      <c r="G44" s="16"/>
      <c r="H44" s="16"/>
      <c r="I44" s="16"/>
      <c r="J44" s="16"/>
      <c r="K44" s="16"/>
      <c r="L44" s="16"/>
      <c r="M44" s="16"/>
      <c r="N44" s="16"/>
      <c r="O44" s="14"/>
      <c r="P44" s="16"/>
      <c r="Q44" s="16"/>
    </row>
    <row r="45" spans="1:17">
      <c r="B45" s="16"/>
      <c r="C45" s="16"/>
      <c r="D45" s="16"/>
      <c r="E45" s="16"/>
      <c r="F45" s="16"/>
      <c r="G45" s="16"/>
      <c r="H45" s="16"/>
      <c r="I45" s="16"/>
      <c r="J45" s="16"/>
      <c r="K45" s="16"/>
      <c r="L45" s="16"/>
      <c r="M45" s="16"/>
      <c r="N45" s="16"/>
      <c r="O45" s="14"/>
      <c r="P45" s="16"/>
      <c r="Q45" s="16"/>
    </row>
    <row r="46" spans="1:17">
      <c r="B46" s="16"/>
      <c r="C46" s="16"/>
      <c r="D46" s="16"/>
      <c r="E46" s="16"/>
      <c r="F46" s="16"/>
      <c r="G46" s="16"/>
      <c r="H46" s="16"/>
      <c r="I46" s="16"/>
      <c r="J46" s="16"/>
      <c r="K46" s="16"/>
      <c r="L46" s="16"/>
      <c r="M46" s="16"/>
      <c r="N46" s="16"/>
      <c r="O46" s="14"/>
      <c r="P46" s="16"/>
      <c r="Q46" s="16"/>
    </row>
    <row r="47" spans="1:17">
      <c r="B47" s="16"/>
      <c r="C47" s="16"/>
      <c r="D47" s="16"/>
      <c r="E47" s="16"/>
      <c r="F47" s="16"/>
      <c r="G47" s="16"/>
      <c r="H47" s="16"/>
      <c r="I47" s="16"/>
      <c r="J47" s="16"/>
      <c r="K47" s="16"/>
      <c r="L47" s="16"/>
      <c r="M47" s="16"/>
      <c r="N47" s="16"/>
      <c r="O47" s="14"/>
      <c r="P47" s="16"/>
      <c r="Q47" s="16"/>
    </row>
    <row r="48" spans="1:17">
      <c r="B48" s="16"/>
      <c r="C48" s="16"/>
      <c r="D48" s="16"/>
      <c r="E48" s="16"/>
      <c r="F48" s="16"/>
      <c r="G48" s="16"/>
      <c r="H48" s="16"/>
      <c r="I48" s="16"/>
      <c r="J48" s="16"/>
      <c r="K48" s="16"/>
      <c r="L48" s="16"/>
      <c r="M48" s="16"/>
      <c r="N48" s="16"/>
      <c r="O48" s="14"/>
      <c r="P48" s="16"/>
      <c r="Q48" s="16"/>
    </row>
    <row r="49" spans="2:17">
      <c r="B49" s="16"/>
      <c r="C49" s="16"/>
      <c r="D49" s="16"/>
      <c r="E49" s="16"/>
      <c r="F49" s="16"/>
      <c r="G49" s="16"/>
      <c r="H49" s="16"/>
      <c r="I49" s="16"/>
      <c r="J49" s="16"/>
      <c r="K49" s="16"/>
      <c r="L49" s="16"/>
      <c r="M49" s="16"/>
      <c r="N49" s="16"/>
      <c r="O49" s="14"/>
      <c r="P49" s="16"/>
      <c r="Q49" s="16"/>
    </row>
    <row r="50" spans="2:17">
      <c r="B50" s="16"/>
      <c r="C50" s="16"/>
      <c r="D50" s="16"/>
      <c r="E50" s="16"/>
      <c r="F50" s="16"/>
      <c r="G50" s="16"/>
      <c r="H50" s="16"/>
      <c r="I50" s="16"/>
      <c r="J50" s="16"/>
      <c r="K50" s="16"/>
      <c r="L50" s="16"/>
      <c r="M50" s="16"/>
      <c r="N50" s="16"/>
      <c r="O50" s="14"/>
      <c r="P50" s="16"/>
      <c r="Q50" s="16"/>
    </row>
    <row r="51" spans="2:17">
      <c r="B51" s="16"/>
      <c r="C51" s="16"/>
      <c r="D51" s="16"/>
      <c r="E51" s="16"/>
      <c r="F51" s="16"/>
      <c r="G51" s="16"/>
      <c r="H51" s="16"/>
      <c r="I51" s="16"/>
      <c r="J51" s="16"/>
      <c r="K51" s="16"/>
      <c r="L51" s="16"/>
      <c r="M51" s="16"/>
      <c r="N51" s="16"/>
      <c r="O51" s="14"/>
      <c r="P51" s="16"/>
      <c r="Q51" s="16"/>
    </row>
    <row r="52" spans="2:17">
      <c r="B52" s="3"/>
      <c r="C52" s="3"/>
      <c r="D52" s="3"/>
      <c r="E52" s="3"/>
      <c r="F52" s="3"/>
      <c r="G52" s="3"/>
      <c r="H52" s="3"/>
      <c r="I52" s="3"/>
      <c r="J52" s="3"/>
      <c r="K52" s="3"/>
      <c r="L52" s="3"/>
      <c r="M52" s="3"/>
      <c r="N52" s="3"/>
    </row>
    <row r="53" spans="2:17">
      <c r="B53" s="3"/>
      <c r="C53" s="3"/>
      <c r="D53" s="3"/>
      <c r="E53" s="3"/>
      <c r="F53" s="3"/>
      <c r="G53" s="3"/>
      <c r="H53" s="3"/>
      <c r="I53" s="3"/>
      <c r="J53" s="3"/>
      <c r="K53" s="3"/>
      <c r="L53" s="3"/>
      <c r="M53" s="3"/>
      <c r="N53" s="3"/>
    </row>
    <row r="54" spans="2:17">
      <c r="B54" s="3"/>
      <c r="C54" s="3"/>
      <c r="D54" s="3"/>
      <c r="E54" s="3"/>
      <c r="F54" s="3"/>
      <c r="G54" s="3"/>
      <c r="H54" s="3"/>
      <c r="I54" s="3"/>
      <c r="J54" s="3"/>
      <c r="K54" s="3"/>
      <c r="L54" s="3"/>
      <c r="M54" s="3"/>
      <c r="N54" s="3"/>
    </row>
    <row r="55" spans="2:17">
      <c r="B55" s="3"/>
      <c r="C55" s="3"/>
      <c r="D55" s="3"/>
      <c r="E55" s="3"/>
      <c r="F55" s="3"/>
      <c r="G55" s="3"/>
      <c r="H55" s="3"/>
      <c r="I55" s="3"/>
      <c r="J55" s="3"/>
      <c r="K55" s="3"/>
      <c r="L55" s="3"/>
      <c r="M55" s="3"/>
      <c r="N55" s="3"/>
    </row>
    <row r="56" spans="2:17">
      <c r="B56" s="3"/>
      <c r="C56" s="3"/>
      <c r="D56" s="3"/>
      <c r="E56" s="3"/>
      <c r="F56" s="3"/>
      <c r="G56" s="3"/>
      <c r="H56" s="3"/>
      <c r="I56" s="3"/>
      <c r="J56" s="3"/>
      <c r="K56" s="3"/>
      <c r="L56" s="3"/>
      <c r="M56" s="3"/>
      <c r="N56" s="3"/>
    </row>
    <row r="57" spans="2:17">
      <c r="B57" s="3"/>
      <c r="C57" s="3"/>
      <c r="D57" s="3"/>
      <c r="E57" s="3"/>
      <c r="F57" s="3"/>
      <c r="G57" s="3"/>
      <c r="H57" s="3"/>
      <c r="I57" s="3"/>
      <c r="J57" s="3"/>
      <c r="K57" s="3"/>
      <c r="L57" s="3"/>
      <c r="M57" s="3"/>
      <c r="N57" s="3"/>
    </row>
    <row r="58" spans="2:17">
      <c r="B58" s="3"/>
      <c r="C58" s="3"/>
      <c r="D58" s="3"/>
      <c r="E58" s="3"/>
      <c r="F58" s="3"/>
      <c r="G58" s="3"/>
      <c r="H58" s="3"/>
      <c r="I58" s="3"/>
      <c r="J58" s="3"/>
      <c r="K58" s="3"/>
      <c r="L58" s="3"/>
      <c r="M58" s="3"/>
      <c r="N58" s="3"/>
    </row>
    <row r="59" spans="2:17">
      <c r="B59" s="3"/>
      <c r="C59" s="3"/>
      <c r="D59" s="3"/>
      <c r="E59" s="3"/>
      <c r="F59" s="3"/>
      <c r="G59" s="3"/>
      <c r="H59" s="3"/>
      <c r="I59" s="3"/>
      <c r="J59" s="3"/>
      <c r="K59" s="3"/>
      <c r="L59" s="3"/>
      <c r="M59" s="3"/>
      <c r="N59" s="3"/>
    </row>
    <row r="60" spans="2:17">
      <c r="B60" s="3"/>
      <c r="C60" s="3"/>
      <c r="D60" s="3"/>
      <c r="E60" s="3"/>
      <c r="F60" s="3"/>
      <c r="G60" s="3"/>
      <c r="H60" s="3"/>
      <c r="I60" s="3"/>
      <c r="J60" s="3"/>
      <c r="K60" s="3"/>
      <c r="L60" s="3"/>
      <c r="M60" s="3"/>
      <c r="N60" s="3"/>
    </row>
    <row r="61" spans="2:17" s="3" customFormat="1"/>
    <row r="62" spans="2:17" s="3" customFormat="1"/>
    <row r="63" spans="2:17" s="3" customFormat="1"/>
    <row r="64" spans="2:17" s="3" customFormat="1"/>
    <row r="65" spans="3:14" s="3" customFormat="1"/>
    <row r="66" spans="3:14" s="3" customFormat="1"/>
    <row r="67" spans="3:14" s="3" customFormat="1"/>
    <row r="68" spans="3:14" s="3" customFormat="1"/>
    <row r="69" spans="3:14" s="3" customFormat="1"/>
    <row r="70" spans="3:14" s="3" customFormat="1"/>
    <row r="71" spans="3:14" s="3" customFormat="1"/>
    <row r="72" spans="3:14" s="3" customFormat="1"/>
    <row r="73" spans="3:14" s="3" customFormat="1"/>
    <row r="74" spans="3:14" s="3" customFormat="1"/>
    <row r="75" spans="3:14">
      <c r="C75" s="3"/>
      <c r="D75" s="3"/>
      <c r="E75" s="3"/>
      <c r="F75" s="3"/>
      <c r="G75" s="3"/>
      <c r="H75" s="3"/>
      <c r="I75" s="3"/>
      <c r="J75" s="3"/>
      <c r="K75" s="3"/>
      <c r="L75" s="3"/>
      <c r="M75" s="3"/>
      <c r="N75" s="3"/>
    </row>
    <row r="76" spans="3:14">
      <c r="C76" s="3"/>
      <c r="D76" s="3"/>
      <c r="E76" s="3"/>
      <c r="F76" s="3"/>
      <c r="G76" s="3"/>
      <c r="H76" s="3"/>
      <c r="I76" s="3"/>
      <c r="J76" s="3"/>
      <c r="K76" s="3"/>
      <c r="L76" s="3"/>
      <c r="M76" s="3"/>
      <c r="N76" s="3"/>
    </row>
    <row r="77" spans="3:14">
      <c r="C77" s="3"/>
      <c r="D77" s="3"/>
      <c r="E77" s="3"/>
      <c r="F77" s="3"/>
      <c r="G77" s="3"/>
      <c r="H77" s="3"/>
      <c r="I77" s="3"/>
      <c r="J77" s="3"/>
      <c r="K77" s="3"/>
      <c r="L77" s="3"/>
      <c r="M77" s="3"/>
      <c r="N77" s="3"/>
    </row>
    <row r="78" spans="3:14">
      <c r="C78" s="3"/>
      <c r="D78" s="3"/>
      <c r="E78" s="3"/>
      <c r="F78" s="3"/>
      <c r="G78" s="3"/>
      <c r="H78" s="3"/>
      <c r="I78" s="3"/>
      <c r="J78" s="3"/>
      <c r="K78" s="3"/>
      <c r="L78" s="3"/>
      <c r="M78" s="3"/>
      <c r="N78" s="3"/>
    </row>
    <row r="79" spans="3:14">
      <c r="C79" s="3"/>
      <c r="D79" s="3"/>
      <c r="E79" s="3"/>
      <c r="F79" s="3"/>
      <c r="G79" s="3"/>
      <c r="H79" s="3"/>
      <c r="I79" s="3"/>
      <c r="J79" s="3"/>
      <c r="K79" s="3"/>
      <c r="L79" s="3"/>
      <c r="M79" s="3"/>
      <c r="N79" s="3"/>
    </row>
    <row r="80" spans="3:14">
      <c r="C80" s="3"/>
      <c r="D80" s="3"/>
      <c r="E80" s="3"/>
      <c r="F80" s="3"/>
      <c r="G80" s="3"/>
      <c r="H80" s="3"/>
      <c r="I80" s="3"/>
      <c r="J80" s="3"/>
      <c r="K80" s="3"/>
      <c r="L80" s="3"/>
      <c r="M80" s="3"/>
      <c r="N80" s="3"/>
    </row>
    <row r="81" spans="3:14">
      <c r="C81" s="3"/>
      <c r="D81" s="3"/>
      <c r="E81" s="3"/>
      <c r="F81" s="3"/>
      <c r="G81" s="3"/>
      <c r="H81" s="3"/>
      <c r="I81" s="3"/>
      <c r="J81" s="3"/>
      <c r="K81" s="3"/>
      <c r="L81" s="3"/>
      <c r="M81" s="3"/>
      <c r="N81" s="3"/>
    </row>
    <row r="82" spans="3:14">
      <c r="C82" s="3"/>
      <c r="D82" s="3"/>
      <c r="E82" s="3"/>
      <c r="F82" s="3"/>
      <c r="G82" s="3"/>
      <c r="H82" s="3"/>
      <c r="I82" s="3"/>
      <c r="J82" s="3"/>
      <c r="K82" s="3"/>
      <c r="L82" s="3"/>
      <c r="M82" s="3"/>
      <c r="N82" s="3"/>
    </row>
    <row r="83" spans="3:14">
      <c r="C83" s="3"/>
      <c r="D83" s="3"/>
      <c r="E83" s="3"/>
      <c r="F83" s="3"/>
      <c r="G83" s="3"/>
      <c r="H83" s="3"/>
      <c r="I83" s="3"/>
      <c r="J83" s="3"/>
      <c r="K83" s="3"/>
      <c r="L83" s="3"/>
      <c r="M83" s="3"/>
      <c r="N83" s="3"/>
    </row>
    <row r="84" spans="3:14">
      <c r="C84" s="3"/>
      <c r="D84" s="3"/>
      <c r="E84" s="3"/>
      <c r="F84" s="3"/>
      <c r="G84" s="3"/>
      <c r="H84" s="3"/>
      <c r="I84" s="3"/>
      <c r="J84" s="3"/>
      <c r="K84" s="3"/>
      <c r="L84" s="3"/>
      <c r="M84" s="3"/>
      <c r="N84" s="3"/>
    </row>
  </sheetData>
  <phoneticPr fontId="0" type="noConversion"/>
  <hyperlinks>
    <hyperlink ref="O4" location="INDICE!A1" display="VOLVER A INDICE"/>
  </hyperlinks>
  <pageMargins left="0.75" right="0.75" top="1" bottom="1" header="0" footer="0"/>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6"/>
  <sheetViews>
    <sheetView workbookViewId="0">
      <selection activeCell="J26" sqref="J26"/>
    </sheetView>
  </sheetViews>
  <sheetFormatPr baseColWidth="10" defaultRowHeight="12.75" outlineLevelRow="1"/>
  <cols>
    <col min="1" max="1" width="1.42578125" style="260" customWidth="1"/>
    <col min="2" max="2" width="28.28515625" style="260" customWidth="1"/>
    <col min="3" max="7" width="11.42578125" style="260"/>
    <col min="8" max="14" width="11.42578125" style="3"/>
    <col min="15" max="16384" width="11.42578125" style="260"/>
  </cols>
  <sheetData>
    <row r="1" spans="1:21" ht="6.75" customHeight="1" thickBot="1">
      <c r="A1" s="459"/>
      <c r="B1" s="459"/>
      <c r="C1" s="459"/>
      <c r="D1" s="459"/>
      <c r="E1" s="459"/>
      <c r="F1" s="459"/>
      <c r="G1" s="459"/>
      <c r="H1" s="62"/>
    </row>
    <row r="2" spans="1:21" ht="15.75" customHeight="1" thickBot="1">
      <c r="A2" s="459"/>
      <c r="B2" s="1039"/>
      <c r="C2" s="1040"/>
      <c r="D2" s="1040"/>
      <c r="E2" s="1040"/>
      <c r="F2" s="1040"/>
      <c r="G2" s="1041"/>
      <c r="H2" s="1042"/>
      <c r="I2" s="18"/>
      <c r="J2" s="18"/>
    </row>
    <row r="3" spans="1:21" ht="15.75">
      <c r="A3" s="459"/>
      <c r="B3" s="1043"/>
      <c r="C3" s="1044"/>
      <c r="D3" s="562" t="s">
        <v>511</v>
      </c>
      <c r="E3" s="1045"/>
      <c r="F3" s="1046"/>
      <c r="G3" s="1047"/>
      <c r="H3" s="527" t="s">
        <v>606</v>
      </c>
      <c r="I3" s="18"/>
      <c r="J3" s="18"/>
    </row>
    <row r="4" spans="1:21" ht="15.75">
      <c r="A4" s="459"/>
      <c r="B4" s="1048"/>
      <c r="C4" s="1049"/>
      <c r="D4" s="1050" t="s">
        <v>774</v>
      </c>
      <c r="E4" s="1049"/>
      <c r="F4" s="1051"/>
      <c r="G4" s="1052"/>
      <c r="H4" s="1053"/>
      <c r="I4" s="18"/>
      <c r="J4" s="18"/>
    </row>
    <row r="5" spans="1:21" ht="15.75">
      <c r="A5" s="459"/>
      <c r="B5" s="1048"/>
      <c r="C5" s="1054" t="s">
        <v>512</v>
      </c>
      <c r="D5" s="1049"/>
      <c r="E5" s="1049"/>
      <c r="F5" s="1051"/>
      <c r="G5" s="1052"/>
      <c r="H5" s="1055"/>
      <c r="I5" s="18"/>
      <c r="J5" s="18"/>
    </row>
    <row r="6" spans="1:21" ht="15.75">
      <c r="A6" s="459"/>
      <c r="B6" s="1048"/>
      <c r="C6" s="1050" t="s">
        <v>127</v>
      </c>
      <c r="D6" s="1049"/>
      <c r="E6" s="1049"/>
      <c r="F6" s="1051"/>
      <c r="G6" s="1052"/>
      <c r="H6" s="1042"/>
      <c r="I6" s="18"/>
      <c r="J6" s="18"/>
    </row>
    <row r="7" spans="1:21" ht="15.75">
      <c r="A7" s="459"/>
      <c r="B7" s="1048"/>
      <c r="C7" s="1054" t="s">
        <v>741</v>
      </c>
      <c r="D7" s="1049"/>
      <c r="E7" s="1049"/>
      <c r="F7" s="1051"/>
      <c r="G7" s="1052"/>
      <c r="H7" s="1056"/>
      <c r="I7" s="18"/>
      <c r="J7" s="18"/>
    </row>
    <row r="8" spans="1:21" ht="15.75">
      <c r="A8" s="459"/>
      <c r="B8" s="1048"/>
      <c r="C8" s="1049"/>
      <c r="D8" s="1049"/>
      <c r="E8" s="1049"/>
      <c r="F8" s="1051"/>
      <c r="G8" s="1052"/>
      <c r="H8" s="1056"/>
      <c r="I8" s="18"/>
      <c r="J8" s="18"/>
    </row>
    <row r="9" spans="1:21" ht="16.5" thickBot="1">
      <c r="A9" s="459"/>
      <c r="B9" s="1057" t="s">
        <v>20</v>
      </c>
      <c r="C9" s="1058" t="s">
        <v>128</v>
      </c>
      <c r="D9" s="1058" t="s">
        <v>129</v>
      </c>
      <c r="E9" s="1058" t="s">
        <v>130</v>
      </c>
      <c r="F9" s="1059" t="s">
        <v>28</v>
      </c>
      <c r="G9" s="1060"/>
      <c r="H9" s="1042"/>
      <c r="I9" s="18"/>
      <c r="J9" s="18"/>
    </row>
    <row r="10" spans="1:21" ht="16.5" customHeight="1">
      <c r="A10" s="459"/>
      <c r="B10" s="1021" t="s">
        <v>101</v>
      </c>
      <c r="C10" s="1061">
        <f>SUM(C11:C15)</f>
        <v>3170.9367246973748</v>
      </c>
      <c r="D10" s="1061">
        <f>SUM(D11:D15)</f>
        <v>242.54849998932087</v>
      </c>
      <c r="E10" s="1061">
        <f>SUM(E11:E15)</f>
        <v>10230.803915824434</v>
      </c>
      <c r="F10" s="1061">
        <f>SUM(F11:F15)</f>
        <v>13644.28914051113</v>
      </c>
      <c r="G10" s="1062"/>
      <c r="H10" s="1042"/>
      <c r="I10" s="18"/>
      <c r="J10" s="18"/>
      <c r="O10" s="3"/>
      <c r="P10" s="3"/>
      <c r="Q10" s="3"/>
      <c r="R10" s="3"/>
      <c r="S10" s="3"/>
      <c r="T10" s="3"/>
      <c r="U10" s="3"/>
    </row>
    <row r="11" spans="1:21" ht="16.5" customHeight="1" outlineLevel="1">
      <c r="A11" s="459"/>
      <c r="B11" s="1063" t="s">
        <v>131</v>
      </c>
      <c r="C11" s="1064">
        <f>CONS_TERAC!D29</f>
        <v>432.87600377700005</v>
      </c>
      <c r="D11" s="1064">
        <f>CONS_TERAC!D30</f>
        <v>48.111432631499994</v>
      </c>
      <c r="E11" s="1064">
        <f>CONS_TERAC!D31</f>
        <v>0</v>
      </c>
      <c r="F11" s="1064">
        <f t="shared" ref="F11:F20" si="0">SUM(C11:E11)</f>
        <v>480.98743640850006</v>
      </c>
      <c r="G11" s="1065"/>
      <c r="H11" s="1066"/>
      <c r="I11" s="19"/>
      <c r="J11" s="18"/>
      <c r="O11" s="3"/>
      <c r="P11" s="3"/>
      <c r="Q11" s="3"/>
      <c r="R11" s="3"/>
      <c r="S11" s="3"/>
      <c r="T11" s="3"/>
      <c r="U11" s="3"/>
    </row>
    <row r="12" spans="1:21" ht="16.5" customHeight="1" outlineLevel="1">
      <c r="A12" s="459"/>
      <c r="B12" s="1063" t="s">
        <v>132</v>
      </c>
      <c r="C12" s="1064">
        <f>CONS_TERAC!C29</f>
        <v>1341.28017830248</v>
      </c>
      <c r="D12" s="1064">
        <f>CONS_TERAC!C30</f>
        <v>79.34589600000001</v>
      </c>
      <c r="E12" s="1064">
        <f>CONS_TERAC!C31</f>
        <v>63.550250815999995</v>
      </c>
      <c r="F12" s="1064">
        <f t="shared" si="0"/>
        <v>1484.17632511848</v>
      </c>
      <c r="G12" s="1065"/>
      <c r="H12" s="1066"/>
      <c r="I12" s="19"/>
      <c r="J12" s="18"/>
      <c r="O12" s="3"/>
      <c r="P12" s="3"/>
      <c r="Q12" s="3"/>
      <c r="R12" s="3"/>
      <c r="S12" s="3"/>
      <c r="T12" s="3"/>
      <c r="U12" s="3"/>
    </row>
    <row r="13" spans="1:21" ht="16.5" customHeight="1" outlineLevel="1">
      <c r="A13" s="459"/>
      <c r="B13" s="1063" t="s">
        <v>73</v>
      </c>
      <c r="C13" s="1064">
        <f>CONS_TERAC!F29</f>
        <v>10.009680299999999</v>
      </c>
      <c r="D13" s="1064">
        <f>CONS_TERAC!F30</f>
        <v>21.028959990000001</v>
      </c>
      <c r="E13" s="1064">
        <f>CONS_TERAC!F31</f>
        <v>840.85369461000005</v>
      </c>
      <c r="F13" s="1064">
        <f t="shared" si="0"/>
        <v>871.89233490000004</v>
      </c>
      <c r="G13" s="1065"/>
      <c r="H13" s="1066"/>
      <c r="I13" s="19"/>
      <c r="J13" s="18"/>
      <c r="O13" s="3"/>
      <c r="P13" s="3"/>
      <c r="Q13" s="3"/>
      <c r="R13" s="3"/>
      <c r="S13" s="3"/>
      <c r="T13" s="3"/>
      <c r="U13" s="3"/>
    </row>
    <row r="14" spans="1:21" ht="16.5" customHeight="1" outlineLevel="1">
      <c r="A14" s="459"/>
      <c r="B14" s="1063" t="s">
        <v>74</v>
      </c>
      <c r="C14" s="1064">
        <f>CONS_TERAC!G29</f>
        <v>1386.7708623178949</v>
      </c>
      <c r="D14" s="1064">
        <f>CONS_TERAC!G30</f>
        <v>94.062211367820865</v>
      </c>
      <c r="E14" s="1064">
        <f>CONS_TERAC!G31</f>
        <v>9326.3999703984337</v>
      </c>
      <c r="F14" s="1064">
        <f t="shared" si="0"/>
        <v>10807.233044084149</v>
      </c>
      <c r="G14" s="1065"/>
      <c r="H14" s="1066"/>
      <c r="I14" s="19"/>
      <c r="J14" s="18"/>
      <c r="O14" s="3"/>
      <c r="P14" s="3"/>
      <c r="Q14" s="3"/>
      <c r="R14" s="3"/>
      <c r="S14" s="3"/>
      <c r="T14" s="3"/>
      <c r="U14" s="3"/>
    </row>
    <row r="15" spans="1:21" ht="16.5" customHeight="1" outlineLevel="1">
      <c r="A15" s="459"/>
      <c r="B15" s="1027" t="s">
        <v>77</v>
      </c>
      <c r="C15" s="1064">
        <f>CONS_TERAC!J29</f>
        <v>0</v>
      </c>
      <c r="D15" s="1064">
        <f>CONS_TERAC!J30</f>
        <v>0</v>
      </c>
      <c r="E15" s="1064">
        <f>CONS_TERAC!J31</f>
        <v>0</v>
      </c>
      <c r="F15" s="1064">
        <f t="shared" si="0"/>
        <v>0</v>
      </c>
      <c r="G15" s="1065"/>
      <c r="H15" s="1066"/>
      <c r="I15" s="19"/>
      <c r="J15" s="18"/>
      <c r="O15" s="3"/>
      <c r="P15" s="3"/>
      <c r="Q15" s="3"/>
      <c r="R15" s="3"/>
      <c r="S15" s="3"/>
      <c r="T15" s="3"/>
      <c r="U15" s="3"/>
    </row>
    <row r="16" spans="1:21" ht="16.5" customHeight="1">
      <c r="A16" s="459"/>
      <c r="B16" s="1067" t="s">
        <v>35</v>
      </c>
      <c r="C16" s="1061">
        <f>CONS_TERAC!M29</f>
        <v>5492.2462279277652</v>
      </c>
      <c r="D16" s="1061">
        <f>CONS_TERAC!M30</f>
        <v>1352.3294850723896</v>
      </c>
      <c r="E16" s="1061">
        <f>CONS_TERAC!M31</f>
        <v>7655.2530852188429</v>
      </c>
      <c r="F16" s="1061">
        <f t="shared" si="0"/>
        <v>14499.828798218998</v>
      </c>
      <c r="G16" s="1065"/>
      <c r="H16" s="1066"/>
      <c r="I16" s="19"/>
      <c r="J16" s="18"/>
      <c r="O16" s="3"/>
      <c r="P16" s="3"/>
      <c r="Q16" s="3"/>
      <c r="R16" s="3"/>
      <c r="S16" s="3"/>
      <c r="T16" s="3"/>
      <c r="U16" s="3"/>
    </row>
    <row r="17" spans="1:21" ht="16.5" customHeight="1">
      <c r="A17" s="459"/>
      <c r="B17" s="1067" t="s">
        <v>133</v>
      </c>
      <c r="C17" s="1061">
        <f>CONS_TERAC!N29</f>
        <v>0</v>
      </c>
      <c r="D17" s="1061">
        <f>CONS_TERAC!N30</f>
        <v>27.349600000000002</v>
      </c>
      <c r="E17" s="1061">
        <f>CONS_TERAC!N31</f>
        <v>0.10199999999999999</v>
      </c>
      <c r="F17" s="1061">
        <f t="shared" si="0"/>
        <v>27.451600000000003</v>
      </c>
      <c r="G17" s="1065"/>
      <c r="H17" s="1066"/>
      <c r="I17" s="19"/>
      <c r="J17" s="18"/>
      <c r="O17" s="3"/>
      <c r="P17" s="3"/>
      <c r="Q17" s="3"/>
      <c r="R17" s="3"/>
      <c r="S17" s="3"/>
      <c r="T17" s="3"/>
      <c r="U17" s="3"/>
    </row>
    <row r="18" spans="1:21" ht="16.5" customHeight="1">
      <c r="A18" s="459"/>
      <c r="B18" s="1067" t="s">
        <v>37</v>
      </c>
      <c r="C18" s="1061">
        <f>CONS_TERAC!Q29</f>
        <v>101.7862442775387</v>
      </c>
      <c r="D18" s="1061">
        <f>CONS_TERAC!Q30</f>
        <v>19.560615695999999</v>
      </c>
      <c r="E18" s="1061">
        <f>CONS_TERAC!Q31</f>
        <v>112.81457026000778</v>
      </c>
      <c r="F18" s="1061">
        <f t="shared" si="0"/>
        <v>234.16143023354647</v>
      </c>
      <c r="G18" s="1065"/>
      <c r="H18" s="1066"/>
      <c r="I18" s="19"/>
      <c r="J18" s="18"/>
      <c r="O18" s="3"/>
      <c r="P18" s="3"/>
      <c r="Q18" s="3"/>
      <c r="R18" s="3"/>
      <c r="S18" s="3"/>
      <c r="T18" s="3"/>
      <c r="U18" s="3"/>
    </row>
    <row r="19" spans="1:21" ht="16.5" customHeight="1">
      <c r="A19" s="459"/>
      <c r="B19" s="1067" t="s">
        <v>125</v>
      </c>
      <c r="C19" s="1061">
        <f>CONS_TERAC!S29</f>
        <v>1275.5822714151934</v>
      </c>
      <c r="D19" s="1061">
        <f>CONS_TERAC!S30</f>
        <v>187.50339734000002</v>
      </c>
      <c r="E19" s="1061">
        <f>CONS_TERAC!S31</f>
        <v>4099.2278082294442</v>
      </c>
      <c r="F19" s="1061">
        <f t="shared" si="0"/>
        <v>5562.3134769846374</v>
      </c>
      <c r="G19" s="1065"/>
      <c r="H19" s="1066"/>
      <c r="I19" s="19"/>
      <c r="J19" s="18"/>
      <c r="O19" s="3"/>
      <c r="P19" s="3"/>
      <c r="Q19" s="3"/>
      <c r="R19" s="3"/>
      <c r="S19" s="3"/>
      <c r="T19" s="3"/>
      <c r="U19" s="3"/>
    </row>
    <row r="20" spans="1:21" ht="16.5" customHeight="1">
      <c r="A20" s="459"/>
      <c r="B20" s="1067" t="s">
        <v>26</v>
      </c>
      <c r="C20" s="1061">
        <f>CONS_TERAC!V29</f>
        <v>0</v>
      </c>
      <c r="D20" s="1061">
        <f>CONS_TERAC!V30</f>
        <v>0</v>
      </c>
      <c r="E20" s="1061">
        <f>CONS_TERAC!V31</f>
        <v>29652.742708307094</v>
      </c>
      <c r="F20" s="1061">
        <f t="shared" si="0"/>
        <v>29652.742708307094</v>
      </c>
      <c r="G20" s="1065"/>
      <c r="H20" s="1066"/>
      <c r="I20" s="19"/>
      <c r="J20" s="18"/>
      <c r="O20" s="3"/>
      <c r="P20" s="3"/>
      <c r="Q20" s="3"/>
      <c r="R20" s="3"/>
      <c r="S20" s="3"/>
      <c r="T20" s="3"/>
      <c r="U20" s="3"/>
    </row>
    <row r="21" spans="1:21">
      <c r="A21" s="459"/>
      <c r="B21" s="1068" t="s">
        <v>28</v>
      </c>
      <c r="C21" s="1069">
        <f>SUM(C16:C20)+C10</f>
        <v>10040.551468317872</v>
      </c>
      <c r="D21" s="1069">
        <f>SUM(D16:D20)+D10</f>
        <v>1829.2915980977104</v>
      </c>
      <c r="E21" s="1069">
        <f>SUM(E16:E20)+E10</f>
        <v>51750.944087839824</v>
      </c>
      <c r="F21" s="1069">
        <f>SUM(F16:F20)+F10</f>
        <v>63620.787154255406</v>
      </c>
      <c r="G21" s="1070"/>
      <c r="H21" s="1066"/>
      <c r="I21" s="19"/>
      <c r="J21" s="18"/>
      <c r="O21" s="3"/>
      <c r="P21" s="3"/>
      <c r="Q21" s="3"/>
      <c r="R21" s="3"/>
      <c r="S21" s="3"/>
      <c r="T21" s="3"/>
      <c r="U21" s="3"/>
    </row>
    <row r="22" spans="1:21" ht="13.5" thickBot="1">
      <c r="A22" s="459"/>
      <c r="B22" s="1071"/>
      <c r="C22" s="1072"/>
      <c r="D22" s="1072"/>
      <c r="E22" s="1072"/>
      <c r="F22" s="1072"/>
      <c r="G22" s="1073"/>
      <c r="H22" s="1074"/>
      <c r="I22" s="18"/>
      <c r="J22" s="18"/>
      <c r="O22" s="3"/>
      <c r="P22" s="3"/>
      <c r="Q22" s="3"/>
      <c r="R22" s="3"/>
      <c r="S22" s="3"/>
      <c r="T22" s="3"/>
      <c r="U22" s="3"/>
    </row>
    <row r="23" spans="1:21" s="3" customFormat="1">
      <c r="A23" s="62"/>
      <c r="B23" s="584" t="s">
        <v>126</v>
      </c>
      <c r="C23" s="585"/>
      <c r="D23" s="585"/>
      <c r="E23" s="585"/>
      <c r="F23" s="585"/>
      <c r="G23" s="585"/>
      <c r="H23" s="585"/>
      <c r="I23" s="10"/>
      <c r="J23" s="9"/>
    </row>
    <row r="24" spans="1:21">
      <c r="A24" s="459"/>
      <c r="B24" s="479" t="s">
        <v>59</v>
      </c>
      <c r="C24" s="487"/>
      <c r="D24" s="488"/>
      <c r="E24" s="488"/>
      <c r="F24" s="488"/>
      <c r="G24" s="452"/>
      <c r="H24" s="455"/>
      <c r="I24" s="6"/>
      <c r="J24" s="6"/>
    </row>
    <row r="25" spans="1:21">
      <c r="A25" s="459"/>
      <c r="B25" s="479" t="s">
        <v>60</v>
      </c>
      <c r="C25" s="455"/>
      <c r="D25" s="455"/>
      <c r="E25" s="455"/>
      <c r="F25" s="455"/>
      <c r="G25" s="455"/>
      <c r="H25" s="455"/>
      <c r="I25" s="6"/>
      <c r="J25" s="6"/>
    </row>
    <row r="26" spans="1:21">
      <c r="A26" s="459"/>
      <c r="B26" s="455" t="s">
        <v>795</v>
      </c>
      <c r="C26" s="455"/>
      <c r="D26" s="455"/>
      <c r="E26" s="455"/>
      <c r="F26" s="455"/>
      <c r="G26" s="455"/>
      <c r="H26" s="455"/>
      <c r="I26" s="6"/>
      <c r="J26" s="6"/>
    </row>
    <row r="27" spans="1:21">
      <c r="A27" s="459"/>
      <c r="B27" s="455" t="s">
        <v>773</v>
      </c>
      <c r="C27" s="455"/>
      <c r="D27" s="455"/>
      <c r="E27" s="455"/>
      <c r="F27" s="455"/>
      <c r="G27" s="455"/>
      <c r="H27" s="455"/>
      <c r="I27" s="6"/>
      <c r="J27" s="6"/>
    </row>
    <row r="28" spans="1:21">
      <c r="A28" s="459"/>
      <c r="B28" s="1042"/>
      <c r="C28" s="1042"/>
      <c r="D28" s="1042"/>
      <c r="E28" s="1042"/>
      <c r="F28" s="1042"/>
      <c r="G28" s="1042"/>
      <c r="H28" s="1042"/>
      <c r="I28" s="18"/>
      <c r="J28" s="18"/>
    </row>
    <row r="29" spans="1:21">
      <c r="A29" s="459"/>
      <c r="B29" s="1042"/>
      <c r="C29" s="1042"/>
      <c r="D29" s="1042"/>
      <c r="E29" s="1042"/>
      <c r="F29" s="1042"/>
      <c r="G29" s="1042"/>
      <c r="H29" s="1042"/>
      <c r="I29" s="18"/>
      <c r="J29" s="18"/>
    </row>
    <row r="30" spans="1:21">
      <c r="A30" s="459"/>
      <c r="B30" s="1042"/>
      <c r="C30" s="1042"/>
      <c r="D30" s="1042"/>
      <c r="E30" s="1042"/>
      <c r="F30" s="1042"/>
      <c r="G30" s="1042"/>
      <c r="H30" s="1042"/>
      <c r="I30" s="18"/>
      <c r="J30" s="18"/>
    </row>
    <row r="31" spans="1:21">
      <c r="A31" s="459"/>
      <c r="B31" s="1042"/>
      <c r="C31" s="1042"/>
      <c r="D31" s="1042"/>
      <c r="E31" s="1042"/>
      <c r="F31" s="1042"/>
      <c r="G31" s="1042"/>
      <c r="H31" s="1042"/>
      <c r="I31" s="18"/>
      <c r="J31" s="18"/>
    </row>
    <row r="32" spans="1:21">
      <c r="B32" s="18"/>
      <c r="C32" s="18"/>
      <c r="D32" s="18"/>
      <c r="E32" s="18"/>
      <c r="F32" s="18"/>
      <c r="G32" s="18"/>
      <c r="H32" s="18"/>
      <c r="I32" s="18"/>
      <c r="J32" s="18"/>
    </row>
    <row r="33" spans="2:10">
      <c r="B33" s="18"/>
      <c r="C33" s="18"/>
      <c r="D33" s="18"/>
      <c r="E33" s="18"/>
      <c r="F33" s="18"/>
      <c r="G33" s="18"/>
      <c r="H33" s="18"/>
      <c r="I33" s="18"/>
      <c r="J33" s="18"/>
    </row>
    <row r="34" spans="2:10">
      <c r="B34" s="3"/>
      <c r="C34" s="3"/>
      <c r="D34" s="3"/>
      <c r="E34" s="3"/>
      <c r="F34" s="3"/>
      <c r="G34" s="3"/>
    </row>
    <row r="35" spans="2:10">
      <c r="B35" s="3"/>
      <c r="C35" s="3"/>
      <c r="D35" s="3"/>
      <c r="E35" s="3"/>
      <c r="F35" s="3"/>
      <c r="G35" s="3"/>
    </row>
    <row r="36" spans="2:10">
      <c r="B36" s="3"/>
      <c r="C36" s="3"/>
      <c r="D36" s="3"/>
      <c r="E36" s="3"/>
      <c r="F36" s="3"/>
      <c r="G36" s="3"/>
    </row>
    <row r="37" spans="2:10" s="3" customFormat="1"/>
    <row r="38" spans="2:10" s="3" customFormat="1"/>
    <row r="39" spans="2:10" s="3" customFormat="1"/>
    <row r="40" spans="2:10" s="3" customFormat="1"/>
    <row r="41" spans="2:10" s="3" customFormat="1"/>
    <row r="42" spans="2:10" s="3" customFormat="1"/>
    <row r="43" spans="2:10" s="3" customFormat="1"/>
    <row r="44" spans="2:10" s="3" customFormat="1"/>
    <row r="45" spans="2:10" s="3" customFormat="1"/>
    <row r="46" spans="2:10" s="3" customFormat="1"/>
    <row r="47" spans="2:10" s="3" customFormat="1"/>
    <row r="48" spans="2:10" s="3" customFormat="1"/>
    <row r="49" s="3" customFormat="1"/>
    <row r="50" s="3" customFormat="1"/>
    <row r="51" s="3" customFormat="1"/>
    <row r="52" s="3" customFormat="1"/>
    <row r="53" s="3" customFormat="1"/>
    <row r="54" s="3" customFormat="1"/>
    <row r="55" s="3" customFormat="1"/>
    <row r="56" s="3" customFormat="1"/>
    <row r="57" s="3" customFormat="1"/>
    <row r="58" s="3" customFormat="1"/>
    <row r="59" s="3" customFormat="1"/>
    <row r="60" s="3" customFormat="1"/>
    <row r="61" s="3" customFormat="1"/>
    <row r="62" s="3" customFormat="1"/>
    <row r="63" s="3" customFormat="1"/>
    <row r="64" s="3" customFormat="1"/>
    <row r="65" s="3" customFormat="1"/>
    <row r="66" s="3" customFormat="1"/>
    <row r="67" s="3" customFormat="1"/>
    <row r="68" s="3" customFormat="1"/>
    <row r="69" s="3" customFormat="1"/>
    <row r="70" s="3" customFormat="1"/>
    <row r="71" s="3" customFormat="1"/>
    <row r="72" s="3" customFormat="1"/>
    <row r="73" s="3" customFormat="1"/>
    <row r="74" s="3" customFormat="1"/>
    <row r="75" s="3" customFormat="1"/>
    <row r="76" s="3" customFormat="1"/>
  </sheetData>
  <phoneticPr fontId="0" type="noConversion"/>
  <hyperlinks>
    <hyperlink ref="H3" location="INDICE!A1" display="VOLVER A INDICE"/>
  </hyperlinks>
  <pageMargins left="0.75" right="0.75" top="1" bottom="1" header="0" footer="0"/>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7"/>
  <sheetViews>
    <sheetView showGridLines="0" zoomScale="85" workbookViewId="0">
      <selection activeCell="L38" sqref="L38"/>
    </sheetView>
  </sheetViews>
  <sheetFormatPr baseColWidth="10" defaultRowHeight="12.75" outlineLevelRow="1"/>
  <cols>
    <col min="1" max="1" width="2.28515625" customWidth="1"/>
    <col min="2" max="2" width="32" customWidth="1"/>
    <col min="3" max="3" width="15.28515625" customWidth="1"/>
    <col min="4" max="4" width="13.28515625" customWidth="1"/>
  </cols>
  <sheetData>
    <row r="1" spans="1:9" ht="9.75" customHeight="1" thickBot="1">
      <c r="A1" s="770"/>
      <c r="B1" s="770"/>
      <c r="C1" s="770"/>
      <c r="D1" s="770"/>
      <c r="E1" s="770"/>
      <c r="F1" s="770"/>
      <c r="G1" s="770"/>
      <c r="H1" s="770"/>
      <c r="I1" s="770"/>
    </row>
    <row r="2" spans="1:9" ht="13.5" thickBot="1">
      <c r="A2" s="770"/>
      <c r="B2" s="524"/>
      <c r="C2" s="525"/>
      <c r="D2" s="525"/>
      <c r="E2" s="525"/>
      <c r="F2" s="525"/>
      <c r="G2" s="525"/>
      <c r="H2" s="526"/>
      <c r="I2" s="770"/>
    </row>
    <row r="3" spans="1:9" ht="15">
      <c r="A3" s="770"/>
      <c r="B3" s="1076"/>
      <c r="C3" s="20"/>
      <c r="D3" s="686" t="s">
        <v>506</v>
      </c>
      <c r="E3" s="21"/>
      <c r="F3" s="1077"/>
      <c r="G3" s="1077"/>
      <c r="H3" s="1078"/>
      <c r="I3" s="527" t="s">
        <v>606</v>
      </c>
    </row>
    <row r="4" spans="1:9" ht="15">
      <c r="A4" s="770"/>
      <c r="B4" s="1079"/>
      <c r="C4" s="22"/>
      <c r="D4" s="23" t="s">
        <v>507</v>
      </c>
      <c r="E4" s="22"/>
      <c r="F4" s="1080"/>
      <c r="G4" s="1080"/>
      <c r="H4" s="1081"/>
      <c r="I4" s="770"/>
    </row>
    <row r="5" spans="1:9" ht="15">
      <c r="A5" s="770"/>
      <c r="B5" s="1079"/>
      <c r="C5" s="22"/>
      <c r="D5" s="24" t="s">
        <v>779</v>
      </c>
      <c r="E5" s="22"/>
      <c r="F5" s="1080"/>
      <c r="G5" s="1080"/>
      <c r="H5" s="1081"/>
      <c r="I5" s="770"/>
    </row>
    <row r="6" spans="1:9" ht="15">
      <c r="A6" s="770"/>
      <c r="B6" s="1079"/>
      <c r="C6" s="24" t="s">
        <v>656</v>
      </c>
      <c r="D6" s="22"/>
      <c r="E6" s="22"/>
      <c r="F6" s="1080"/>
      <c r="G6" s="1080"/>
      <c r="H6" s="1081"/>
      <c r="I6" s="770"/>
    </row>
    <row r="7" spans="1:9" ht="15">
      <c r="A7" s="770"/>
      <c r="B7" s="1079"/>
      <c r="C7" s="845" t="s">
        <v>680</v>
      </c>
      <c r="D7" s="845" t="s">
        <v>681</v>
      </c>
      <c r="E7" s="845" t="s">
        <v>134</v>
      </c>
      <c r="F7" s="845" t="s">
        <v>135</v>
      </c>
      <c r="G7" s="845" t="s">
        <v>23</v>
      </c>
      <c r="H7" s="846" t="s">
        <v>28</v>
      </c>
      <c r="I7" s="770"/>
    </row>
    <row r="8" spans="1:9" ht="15.75" thickBot="1">
      <c r="A8" s="770"/>
      <c r="B8" s="1082" t="s">
        <v>20</v>
      </c>
      <c r="C8" s="848"/>
      <c r="D8" s="848"/>
      <c r="E8" s="848" t="s">
        <v>23</v>
      </c>
      <c r="F8" s="848" t="s">
        <v>682</v>
      </c>
      <c r="G8" s="848" t="s">
        <v>683</v>
      </c>
      <c r="H8" s="849"/>
      <c r="I8" s="770"/>
    </row>
    <row r="9" spans="1:9" ht="17.25" customHeight="1">
      <c r="A9" s="770"/>
      <c r="B9" s="1021" t="s">
        <v>101</v>
      </c>
      <c r="C9" s="624">
        <f t="shared" ref="C9:H9" si="0">SUM(C10:C16)</f>
        <v>0</v>
      </c>
      <c r="D9" s="624">
        <f t="shared" si="0"/>
        <v>433.931751560397</v>
      </c>
      <c r="E9" s="624">
        <f t="shared" si="0"/>
        <v>6241.6187002300003</v>
      </c>
      <c r="F9" s="624">
        <f t="shared" si="0"/>
        <v>0.99152155199999992</v>
      </c>
      <c r="G9" s="624">
        <f t="shared" si="0"/>
        <v>0</v>
      </c>
      <c r="H9" s="625">
        <f t="shared" si="0"/>
        <v>6676.5419733423969</v>
      </c>
      <c r="I9" s="770"/>
    </row>
    <row r="10" spans="1:9" ht="17.25" customHeight="1" outlineLevel="1">
      <c r="A10" s="770"/>
      <c r="B10" s="408" t="s">
        <v>71</v>
      </c>
      <c r="C10" s="626">
        <f>CONS_TERAC!D36+CONS_TERAC!D37</f>
        <v>0</v>
      </c>
      <c r="D10" s="626">
        <f>CONS_TERAC!D38+CONS_TERAC!D39</f>
        <v>427.61250000000001</v>
      </c>
      <c r="E10" s="626">
        <f>CONS_TERAC!D40</f>
        <v>423.18549000000002</v>
      </c>
      <c r="F10" s="626">
        <f>CONS_TERAC!D41</f>
        <v>0</v>
      </c>
      <c r="G10" s="626">
        <f>CONS_TERAC!D42</f>
        <v>0</v>
      </c>
      <c r="H10" s="627">
        <f t="shared" ref="H10:H23" si="1">SUM(C10:G10)</f>
        <v>850.79799000000003</v>
      </c>
      <c r="I10" s="770"/>
    </row>
    <row r="11" spans="1:9" ht="17.25" customHeight="1" outlineLevel="1">
      <c r="A11" s="770"/>
      <c r="B11" s="408" t="s">
        <v>72</v>
      </c>
      <c r="C11" s="628">
        <f>CONS_TERAC!C36+CONS_TERAC!C37</f>
        <v>0</v>
      </c>
      <c r="D11" s="628">
        <f>CONS_TERAC!C38+CONS_TERAC!C39</f>
        <v>0</v>
      </c>
      <c r="E11" s="628">
        <f>CONS_TERAC!C40</f>
        <v>26.600011200000004</v>
      </c>
      <c r="F11" s="628">
        <f>CONS_TERAC!C41</f>
        <v>0.99152155199999992</v>
      </c>
      <c r="G11" s="628">
        <f>CONS_TERAC!C42</f>
        <v>0</v>
      </c>
      <c r="H11" s="627">
        <f t="shared" si="1"/>
        <v>27.591532752000003</v>
      </c>
      <c r="I11" s="770"/>
    </row>
    <row r="12" spans="1:9" ht="17.25" customHeight="1" outlineLevel="1">
      <c r="A12" s="770"/>
      <c r="B12" s="408" t="s">
        <v>73</v>
      </c>
      <c r="C12" s="628">
        <f>CONS_TERAC!F36+CONS_TERAC!F37</f>
        <v>0</v>
      </c>
      <c r="D12" s="628">
        <f>CONS_TERAC!F38+CONS_TERAC!F39</f>
        <v>0</v>
      </c>
      <c r="E12" s="628">
        <f>CONS_TERAC!F40</f>
        <v>0</v>
      </c>
      <c r="F12" s="628">
        <f>CONS_TERAC!F41</f>
        <v>0</v>
      </c>
      <c r="G12" s="628">
        <f>CONS_TERAC!F42</f>
        <v>0</v>
      </c>
      <c r="H12" s="627">
        <f t="shared" si="1"/>
        <v>0</v>
      </c>
      <c r="I12" s="770"/>
    </row>
    <row r="13" spans="1:9" ht="17.25" customHeight="1" outlineLevel="1">
      <c r="A13" s="770"/>
      <c r="B13" s="408" t="s">
        <v>74</v>
      </c>
      <c r="C13" s="628">
        <f>CONS_TERAC!G36+CONS_TERAC!G37</f>
        <v>0</v>
      </c>
      <c r="D13" s="628">
        <f>CONS_TERAC!G38+CONS_TERAC!G39</f>
        <v>6.3192515603969994</v>
      </c>
      <c r="E13" s="628">
        <f>CONS_TERAC!G40</f>
        <v>1323.3682638</v>
      </c>
      <c r="F13" s="628">
        <f>CONS_TERAC!G41</f>
        <v>0</v>
      </c>
      <c r="G13" s="628">
        <f>CONS_TERAC!G42</f>
        <v>0</v>
      </c>
      <c r="H13" s="627">
        <f t="shared" si="1"/>
        <v>1329.6875153603971</v>
      </c>
      <c r="I13" s="770"/>
    </row>
    <row r="14" spans="1:9" ht="17.25" customHeight="1" outlineLevel="1">
      <c r="A14" s="770"/>
      <c r="B14" s="408" t="s">
        <v>77</v>
      </c>
      <c r="C14" s="628">
        <f>CONS_TERAC!J36+CONS_TERAC!J37</f>
        <v>0</v>
      </c>
      <c r="D14" s="628">
        <f>CONS_TERAC!J38+CONS_TERAC!J39</f>
        <v>0</v>
      </c>
      <c r="E14" s="628">
        <f>CONS_TERAC!J40</f>
        <v>1057.6306625499997</v>
      </c>
      <c r="F14" s="628">
        <f>CONS_TERAC!J41</f>
        <v>0</v>
      </c>
      <c r="G14" s="628">
        <f>CONS_TERAC!J42</f>
        <v>0</v>
      </c>
      <c r="H14" s="627">
        <f t="shared" si="1"/>
        <v>1057.6306625499997</v>
      </c>
      <c r="I14" s="770"/>
    </row>
    <row r="15" spans="1:9" ht="17.25" customHeight="1" outlineLevel="1">
      <c r="A15" s="770"/>
      <c r="B15" s="589" t="s">
        <v>740</v>
      </c>
      <c r="C15" s="628">
        <f>CONS_TERAC!E36+CONS_TERAC!E37</f>
        <v>0</v>
      </c>
      <c r="D15" s="628">
        <f>CONS_TERAC!E38+CONS_TERAC!E39</f>
        <v>0</v>
      </c>
      <c r="E15" s="628">
        <f>CONS_TERAC!E40</f>
        <v>0.34584479999999995</v>
      </c>
      <c r="F15" s="628">
        <f>CONS_TERAC!E41</f>
        <v>0</v>
      </c>
      <c r="G15" s="628">
        <f>CONS_TERAC!E42</f>
        <v>0</v>
      </c>
      <c r="H15" s="627">
        <f t="shared" si="1"/>
        <v>0.34584479999999995</v>
      </c>
      <c r="I15" s="770"/>
    </row>
    <row r="16" spans="1:9" ht="17.25" customHeight="1" outlineLevel="1">
      <c r="A16" s="770"/>
      <c r="B16" s="408" t="s">
        <v>78</v>
      </c>
      <c r="C16" s="628">
        <f>CONS_TERAC!K36+CONS_TERAC!K37</f>
        <v>0</v>
      </c>
      <c r="D16" s="628">
        <f>CONS_TERAC!K38+CONS_TERAC!K39</f>
        <v>0</v>
      </c>
      <c r="E16" s="628">
        <f>CONS_TERAC!K40</f>
        <v>3410.4884278800005</v>
      </c>
      <c r="F16" s="628">
        <f>CONS_TERAC!K41</f>
        <v>0</v>
      </c>
      <c r="G16" s="628">
        <f>CONS_TERAC!K42</f>
        <v>0</v>
      </c>
      <c r="H16" s="627">
        <f t="shared" si="1"/>
        <v>3410.4884278800005</v>
      </c>
      <c r="I16" s="770"/>
    </row>
    <row r="17" spans="1:9" ht="17.25" customHeight="1">
      <c r="A17" s="770"/>
      <c r="B17" s="1083" t="s">
        <v>35</v>
      </c>
      <c r="C17" s="311">
        <f>CONS_TERAC!M36+CONS_TERAC!M37</f>
        <v>1416.3535990858934</v>
      </c>
      <c r="D17" s="311">
        <f>CONS_TERAC!M38+CONS_TERAC!M39</f>
        <v>9.9865926199999997</v>
      </c>
      <c r="E17" s="311">
        <f>CONS_TERAC!M40</f>
        <v>408.66681849999998</v>
      </c>
      <c r="F17" s="311">
        <f>CONS_TERAC!M41</f>
        <v>0.66312793999999997</v>
      </c>
      <c r="G17" s="311">
        <f>CONS_TERAC!M42</f>
        <v>33.23556</v>
      </c>
      <c r="H17" s="629">
        <f t="shared" si="1"/>
        <v>1868.9056981458937</v>
      </c>
      <c r="I17" s="770"/>
    </row>
    <row r="18" spans="1:9" ht="17.25" customHeight="1">
      <c r="A18" s="770"/>
      <c r="B18" s="1083" t="s">
        <v>24</v>
      </c>
      <c r="C18" s="311">
        <f>CONS_TERAC!N36+CONS_TERAC!N37</f>
        <v>0</v>
      </c>
      <c r="D18" s="311">
        <f>CONS_TERAC!N38+CONS_TERAC!N39</f>
        <v>0</v>
      </c>
      <c r="E18" s="311">
        <f>CONS_TERAC!N40</f>
        <v>0</v>
      </c>
      <c r="F18" s="311">
        <f>CONS_TERAC!N41</f>
        <v>0</v>
      </c>
      <c r="G18" s="311">
        <f>CONS_TERAC!N42</f>
        <v>0</v>
      </c>
      <c r="H18" s="629">
        <f t="shared" si="1"/>
        <v>0</v>
      </c>
      <c r="I18" s="770"/>
    </row>
    <row r="19" spans="1:9" ht="17.25" customHeight="1">
      <c r="A19" s="770"/>
      <c r="B19" s="1083" t="s">
        <v>181</v>
      </c>
      <c r="C19" s="311">
        <f>CONS_TERAC!P36+CONS_TERAC!P37</f>
        <v>0</v>
      </c>
      <c r="D19" s="311">
        <f>CONS_TERAC!P38+CONS_TERAC!P39</f>
        <v>163.935</v>
      </c>
      <c r="E19" s="311">
        <f>CONS_TERAC!P40</f>
        <v>0</v>
      </c>
      <c r="F19" s="311">
        <f>CONS_TERAC!P41</f>
        <v>0</v>
      </c>
      <c r="G19" s="311">
        <f>CONS_TERAC!P42</f>
        <v>0</v>
      </c>
      <c r="H19" s="629">
        <f t="shared" si="1"/>
        <v>163.935</v>
      </c>
      <c r="I19" s="770"/>
    </row>
    <row r="20" spans="1:9" ht="17.25" customHeight="1">
      <c r="A20" s="770"/>
      <c r="B20" s="1083" t="s">
        <v>37</v>
      </c>
      <c r="C20" s="311">
        <f>CONS_TERAC!Q36+CONS_TERAC!Q37</f>
        <v>0</v>
      </c>
      <c r="D20" s="311">
        <f>CONS_TERAC!Q38+CONS_TERAC!Q39</f>
        <v>270.20283328881771</v>
      </c>
      <c r="E20" s="311">
        <f>CONS_TERAC!Q40</f>
        <v>0</v>
      </c>
      <c r="F20" s="311">
        <f>CONS_TERAC!Q41</f>
        <v>0</v>
      </c>
      <c r="G20" s="311">
        <f>CONS_TERAC!Q42</f>
        <v>0</v>
      </c>
      <c r="H20" s="629">
        <f t="shared" si="1"/>
        <v>270.20283328881771</v>
      </c>
      <c r="I20" s="770"/>
    </row>
    <row r="21" spans="1:9" ht="17.25" customHeight="1">
      <c r="A21" s="770"/>
      <c r="B21" s="1083" t="s">
        <v>657</v>
      </c>
      <c r="C21" s="311">
        <f>CONS_TERAC!R36+CONS_TERAC!R37</f>
        <v>0</v>
      </c>
      <c r="D21" s="311">
        <f>CONS_TERAC!R38+CONS_TERAC!R39</f>
        <v>714.15</v>
      </c>
      <c r="E21" s="311">
        <f>CONS_TERAC!R40</f>
        <v>0</v>
      </c>
      <c r="F21" s="311">
        <f>CONS_TERAC!R41</f>
        <v>0</v>
      </c>
      <c r="G21" s="311">
        <f>CONS_TERAC!R42</f>
        <v>0</v>
      </c>
      <c r="H21" s="629">
        <f t="shared" si="1"/>
        <v>714.15</v>
      </c>
      <c r="I21" s="770"/>
    </row>
    <row r="22" spans="1:9" ht="17.25" customHeight="1">
      <c r="A22" s="770"/>
      <c r="B22" s="1083" t="s">
        <v>23</v>
      </c>
      <c r="C22" s="311">
        <f>CONS_TERAC!S36+CONS_TERAC!S37</f>
        <v>0</v>
      </c>
      <c r="D22" s="311">
        <f>CONS_TERAC!S38+CONS_TERAC!S39</f>
        <v>11.114867149777659</v>
      </c>
      <c r="E22" s="311">
        <f>CONS_TERAC!S40</f>
        <v>0</v>
      </c>
      <c r="F22" s="311">
        <f>CONS_TERAC!S41</f>
        <v>0</v>
      </c>
      <c r="G22" s="311">
        <f>CONS_TERAC!S42</f>
        <v>0</v>
      </c>
      <c r="H22" s="629">
        <f t="shared" si="1"/>
        <v>11.114867149777659</v>
      </c>
      <c r="I22" s="770"/>
    </row>
    <row r="23" spans="1:9" ht="17.25" customHeight="1">
      <c r="A23" s="770"/>
      <c r="B23" s="1083" t="s">
        <v>39</v>
      </c>
      <c r="C23" s="311">
        <f>CONS_TERAC!T36+CONS_TERAC!T37</f>
        <v>0</v>
      </c>
      <c r="D23" s="311">
        <f>CONS_TERAC!T38+CONS_TERAC!T39</f>
        <v>0</v>
      </c>
      <c r="E23" s="311">
        <f>CONS_TERAC!T40</f>
        <v>0</v>
      </c>
      <c r="F23" s="311">
        <f>CONS_TERAC!T41</f>
        <v>0</v>
      </c>
      <c r="G23" s="311">
        <f>CONS_TERAC!T42</f>
        <v>0</v>
      </c>
      <c r="H23" s="629">
        <f t="shared" si="1"/>
        <v>0</v>
      </c>
      <c r="I23" s="770"/>
    </row>
    <row r="24" spans="1:9">
      <c r="A24" s="770"/>
      <c r="B24" s="1084" t="s">
        <v>28</v>
      </c>
      <c r="C24" s="630">
        <f t="shared" ref="C24:H24" si="2">SUM(C17:C23)+C9</f>
        <v>1416.3535990858934</v>
      </c>
      <c r="D24" s="630">
        <f t="shared" si="2"/>
        <v>1603.3210446189923</v>
      </c>
      <c r="E24" s="630">
        <f t="shared" si="2"/>
        <v>6650.2855187300001</v>
      </c>
      <c r="F24" s="630">
        <f t="shared" si="2"/>
        <v>1.6546494919999999</v>
      </c>
      <c r="G24" s="630">
        <f t="shared" si="2"/>
        <v>33.23556</v>
      </c>
      <c r="H24" s="631">
        <f t="shared" si="2"/>
        <v>9704.8503719268865</v>
      </c>
      <c r="I24" s="770"/>
    </row>
    <row r="25" spans="1:9" ht="13.5" thickBot="1">
      <c r="A25" s="770"/>
      <c r="B25" s="1085"/>
      <c r="C25" s="1086"/>
      <c r="D25" s="1086"/>
      <c r="E25" s="1086"/>
      <c r="F25" s="1086"/>
      <c r="G25" s="1086"/>
      <c r="H25" s="1087"/>
      <c r="I25" s="770"/>
    </row>
    <row r="26" spans="1:9">
      <c r="A26" s="1088"/>
      <c r="B26" s="448" t="s">
        <v>14</v>
      </c>
      <c r="C26" s="1089"/>
      <c r="D26" s="1089"/>
      <c r="E26" s="1090"/>
      <c r="F26" s="1090"/>
      <c r="G26" s="1090"/>
      <c r="H26" s="1090"/>
      <c r="I26" s="770"/>
    </row>
    <row r="27" spans="1:9">
      <c r="A27" s="1088"/>
      <c r="B27" s="1075" t="s">
        <v>676</v>
      </c>
      <c r="C27" s="1088"/>
      <c r="D27" s="1088"/>
      <c r="E27" s="770"/>
      <c r="F27" s="770"/>
      <c r="G27" s="770"/>
      <c r="H27" s="770"/>
      <c r="I27" s="770"/>
    </row>
    <row r="28" spans="1:9">
      <c r="A28" s="1088"/>
      <c r="B28" s="1075" t="s">
        <v>677</v>
      </c>
      <c r="C28" s="1088"/>
      <c r="D28" s="1088"/>
      <c r="E28" s="770"/>
      <c r="F28" s="770"/>
      <c r="G28" s="770"/>
      <c r="H28" s="770"/>
      <c r="I28" s="770"/>
    </row>
    <row r="29" spans="1:9">
      <c r="A29" s="1088"/>
      <c r="B29" s="1075" t="s">
        <v>678</v>
      </c>
      <c r="C29" s="1088"/>
      <c r="D29" s="1088"/>
      <c r="E29" s="770"/>
      <c r="F29" s="770"/>
      <c r="G29" s="770"/>
      <c r="H29" s="770"/>
      <c r="I29" s="770"/>
    </row>
    <row r="30" spans="1:9">
      <c r="A30" s="1088"/>
      <c r="B30" s="1075" t="s">
        <v>679</v>
      </c>
      <c r="C30" s="1088"/>
      <c r="D30" s="1088"/>
      <c r="E30" s="770"/>
      <c r="F30" s="770"/>
      <c r="G30" s="770"/>
      <c r="H30" s="770"/>
      <c r="I30" s="770"/>
    </row>
    <row r="31" spans="1:9">
      <c r="A31" s="1088"/>
      <c r="B31" s="479" t="s">
        <v>59</v>
      </c>
      <c r="C31" s="487"/>
      <c r="D31" s="488"/>
      <c r="E31" s="488"/>
      <c r="F31" s="488"/>
      <c r="G31" s="452"/>
      <c r="H31" s="770"/>
      <c r="I31" s="770"/>
    </row>
    <row r="32" spans="1:9">
      <c r="A32" s="1088"/>
      <c r="B32" s="479" t="s">
        <v>60</v>
      </c>
      <c r="C32" s="455"/>
      <c r="D32" s="455"/>
      <c r="E32" s="455"/>
      <c r="F32" s="455"/>
      <c r="G32" s="455"/>
      <c r="H32" s="770"/>
      <c r="I32" s="770"/>
    </row>
    <row r="33" spans="1:9">
      <c r="A33" s="1088"/>
      <c r="B33" s="455" t="s">
        <v>795</v>
      </c>
      <c r="C33" s="455"/>
      <c r="D33" s="455"/>
      <c r="E33" s="455"/>
      <c r="F33" s="455"/>
      <c r="G33" s="455"/>
      <c r="H33" s="770"/>
      <c r="I33" s="770"/>
    </row>
    <row r="34" spans="1:9">
      <c r="A34" s="1088"/>
      <c r="B34" s="455" t="s">
        <v>773</v>
      </c>
      <c r="C34" s="455"/>
      <c r="D34" s="455"/>
      <c r="E34" s="455"/>
      <c r="F34" s="455"/>
      <c r="G34" s="455"/>
      <c r="H34" s="770"/>
      <c r="I34" s="770"/>
    </row>
    <row r="35" spans="1:9">
      <c r="A35" s="770"/>
      <c r="B35" s="770"/>
      <c r="C35" s="770"/>
      <c r="D35" s="770"/>
      <c r="E35" s="770"/>
      <c r="F35" s="770"/>
      <c r="G35" s="770"/>
      <c r="H35" s="770"/>
      <c r="I35" s="770"/>
    </row>
    <row r="36" spans="1:9">
      <c r="A36" s="770"/>
      <c r="B36" s="770"/>
      <c r="C36" s="770"/>
      <c r="D36" s="770"/>
      <c r="E36" s="770"/>
      <c r="F36" s="770"/>
      <c r="G36" s="770"/>
      <c r="H36" s="770"/>
      <c r="I36" s="770"/>
    </row>
    <row r="37" spans="1:9">
      <c r="A37" s="770"/>
      <c r="B37" s="770"/>
      <c r="C37" s="770"/>
      <c r="D37" s="770"/>
      <c r="E37" s="770"/>
      <c r="F37" s="770"/>
      <c r="G37" s="770"/>
      <c r="H37" s="770"/>
      <c r="I37" s="770"/>
    </row>
  </sheetData>
  <phoneticPr fontId="50" type="noConversion"/>
  <hyperlinks>
    <hyperlink ref="I3" location="INDICE!A1" display="VOLVER A INDICE"/>
  </hyperlinks>
  <pageMargins left="0.75" right="0.75" top="1" bottom="1" header="0" footer="0"/>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0"/>
  <sheetViews>
    <sheetView zoomScale="85" workbookViewId="0">
      <selection activeCell="G52" sqref="G52"/>
    </sheetView>
  </sheetViews>
  <sheetFormatPr baseColWidth="10" defaultRowHeight="12.75" outlineLevelRow="1"/>
  <cols>
    <col min="1" max="1" width="1.28515625" style="260" customWidth="1"/>
    <col min="2" max="2" width="27.85546875" style="260" customWidth="1"/>
    <col min="3" max="3" width="15.28515625" style="260" customWidth="1"/>
    <col min="4" max="4" width="13.7109375" style="260" customWidth="1"/>
    <col min="5" max="7" width="12.5703125" style="260" customWidth="1"/>
    <col min="8" max="8" width="13.5703125" style="260" customWidth="1"/>
    <col min="9" max="15" width="11.42578125" style="3"/>
    <col min="16" max="16384" width="11.42578125" style="260"/>
  </cols>
  <sheetData>
    <row r="1" spans="1:10" ht="6" customHeight="1" thickBot="1">
      <c r="A1" s="459"/>
      <c r="B1" s="459"/>
      <c r="C1" s="459"/>
      <c r="D1" s="459"/>
      <c r="E1" s="459"/>
      <c r="F1" s="459"/>
      <c r="G1" s="459"/>
      <c r="H1" s="459"/>
      <c r="I1" s="62"/>
    </row>
    <row r="2" spans="1:10" ht="15.75" customHeight="1" thickBot="1">
      <c r="A2" s="459"/>
      <c r="B2" s="524"/>
      <c r="C2" s="525"/>
      <c r="D2" s="525"/>
      <c r="E2" s="525"/>
      <c r="F2" s="525"/>
      <c r="G2" s="525"/>
      <c r="H2" s="526"/>
      <c r="I2" s="62"/>
    </row>
    <row r="3" spans="1:10" ht="15">
      <c r="A3" s="459"/>
      <c r="B3" s="1076"/>
      <c r="C3" s="20"/>
      <c r="D3" s="686" t="s">
        <v>506</v>
      </c>
      <c r="E3" s="21"/>
      <c r="F3" s="1077"/>
      <c r="G3" s="1077"/>
      <c r="H3" s="1078"/>
      <c r="I3" s="527" t="s">
        <v>606</v>
      </c>
    </row>
    <row r="4" spans="1:10" ht="15">
      <c r="A4" s="459"/>
      <c r="B4" s="1079"/>
      <c r="C4" s="22"/>
      <c r="D4" s="23" t="s">
        <v>507</v>
      </c>
      <c r="E4" s="22"/>
      <c r="F4" s="1080"/>
      <c r="G4" s="1080"/>
      <c r="H4" s="1081"/>
      <c r="I4" s="62"/>
    </row>
    <row r="5" spans="1:10" ht="15">
      <c r="A5" s="459"/>
      <c r="B5" s="1079"/>
      <c r="C5" s="22"/>
      <c r="D5" s="24" t="s">
        <v>779</v>
      </c>
      <c r="E5" s="22"/>
      <c r="F5" s="1080"/>
      <c r="G5" s="1080"/>
      <c r="H5" s="1081"/>
      <c r="I5" s="62"/>
    </row>
    <row r="6" spans="1:10" ht="15">
      <c r="A6" s="459"/>
      <c r="B6" s="1079"/>
      <c r="C6" s="24" t="s">
        <v>508</v>
      </c>
      <c r="D6" s="22"/>
      <c r="E6" s="22"/>
      <c r="F6" s="1080"/>
      <c r="G6" s="1080"/>
      <c r="H6" s="1081"/>
      <c r="I6" s="62"/>
    </row>
    <row r="7" spans="1:10" ht="15">
      <c r="A7" s="459"/>
      <c r="B7" s="1079"/>
      <c r="C7" s="845" t="s">
        <v>680</v>
      </c>
      <c r="D7" s="845" t="s">
        <v>681</v>
      </c>
      <c r="E7" s="845" t="s">
        <v>134</v>
      </c>
      <c r="F7" s="845" t="s">
        <v>135</v>
      </c>
      <c r="G7" s="845" t="s">
        <v>23</v>
      </c>
      <c r="H7" s="846" t="s">
        <v>28</v>
      </c>
      <c r="I7" s="62"/>
    </row>
    <row r="8" spans="1:10" ht="15.75" thickBot="1">
      <c r="A8" s="459"/>
      <c r="B8" s="1082" t="s">
        <v>20</v>
      </c>
      <c r="C8" s="848"/>
      <c r="D8" s="848"/>
      <c r="E8" s="848" t="s">
        <v>23</v>
      </c>
      <c r="F8" s="848" t="s">
        <v>682</v>
      </c>
      <c r="G8" s="848" t="s">
        <v>683</v>
      </c>
      <c r="H8" s="849"/>
      <c r="I8" s="62"/>
    </row>
    <row r="9" spans="1:10" ht="17.25" customHeight="1">
      <c r="A9" s="459"/>
      <c r="B9" s="590" t="s">
        <v>101</v>
      </c>
      <c r="C9" s="624">
        <f t="shared" ref="C9:H9" si="0">SUM(C10:C13)</f>
        <v>22982.399633731537</v>
      </c>
      <c r="D9" s="624">
        <f t="shared" si="0"/>
        <v>804.40281922694885</v>
      </c>
      <c r="E9" s="624">
        <f t="shared" si="0"/>
        <v>0</v>
      </c>
      <c r="F9" s="624">
        <f t="shared" si="0"/>
        <v>0</v>
      </c>
      <c r="G9" s="624">
        <f t="shared" si="0"/>
        <v>0</v>
      </c>
      <c r="H9" s="625">
        <f t="shared" si="0"/>
        <v>23786.802452958484</v>
      </c>
      <c r="I9" s="62"/>
    </row>
    <row r="10" spans="1:10" ht="17.25" customHeight="1" outlineLevel="1">
      <c r="A10" s="459"/>
      <c r="B10" s="632" t="s">
        <v>71</v>
      </c>
      <c r="C10" s="626">
        <f>CONS_TERAC!D49+CONS_TERAC!D50</f>
        <v>2569.6047465689999</v>
      </c>
      <c r="D10" s="626">
        <f>CONS_TERAC!D51+CONS_TERAC!D52</f>
        <v>0</v>
      </c>
      <c r="E10" s="626">
        <f>CONS_TERAC!D53</f>
        <v>0</v>
      </c>
      <c r="F10" s="626">
        <f>CONS_TERAC!D54</f>
        <v>0</v>
      </c>
      <c r="G10" s="626">
        <f>CONS_TERAC!D55</f>
        <v>0</v>
      </c>
      <c r="H10" s="627">
        <f t="shared" ref="H10:H18" si="1">SUM(C10:G10)</f>
        <v>2569.6047465689999</v>
      </c>
      <c r="I10" s="458"/>
      <c r="J10" s="5"/>
    </row>
    <row r="11" spans="1:10" ht="17.25" customHeight="1" outlineLevel="1">
      <c r="A11" s="459"/>
      <c r="B11" s="632" t="s">
        <v>72</v>
      </c>
      <c r="C11" s="628">
        <f>CONS_TERAC!C50+CONS_TERAC!C49</f>
        <v>20093.942940386594</v>
      </c>
      <c r="D11" s="628">
        <f>CONS_TERAC!C51+CONS_TERAC!C52</f>
        <v>0</v>
      </c>
      <c r="E11" s="628">
        <f>CONS_TERAC!C53</f>
        <v>0</v>
      </c>
      <c r="F11" s="628">
        <f>CONS_TERAC!C54</f>
        <v>0</v>
      </c>
      <c r="G11" s="628">
        <f>CONS_TERAC!C55</f>
        <v>0</v>
      </c>
      <c r="H11" s="627">
        <f t="shared" si="1"/>
        <v>20093.942940386594</v>
      </c>
      <c r="I11" s="458"/>
      <c r="J11" s="5"/>
    </row>
    <row r="12" spans="1:10" ht="17.25" customHeight="1" outlineLevel="1">
      <c r="A12" s="459"/>
      <c r="B12" s="632" t="s">
        <v>74</v>
      </c>
      <c r="C12" s="628">
        <f>CONS_TERAC!G49+CONS_TERAC!G50</f>
        <v>130.31792932194298</v>
      </c>
      <c r="D12" s="628">
        <f>CONS_TERAC!G51+CONS_TERAC!G52</f>
        <v>804.40281922694885</v>
      </c>
      <c r="E12" s="628">
        <f>CONS_TERAC!G53</f>
        <v>0</v>
      </c>
      <c r="F12" s="628">
        <f>CONS_TERAC!G54</f>
        <v>0</v>
      </c>
      <c r="G12" s="628">
        <f>CONS_TERAC!G55</f>
        <v>0</v>
      </c>
      <c r="H12" s="627">
        <f t="shared" si="1"/>
        <v>934.72074854889183</v>
      </c>
      <c r="I12" s="458"/>
      <c r="J12" s="5"/>
    </row>
    <row r="13" spans="1:10" ht="17.25" customHeight="1" outlineLevel="1">
      <c r="A13" s="459"/>
      <c r="B13" s="632" t="s">
        <v>78</v>
      </c>
      <c r="C13" s="628">
        <f>CONS_TERAC!K49+CONS_TERAC!K50</f>
        <v>188.53401745400006</v>
      </c>
      <c r="D13" s="628">
        <f>CONS_TERAC!K51+CONS_TERAC!K52</f>
        <v>0</v>
      </c>
      <c r="E13" s="628">
        <f>CONS_TERAC!K53</f>
        <v>0</v>
      </c>
      <c r="F13" s="628">
        <f>CONS_TERAC!K54</f>
        <v>0</v>
      </c>
      <c r="G13" s="628">
        <f>CONS_TERAC!K55</f>
        <v>0</v>
      </c>
      <c r="H13" s="627">
        <f t="shared" si="1"/>
        <v>188.53401745400006</v>
      </c>
      <c r="I13" s="458"/>
      <c r="J13" s="5"/>
    </row>
    <row r="14" spans="1:10" ht="17.25" customHeight="1">
      <c r="A14" s="459"/>
      <c r="B14" s="1091" t="s">
        <v>24</v>
      </c>
      <c r="C14" s="311">
        <f>CONS_TERAC!N49+CONS_TERAC!N50</f>
        <v>33506.247771058537</v>
      </c>
      <c r="D14" s="311">
        <f>CONS_TERAC!N51+CONS_TERAC!N52</f>
        <v>4254.66</v>
      </c>
      <c r="E14" s="311">
        <f>CONS_TERAC!N53</f>
        <v>0</v>
      </c>
      <c r="F14" s="311">
        <f>CONS_TERAC!N54</f>
        <v>0</v>
      </c>
      <c r="G14" s="311">
        <f>CONS_TERAC!N55</f>
        <v>0</v>
      </c>
      <c r="H14" s="629">
        <f t="shared" si="1"/>
        <v>37760.907771058541</v>
      </c>
      <c r="I14" s="458"/>
      <c r="J14" s="5"/>
    </row>
    <row r="15" spans="1:10" ht="17.25" customHeight="1">
      <c r="A15" s="459"/>
      <c r="B15" s="1091" t="s">
        <v>124</v>
      </c>
      <c r="C15" s="311">
        <f>CONS_TERAC!O49+CONS_TERAC!O50</f>
        <v>5032.3818471696031</v>
      </c>
      <c r="D15" s="311">
        <f>CONS_TERAC!O51+CONS_TERAC!O52</f>
        <v>1090.424</v>
      </c>
      <c r="E15" s="311">
        <f>CONS_TERAC!O53</f>
        <v>0</v>
      </c>
      <c r="F15" s="311">
        <f>CONS_TERAC!O54</f>
        <v>0</v>
      </c>
      <c r="G15" s="311">
        <f>CONS_TERAC!O55</f>
        <v>0</v>
      </c>
      <c r="H15" s="629">
        <f t="shared" si="1"/>
        <v>6122.8058471696031</v>
      </c>
      <c r="I15" s="458"/>
      <c r="J15" s="5"/>
    </row>
    <row r="16" spans="1:10" ht="17.25" customHeight="1">
      <c r="A16" s="459"/>
      <c r="B16" s="1091" t="s">
        <v>23</v>
      </c>
      <c r="C16" s="311">
        <f>CONS_TERAC!S49+CONS_TERAC!S50</f>
        <v>8592.0113961999541</v>
      </c>
      <c r="D16" s="311">
        <f>CONS_TERAC!S51+CONS_TERAC!S52</f>
        <v>181.50101070672346</v>
      </c>
      <c r="E16" s="311">
        <f>CONS_TERAC!S53</f>
        <v>5093.0010335739998</v>
      </c>
      <c r="F16" s="311">
        <f>CONS_TERAC!S54</f>
        <v>0</v>
      </c>
      <c r="G16" s="311">
        <f>CONS_TERAC!S55</f>
        <v>8532.9731999999985</v>
      </c>
      <c r="H16" s="629">
        <f t="shared" si="1"/>
        <v>22399.486640480674</v>
      </c>
      <c r="I16" s="458"/>
      <c r="J16" s="5"/>
    </row>
    <row r="17" spans="1:10" ht="17.25" customHeight="1">
      <c r="A17" s="459"/>
      <c r="B17" s="1091" t="s">
        <v>26</v>
      </c>
      <c r="C17" s="311">
        <f>CONS_TERAC!V49+CONS_TERAC!V50</f>
        <v>5880.1823984000757</v>
      </c>
      <c r="D17" s="311">
        <f>CONS_TERAC!V51+CONS_TERAC!V52</f>
        <v>0</v>
      </c>
      <c r="E17" s="311">
        <f>CONS_TERAC!V53</f>
        <v>0</v>
      </c>
      <c r="F17" s="311">
        <f>CONS_TERAC!V54</f>
        <v>0</v>
      </c>
      <c r="G17" s="311">
        <f>CONS_TERAC!V55</f>
        <v>0</v>
      </c>
      <c r="H17" s="629">
        <f t="shared" si="1"/>
        <v>5880.1823984000757</v>
      </c>
      <c r="I17" s="458"/>
      <c r="J17" s="5"/>
    </row>
    <row r="18" spans="1:10" ht="17.25" customHeight="1">
      <c r="A18" s="459"/>
      <c r="B18" s="592" t="s">
        <v>27</v>
      </c>
      <c r="C18" s="311">
        <f>CONS_TERAC!U49+CONS_TERAC!U50</f>
        <v>0</v>
      </c>
      <c r="D18" s="311">
        <f>CONS_TERAC!U51+CONS_TERAC!U52</f>
        <v>68.800938663572154</v>
      </c>
      <c r="E18" s="311">
        <f>CONS_TERAC!U53</f>
        <v>0</v>
      </c>
      <c r="F18" s="311">
        <f>CONS_TERAC!U54</f>
        <v>0</v>
      </c>
      <c r="G18" s="311">
        <f>CONS_TERAC!U55</f>
        <v>0</v>
      </c>
      <c r="H18" s="629">
        <f t="shared" si="1"/>
        <v>68.800938663572154</v>
      </c>
      <c r="I18" s="458"/>
      <c r="J18" s="5"/>
    </row>
    <row r="19" spans="1:10">
      <c r="A19" s="459"/>
      <c r="B19" s="1084" t="s">
        <v>28</v>
      </c>
      <c r="C19" s="630">
        <f>SUM(C14:C17)+C9</f>
        <v>75993.223046559695</v>
      </c>
      <c r="D19" s="630">
        <f>SUM(D14:D17)+D9</f>
        <v>6330.9878299336724</v>
      </c>
      <c r="E19" s="630">
        <f>SUM(E14:E17)+E9</f>
        <v>5093.0010335739998</v>
      </c>
      <c r="F19" s="630">
        <f>SUM(F14:F17)+F9</f>
        <v>0</v>
      </c>
      <c r="G19" s="630">
        <f>SUM(G14:G17)+G9</f>
        <v>8532.9731999999985</v>
      </c>
      <c r="H19" s="631">
        <f>SUM(H14:H18)+H9</f>
        <v>96018.986048730949</v>
      </c>
      <c r="I19" s="458"/>
      <c r="J19" s="5"/>
    </row>
    <row r="20" spans="1:10" ht="13.5" thickBot="1">
      <c r="A20" s="459"/>
      <c r="B20" s="1085"/>
      <c r="C20" s="1086"/>
      <c r="D20" s="1086"/>
      <c r="E20" s="1086"/>
      <c r="F20" s="1086"/>
      <c r="G20" s="1086"/>
      <c r="H20" s="1087"/>
      <c r="I20" s="458"/>
    </row>
    <row r="21" spans="1:10">
      <c r="A21" s="262"/>
      <c r="B21" s="584" t="s">
        <v>488</v>
      </c>
      <c r="C21" s="1089"/>
      <c r="D21" s="1090"/>
      <c r="E21" s="1090"/>
      <c r="F21" s="1090"/>
      <c r="G21" s="1090"/>
      <c r="H21" s="1090"/>
      <c r="I21" s="458"/>
    </row>
    <row r="22" spans="1:10">
      <c r="A22" s="262"/>
      <c r="B22" s="1075" t="s">
        <v>676</v>
      </c>
      <c r="C22" s="1089"/>
      <c r="D22" s="1090"/>
      <c r="E22" s="1090"/>
      <c r="F22" s="1090"/>
      <c r="G22" s="1090"/>
      <c r="H22" s="1090"/>
      <c r="I22" s="458"/>
    </row>
    <row r="23" spans="1:10">
      <c r="A23" s="262"/>
      <c r="B23" s="1075" t="s">
        <v>677</v>
      </c>
      <c r="C23" s="1089"/>
      <c r="D23" s="1090"/>
      <c r="E23" s="1090"/>
      <c r="F23" s="1090"/>
      <c r="G23" s="1090"/>
      <c r="H23" s="1090"/>
      <c r="I23" s="458"/>
    </row>
    <row r="24" spans="1:10">
      <c r="A24" s="262"/>
      <c r="B24" s="1075" t="s">
        <v>678</v>
      </c>
      <c r="C24" s="1089"/>
      <c r="D24" s="1090"/>
      <c r="E24" s="1090"/>
      <c r="F24" s="1090"/>
      <c r="G24" s="1090"/>
      <c r="H24" s="1090"/>
      <c r="I24" s="458"/>
    </row>
    <row r="25" spans="1:10">
      <c r="A25" s="262"/>
      <c r="B25" s="1075" t="s">
        <v>679</v>
      </c>
      <c r="C25" s="1089"/>
      <c r="D25" s="1090"/>
      <c r="E25" s="1090"/>
      <c r="F25" s="1090"/>
      <c r="G25" s="1090"/>
      <c r="H25" s="1090"/>
      <c r="I25" s="458"/>
    </row>
    <row r="26" spans="1:10">
      <c r="A26" s="262"/>
      <c r="B26" s="479" t="s">
        <v>59</v>
      </c>
      <c r="C26" s="1089"/>
      <c r="D26" s="1090"/>
      <c r="E26" s="1090"/>
      <c r="F26" s="1090"/>
      <c r="G26" s="1090"/>
      <c r="H26" s="1090"/>
      <c r="I26" s="458"/>
    </row>
    <row r="27" spans="1:10">
      <c r="A27" s="262"/>
      <c r="B27" s="479" t="s">
        <v>60</v>
      </c>
      <c r="C27" s="1089"/>
      <c r="D27" s="1090"/>
      <c r="E27" s="1090"/>
      <c r="F27" s="1090"/>
      <c r="G27" s="1090"/>
      <c r="H27" s="1090"/>
      <c r="I27" s="458"/>
    </row>
    <row r="28" spans="1:10">
      <c r="A28" s="262"/>
      <c r="B28" s="455" t="s">
        <v>795</v>
      </c>
      <c r="C28" s="455"/>
      <c r="D28" s="455"/>
      <c r="E28" s="455"/>
      <c r="F28" s="455"/>
      <c r="G28" s="455"/>
      <c r="H28" s="455"/>
      <c r="I28" s="415"/>
      <c r="J28" s="6"/>
    </row>
    <row r="29" spans="1:10">
      <c r="A29" s="262"/>
      <c r="B29" s="455" t="s">
        <v>773</v>
      </c>
      <c r="C29" s="455"/>
      <c r="D29" s="455"/>
      <c r="E29" s="455"/>
      <c r="F29" s="455"/>
      <c r="G29" s="455"/>
      <c r="H29" s="455"/>
      <c r="I29" s="415"/>
      <c r="J29" s="6"/>
    </row>
    <row r="30" spans="1:10">
      <c r="A30" s="262"/>
      <c r="B30" s="56"/>
      <c r="C30" s="56"/>
      <c r="D30" s="62"/>
      <c r="E30" s="62"/>
      <c r="F30" s="62"/>
      <c r="G30" s="62"/>
      <c r="H30" s="62"/>
      <c r="I30" s="62"/>
    </row>
    <row r="31" spans="1:10">
      <c r="A31" s="262"/>
      <c r="B31" s="56"/>
      <c r="C31" s="56"/>
      <c r="D31" s="62"/>
      <c r="E31" s="62"/>
      <c r="F31" s="62"/>
      <c r="G31" s="62"/>
      <c r="H31" s="62"/>
      <c r="I31" s="62"/>
    </row>
    <row r="32" spans="1:10">
      <c r="A32" s="459"/>
      <c r="B32" s="62"/>
      <c r="C32" s="62"/>
      <c r="D32" s="62"/>
      <c r="E32" s="62"/>
      <c r="F32" s="62"/>
      <c r="G32" s="62"/>
      <c r="H32" s="62"/>
      <c r="I32" s="62"/>
    </row>
    <row r="33" spans="1:9">
      <c r="A33" s="62"/>
      <c r="B33" s="62"/>
      <c r="C33" s="62"/>
      <c r="D33" s="62"/>
      <c r="E33" s="62"/>
      <c r="F33" s="62"/>
      <c r="G33" s="62"/>
      <c r="H33" s="62"/>
      <c r="I33" s="62"/>
    </row>
    <row r="34" spans="1:9">
      <c r="A34" s="3"/>
      <c r="B34" s="3"/>
      <c r="C34" s="3"/>
      <c r="D34" s="3"/>
      <c r="E34" s="3"/>
      <c r="F34" s="3"/>
      <c r="G34" s="3"/>
      <c r="H34" s="3"/>
    </row>
    <row r="35" spans="1:9">
      <c r="A35" s="3"/>
      <c r="B35" s="3"/>
      <c r="C35" s="3"/>
      <c r="D35" s="3"/>
      <c r="E35" s="3"/>
      <c r="F35" s="3"/>
      <c r="G35" s="3"/>
      <c r="H35" s="3"/>
    </row>
    <row r="36" spans="1:9">
      <c r="A36" s="3"/>
      <c r="B36" s="3"/>
      <c r="C36" s="3"/>
      <c r="D36" s="3"/>
      <c r="E36" s="3"/>
      <c r="F36" s="3"/>
      <c r="G36" s="3"/>
      <c r="H36" s="3"/>
    </row>
    <row r="37" spans="1:9">
      <c r="A37" s="3"/>
      <c r="B37" s="3"/>
      <c r="C37" s="3"/>
      <c r="D37" s="3"/>
      <c r="E37" s="3"/>
      <c r="F37" s="3"/>
      <c r="G37" s="3"/>
      <c r="H37" s="3"/>
    </row>
    <row r="38" spans="1:9">
      <c r="A38" s="3"/>
      <c r="B38" s="3"/>
      <c r="C38" s="3"/>
      <c r="D38" s="3"/>
      <c r="E38" s="3"/>
      <c r="F38" s="3"/>
      <c r="G38" s="3"/>
      <c r="H38" s="3"/>
    </row>
    <row r="39" spans="1:9">
      <c r="A39" s="3"/>
      <c r="B39" s="3"/>
      <c r="C39" s="3"/>
      <c r="D39" s="3"/>
      <c r="E39" s="3"/>
      <c r="F39" s="3"/>
      <c r="G39" s="3"/>
      <c r="H39" s="3"/>
    </row>
    <row r="40" spans="1:9">
      <c r="A40" s="3"/>
      <c r="B40" s="3"/>
      <c r="C40" s="3"/>
      <c r="D40" s="3"/>
      <c r="E40" s="3"/>
      <c r="F40" s="3"/>
      <c r="G40" s="3"/>
      <c r="H40" s="3"/>
    </row>
    <row r="41" spans="1:9">
      <c r="A41" s="3"/>
      <c r="B41" s="3"/>
      <c r="C41" s="3"/>
      <c r="D41" s="3"/>
      <c r="E41" s="3"/>
      <c r="F41" s="3"/>
      <c r="G41" s="3"/>
      <c r="H41" s="3"/>
    </row>
    <row r="42" spans="1:9">
      <c r="A42" s="3"/>
      <c r="B42" s="3"/>
      <c r="C42" s="3"/>
      <c r="D42" s="3"/>
      <c r="E42" s="3"/>
      <c r="F42" s="3"/>
      <c r="G42" s="3"/>
      <c r="H42" s="3"/>
    </row>
    <row r="43" spans="1:9">
      <c r="A43" s="3"/>
      <c r="B43" s="3"/>
      <c r="C43" s="3"/>
      <c r="D43" s="3"/>
      <c r="E43" s="3"/>
      <c r="F43" s="3"/>
      <c r="G43" s="3"/>
      <c r="H43" s="3"/>
    </row>
    <row r="44" spans="1:9">
      <c r="A44" s="3"/>
      <c r="B44" s="3"/>
      <c r="C44" s="3"/>
      <c r="D44" s="3"/>
      <c r="E44" s="3"/>
      <c r="F44" s="3"/>
      <c r="G44" s="3"/>
      <c r="H44" s="3"/>
    </row>
    <row r="45" spans="1:9">
      <c r="A45" s="3"/>
      <c r="B45" s="3"/>
      <c r="C45" s="3"/>
      <c r="D45" s="3"/>
      <c r="E45" s="3"/>
      <c r="F45" s="3"/>
      <c r="G45" s="3"/>
      <c r="H45" s="3"/>
    </row>
    <row r="46" spans="1:9">
      <c r="A46" s="3"/>
      <c r="B46" s="3"/>
      <c r="C46" s="3"/>
      <c r="D46" s="3"/>
      <c r="E46" s="3"/>
      <c r="F46" s="3"/>
      <c r="G46" s="3"/>
      <c r="H46" s="3"/>
    </row>
    <row r="47" spans="1:9">
      <c r="C47" s="3"/>
      <c r="D47" s="3"/>
      <c r="E47" s="3"/>
      <c r="F47" s="3"/>
      <c r="G47" s="3"/>
      <c r="H47" s="3"/>
    </row>
    <row r="48" spans="1:9">
      <c r="C48" s="3"/>
      <c r="D48" s="3"/>
      <c r="E48" s="3"/>
      <c r="F48" s="3"/>
      <c r="G48" s="3"/>
      <c r="H48" s="3"/>
    </row>
    <row r="49" spans="3:8">
      <c r="C49" s="3"/>
      <c r="D49" s="3"/>
      <c r="E49" s="3"/>
      <c r="F49" s="3"/>
      <c r="G49" s="3"/>
      <c r="H49" s="3"/>
    </row>
    <row r="50" spans="3:8">
      <c r="C50" s="3"/>
      <c r="D50" s="3"/>
      <c r="E50" s="3"/>
      <c r="F50" s="3"/>
      <c r="G50" s="3"/>
      <c r="H50" s="3"/>
    </row>
  </sheetData>
  <phoneticPr fontId="0" type="noConversion"/>
  <hyperlinks>
    <hyperlink ref="I3" location="INDICE!A1" display="VOLVER A INDICE"/>
  </hyperlinks>
  <pageMargins left="0.75" right="0.75" top="1" bottom="1" header="0" footer="0"/>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65"/>
  <sheetViews>
    <sheetView workbookViewId="0">
      <selection activeCell="C26" sqref="C26"/>
    </sheetView>
  </sheetViews>
  <sheetFormatPr baseColWidth="10" defaultRowHeight="12.75"/>
  <cols>
    <col min="1" max="1" width="1.42578125" style="260" customWidth="1"/>
    <col min="2" max="2" width="42.42578125" style="260" customWidth="1"/>
    <col min="3" max="3" width="13.85546875" style="260" customWidth="1"/>
    <col min="4" max="14" width="11.42578125" style="3"/>
    <col min="15" max="16384" width="11.42578125" style="260"/>
  </cols>
  <sheetData>
    <row r="1" spans="1:16" ht="6" customHeight="1" thickBot="1">
      <c r="A1" s="459"/>
      <c r="B1" s="459"/>
      <c r="C1" s="459"/>
      <c r="D1" s="62"/>
      <c r="E1" s="62"/>
    </row>
    <row r="2" spans="1:16" ht="15.75" customHeight="1" thickBot="1">
      <c r="A2" s="459"/>
      <c r="B2" s="1092"/>
      <c r="C2" s="1093"/>
      <c r="D2" s="1094"/>
      <c r="E2" s="1094"/>
      <c r="F2" s="25"/>
    </row>
    <row r="3" spans="1:16" ht="15.75">
      <c r="A3" s="459"/>
      <c r="B3" s="1095" t="s">
        <v>136</v>
      </c>
      <c r="C3" s="1096"/>
      <c r="D3" s="527" t="s">
        <v>606</v>
      </c>
      <c r="E3" s="1094"/>
      <c r="F3" s="25"/>
    </row>
    <row r="4" spans="1:16" ht="15.75">
      <c r="A4" s="459"/>
      <c r="B4" s="1097" t="s">
        <v>137</v>
      </c>
      <c r="C4" s="1098"/>
      <c r="D4" s="1094"/>
      <c r="E4" s="1094"/>
      <c r="F4" s="25"/>
    </row>
    <row r="5" spans="1:16" ht="15.75">
      <c r="A5" s="459"/>
      <c r="B5" s="1097" t="s">
        <v>138</v>
      </c>
      <c r="C5" s="1098"/>
      <c r="D5" s="1094"/>
      <c r="E5" s="1094"/>
      <c r="F5" s="25"/>
    </row>
    <row r="6" spans="1:16" ht="15.75">
      <c r="A6" s="459"/>
      <c r="B6" s="1099" t="s">
        <v>774</v>
      </c>
      <c r="C6" s="1100"/>
      <c r="D6" s="1094"/>
      <c r="E6" s="1094"/>
      <c r="F6" s="25"/>
    </row>
    <row r="7" spans="1:16" ht="15.75">
      <c r="A7" s="459"/>
      <c r="B7" s="1097"/>
      <c r="C7" s="1098"/>
      <c r="D7" s="1094"/>
      <c r="E7" s="1094"/>
      <c r="F7" s="25"/>
    </row>
    <row r="8" spans="1:16" ht="15.75">
      <c r="A8" s="459"/>
      <c r="B8" s="1101"/>
      <c r="C8" s="1098"/>
      <c r="D8" s="1094"/>
      <c r="E8" s="1094"/>
      <c r="F8" s="25"/>
    </row>
    <row r="9" spans="1:16" ht="16.5" thickBot="1">
      <c r="A9" s="459"/>
      <c r="B9" s="1102" t="s">
        <v>139</v>
      </c>
      <c r="C9" s="1103" t="s">
        <v>140</v>
      </c>
      <c r="D9" s="1094"/>
      <c r="E9" s="1094"/>
      <c r="F9" s="25"/>
    </row>
    <row r="10" spans="1:16" ht="16.5" customHeight="1">
      <c r="A10" s="459"/>
      <c r="B10" s="1104" t="s">
        <v>141</v>
      </c>
      <c r="C10" s="1105">
        <v>9.2971799999999991</v>
      </c>
      <c r="D10" s="1094"/>
      <c r="E10" s="1094"/>
      <c r="F10" s="25"/>
      <c r="O10" s="3"/>
      <c r="P10" s="3"/>
    </row>
    <row r="11" spans="1:16" ht="16.5" customHeight="1">
      <c r="A11" s="459"/>
      <c r="B11" s="1106" t="s">
        <v>142</v>
      </c>
      <c r="C11" s="1105">
        <v>106.9089216</v>
      </c>
      <c r="D11" s="1094"/>
      <c r="E11" s="1094"/>
      <c r="F11" s="25"/>
      <c r="O11" s="3"/>
      <c r="P11" s="3"/>
    </row>
    <row r="12" spans="1:16" ht="16.5" customHeight="1">
      <c r="A12" s="459"/>
      <c r="B12" s="1106" t="s">
        <v>143</v>
      </c>
      <c r="C12" s="1105">
        <v>4.6588031999999995</v>
      </c>
      <c r="D12" s="1094"/>
      <c r="E12" s="1094"/>
      <c r="F12" s="25"/>
      <c r="O12" s="3"/>
      <c r="P12" s="3"/>
    </row>
    <row r="13" spans="1:16" ht="16.5" customHeight="1">
      <c r="A13" s="459"/>
      <c r="B13" s="1106" t="s">
        <v>144</v>
      </c>
      <c r="C13" s="1105">
        <v>0</v>
      </c>
      <c r="D13" s="1094"/>
      <c r="E13" s="1094"/>
      <c r="F13" s="25"/>
      <c r="O13" s="3"/>
      <c r="P13" s="3"/>
    </row>
    <row r="14" spans="1:16" ht="16.5" customHeight="1">
      <c r="A14" s="459"/>
      <c r="B14" s="1106" t="s">
        <v>145</v>
      </c>
      <c r="C14" s="1105">
        <v>0</v>
      </c>
      <c r="D14" s="1094"/>
      <c r="E14" s="1094"/>
      <c r="F14" s="25"/>
      <c r="O14" s="3"/>
      <c r="P14" s="3"/>
    </row>
    <row r="15" spans="1:16" ht="16.5" customHeight="1">
      <c r="A15" s="459"/>
      <c r="B15" s="1106" t="s">
        <v>146</v>
      </c>
      <c r="C15" s="1105">
        <v>531.94753500000002</v>
      </c>
      <c r="D15" s="1094"/>
      <c r="E15" s="1094"/>
      <c r="F15" s="25"/>
      <c r="O15" s="3"/>
      <c r="P15" s="3"/>
    </row>
    <row r="16" spans="1:16" ht="16.5" customHeight="1">
      <c r="A16" s="459"/>
      <c r="B16" s="1106" t="s">
        <v>147</v>
      </c>
      <c r="C16" s="1105">
        <v>1302.8852724799999</v>
      </c>
      <c r="D16" s="1094"/>
      <c r="E16" s="1094"/>
      <c r="F16" s="25"/>
      <c r="O16" s="3"/>
      <c r="P16" s="3"/>
    </row>
    <row r="17" spans="1:16">
      <c r="A17" s="459"/>
      <c r="B17" s="1107" t="s">
        <v>100</v>
      </c>
      <c r="C17" s="1108">
        <f>SUM(C10:C16)</f>
        <v>1955.6977122799999</v>
      </c>
      <c r="D17" s="1094"/>
      <c r="E17" s="1094"/>
      <c r="F17" s="25"/>
      <c r="O17" s="3"/>
      <c r="P17" s="3"/>
    </row>
    <row r="18" spans="1:16" ht="13.5" thickBot="1">
      <c r="A18" s="459"/>
      <c r="B18" s="1109"/>
      <c r="C18" s="1110"/>
      <c r="D18" s="1094"/>
      <c r="E18" s="1094"/>
      <c r="F18" s="25"/>
      <c r="O18" s="3"/>
      <c r="P18" s="3"/>
    </row>
    <row r="19" spans="1:16" s="3" customFormat="1">
      <c r="A19" s="56"/>
      <c r="B19" s="455" t="s">
        <v>795</v>
      </c>
      <c r="C19" s="455"/>
      <c r="D19" s="455"/>
      <c r="E19" s="455"/>
      <c r="F19" s="2"/>
    </row>
    <row r="20" spans="1:16" s="3" customFormat="1">
      <c r="A20" s="56"/>
      <c r="B20" s="455" t="s">
        <v>773</v>
      </c>
      <c r="C20" s="455"/>
      <c r="D20" s="455"/>
      <c r="E20" s="455"/>
      <c r="F20" s="2"/>
    </row>
    <row r="21" spans="1:16" s="3" customFormat="1">
      <c r="A21" s="62"/>
      <c r="B21" s="1094"/>
      <c r="C21" s="62"/>
      <c r="D21" s="1094"/>
      <c r="E21" s="1094"/>
      <c r="F21" s="25"/>
    </row>
    <row r="22" spans="1:16" s="3" customFormat="1">
      <c r="A22" s="62"/>
      <c r="B22" s="1094"/>
      <c r="C22" s="1094"/>
      <c r="D22" s="1094"/>
      <c r="E22" s="1094"/>
      <c r="F22" s="25"/>
    </row>
    <row r="23" spans="1:16" s="3" customFormat="1">
      <c r="A23" s="62"/>
      <c r="B23" s="62"/>
      <c r="C23" s="62"/>
      <c r="D23" s="62"/>
      <c r="E23" s="62"/>
    </row>
    <row r="24" spans="1:16" s="3" customFormat="1"/>
    <row r="25" spans="1:16" s="3" customFormat="1"/>
    <row r="26" spans="1:16" s="3" customFormat="1"/>
    <row r="27" spans="1:16" s="3" customFormat="1"/>
    <row r="28" spans="1:16" s="3" customFormat="1"/>
    <row r="29" spans="1:16" s="3" customFormat="1"/>
    <row r="30" spans="1:16" s="3" customFormat="1"/>
    <row r="31" spans="1:16" s="3" customFormat="1"/>
    <row r="32" spans="1:16" s="3" customFormat="1"/>
    <row r="33" s="3" customFormat="1"/>
    <row r="34" s="3" customFormat="1"/>
    <row r="35" s="3" customFormat="1"/>
    <row r="36" s="3" customFormat="1"/>
    <row r="37" s="3" customFormat="1"/>
    <row r="38" s="3" customFormat="1"/>
    <row r="39" s="3" customFormat="1"/>
    <row r="40" s="3" customFormat="1"/>
    <row r="41" s="3" customFormat="1"/>
    <row r="42" s="3" customFormat="1"/>
    <row r="43" s="3" customFormat="1"/>
    <row r="44" s="3" customFormat="1"/>
    <row r="45" s="3" customFormat="1"/>
    <row r="46" s="3" customFormat="1"/>
    <row r="47" s="3" customFormat="1"/>
    <row r="48" s="3" customFormat="1"/>
    <row r="49" spans="3:16" s="3" customFormat="1"/>
    <row r="50" spans="3:16" s="3" customFormat="1"/>
    <row r="51" spans="3:16" s="3" customFormat="1"/>
    <row r="52" spans="3:16">
      <c r="C52" s="3"/>
      <c r="O52" s="3"/>
      <c r="P52" s="3"/>
    </row>
    <row r="53" spans="3:16">
      <c r="C53" s="3"/>
      <c r="O53" s="3"/>
      <c r="P53" s="3"/>
    </row>
    <row r="54" spans="3:16">
      <c r="C54" s="3"/>
      <c r="O54" s="3"/>
      <c r="P54" s="3"/>
    </row>
    <row r="55" spans="3:16">
      <c r="C55" s="3"/>
      <c r="O55" s="3"/>
      <c r="P55" s="3"/>
    </row>
    <row r="56" spans="3:16">
      <c r="C56" s="3"/>
      <c r="O56" s="3"/>
      <c r="P56" s="3"/>
    </row>
    <row r="57" spans="3:16">
      <c r="C57" s="3"/>
      <c r="O57" s="3"/>
      <c r="P57" s="3"/>
    </row>
    <row r="58" spans="3:16">
      <c r="C58" s="3"/>
      <c r="O58" s="3"/>
      <c r="P58" s="3"/>
    </row>
    <row r="59" spans="3:16">
      <c r="C59" s="3"/>
      <c r="O59" s="3"/>
      <c r="P59" s="3"/>
    </row>
    <row r="60" spans="3:16">
      <c r="C60" s="3"/>
      <c r="O60" s="3"/>
      <c r="P60" s="3"/>
    </row>
    <row r="61" spans="3:16">
      <c r="C61" s="3"/>
      <c r="O61" s="3"/>
      <c r="P61" s="3"/>
    </row>
    <row r="62" spans="3:16">
      <c r="C62" s="3"/>
      <c r="O62" s="3"/>
      <c r="P62" s="3"/>
    </row>
    <row r="63" spans="3:16">
      <c r="C63" s="3"/>
      <c r="O63" s="3"/>
      <c r="P63" s="3"/>
    </row>
    <row r="64" spans="3:16">
      <c r="C64" s="3"/>
      <c r="O64" s="3"/>
      <c r="P64" s="3"/>
    </row>
    <row r="65" spans="3:16">
      <c r="C65" s="3"/>
      <c r="O65" s="3"/>
      <c r="P65" s="3"/>
    </row>
  </sheetData>
  <phoneticPr fontId="0" type="noConversion"/>
  <hyperlinks>
    <hyperlink ref="D3" location="INDICE!A1" display="VOLVER A INDICE"/>
  </hyperlinks>
  <pageMargins left="0.75" right="0.75" top="1" bottom="1" header="0" footer="0"/>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Z81"/>
  <sheetViews>
    <sheetView showGridLines="0" zoomScale="85" workbookViewId="0">
      <pane xSplit="2" ySplit="5" topLeftCell="C6" activePane="bottomRight" state="frozen"/>
      <selection pane="topRight" activeCell="C1" sqref="C1"/>
      <selection pane="bottomLeft" activeCell="A6" sqref="A6"/>
      <selection pane="bottomRight" activeCell="W65" sqref="W65"/>
    </sheetView>
  </sheetViews>
  <sheetFormatPr baseColWidth="10" defaultRowHeight="12.75"/>
  <cols>
    <col min="1" max="1" width="20.42578125" customWidth="1"/>
    <col min="2" max="2" width="30.42578125" customWidth="1"/>
    <col min="3" max="3" width="12.85546875" customWidth="1"/>
    <col min="4" max="4" width="12" customWidth="1"/>
    <col min="11" max="11" width="11.42578125" style="358"/>
    <col min="12" max="12" width="13" customWidth="1"/>
    <col min="16" max="16" width="12.85546875" customWidth="1"/>
    <col min="24" max="24" width="2.85546875" customWidth="1"/>
  </cols>
  <sheetData>
    <row r="1" spans="1:26" ht="15.75">
      <c r="A1" s="1111" t="s">
        <v>772</v>
      </c>
      <c r="B1" s="1112"/>
      <c r="C1" s="1113"/>
      <c r="D1" s="527" t="s">
        <v>606</v>
      </c>
      <c r="E1" s="1113"/>
      <c r="F1" s="1113"/>
      <c r="G1" s="1114"/>
      <c r="H1" s="1114"/>
      <c r="I1" s="1115" t="s">
        <v>204</v>
      </c>
      <c r="J1" s="1114"/>
      <c r="K1" s="1116"/>
      <c r="L1" s="1113"/>
      <c r="M1" s="1113"/>
      <c r="N1" s="1113"/>
      <c r="O1" s="1113"/>
      <c r="P1" s="1113"/>
      <c r="Q1" s="1113"/>
      <c r="R1" s="1113"/>
      <c r="S1" s="1113"/>
      <c r="T1" s="1113"/>
      <c r="U1" s="1113"/>
      <c r="V1" s="1113"/>
      <c r="W1" s="1113"/>
    </row>
    <row r="2" spans="1:26">
      <c r="A2" s="1112"/>
      <c r="B2" s="1112"/>
      <c r="C2" s="1113"/>
      <c r="D2" s="1113"/>
      <c r="E2" s="1113"/>
      <c r="F2" s="1113"/>
      <c r="G2" s="1113"/>
      <c r="H2" s="1113"/>
      <c r="I2" s="1113"/>
      <c r="J2" s="1113"/>
      <c r="K2" s="1117"/>
      <c r="L2" s="1113"/>
      <c r="M2" s="1113"/>
      <c r="N2" s="1113"/>
      <c r="O2" s="1113"/>
      <c r="P2" s="1113"/>
      <c r="Q2" s="1113"/>
      <c r="R2" s="1113"/>
      <c r="S2" s="1113"/>
      <c r="T2" s="1113"/>
      <c r="U2" s="1113"/>
      <c r="V2" s="1113"/>
      <c r="W2" s="1113"/>
    </row>
    <row r="3" spans="1:26">
      <c r="A3" s="1118"/>
      <c r="B3" s="1118"/>
      <c r="C3" s="1119" t="s">
        <v>205</v>
      </c>
      <c r="D3" s="1119" t="s">
        <v>206</v>
      </c>
      <c r="E3" s="1120" t="s">
        <v>207</v>
      </c>
      <c r="F3" s="1119" t="s">
        <v>208</v>
      </c>
      <c r="G3" s="1120" t="s">
        <v>209</v>
      </c>
      <c r="H3" s="1119" t="s">
        <v>207</v>
      </c>
      <c r="I3" s="1119" t="s">
        <v>208</v>
      </c>
      <c r="J3" s="1119" t="s">
        <v>210</v>
      </c>
      <c r="K3" s="1121" t="s">
        <v>211</v>
      </c>
      <c r="L3" s="1119" t="s">
        <v>212</v>
      </c>
      <c r="M3" s="1119" t="s">
        <v>213</v>
      </c>
      <c r="N3" s="1120" t="s">
        <v>214</v>
      </c>
      <c r="O3" s="1120" t="s">
        <v>270</v>
      </c>
      <c r="P3" s="1120" t="s">
        <v>226</v>
      </c>
      <c r="Q3" s="1120" t="s">
        <v>209</v>
      </c>
      <c r="R3" s="1120" t="s">
        <v>211</v>
      </c>
      <c r="S3" s="1120" t="s">
        <v>209</v>
      </c>
      <c r="T3" s="1119" t="s">
        <v>215</v>
      </c>
      <c r="U3" s="1120" t="s">
        <v>216</v>
      </c>
      <c r="V3" s="1120" t="s">
        <v>217</v>
      </c>
      <c r="W3" s="1120" t="s">
        <v>100</v>
      </c>
    </row>
    <row r="4" spans="1:26">
      <c r="A4" s="1122" t="s">
        <v>218</v>
      </c>
      <c r="B4" s="1122"/>
      <c r="C4" s="1123" t="s">
        <v>219</v>
      </c>
      <c r="D4" s="1124" t="s">
        <v>220</v>
      </c>
      <c r="E4" s="1123" t="s">
        <v>760</v>
      </c>
      <c r="F4" s="1123"/>
      <c r="G4" s="1123" t="s">
        <v>221</v>
      </c>
      <c r="H4" s="1123" t="s">
        <v>222</v>
      </c>
      <c r="I4" s="1123" t="s">
        <v>222</v>
      </c>
      <c r="J4" s="1123"/>
      <c r="K4" s="1125" t="s">
        <v>223</v>
      </c>
      <c r="L4" s="1124" t="s">
        <v>224</v>
      </c>
      <c r="M4" s="1123" t="s">
        <v>225</v>
      </c>
      <c r="N4" s="1123"/>
      <c r="O4" s="1123"/>
      <c r="P4" s="1123"/>
      <c r="Q4" s="1123" t="s">
        <v>227</v>
      </c>
      <c r="R4" s="1124" t="s">
        <v>228</v>
      </c>
      <c r="S4" s="1123" t="s">
        <v>229</v>
      </c>
      <c r="T4" s="1123" t="s">
        <v>230</v>
      </c>
      <c r="U4" s="1123"/>
      <c r="V4" s="1123" t="s">
        <v>231</v>
      </c>
      <c r="W4" s="1123" t="s">
        <v>232</v>
      </c>
    </row>
    <row r="5" spans="1:26">
      <c r="A5" s="1126"/>
      <c r="B5" s="1126"/>
      <c r="C5" s="1127"/>
      <c r="D5" s="1127"/>
      <c r="E5" s="1127"/>
      <c r="F5" s="1127"/>
      <c r="G5" s="1127"/>
      <c r="H5" s="1127"/>
      <c r="I5" s="1127"/>
      <c r="J5" s="1127"/>
      <c r="K5" s="1128"/>
      <c r="L5" s="1127" t="s">
        <v>229</v>
      </c>
      <c r="M5" s="1127"/>
      <c r="N5" s="1127"/>
      <c r="O5" s="1127"/>
      <c r="P5" s="1127"/>
      <c r="Q5" s="1127"/>
      <c r="R5" s="1127"/>
      <c r="S5" s="1127"/>
      <c r="T5" s="1127"/>
      <c r="U5" s="1127"/>
      <c r="V5" s="1127"/>
      <c r="W5" s="1127"/>
    </row>
    <row r="6" spans="1:26">
      <c r="A6" s="1129"/>
      <c r="B6" s="1129"/>
      <c r="C6" s="1113"/>
      <c r="D6" s="1113"/>
      <c r="E6" s="1113"/>
      <c r="F6" s="1113"/>
      <c r="G6" s="1113"/>
      <c r="H6" s="1113"/>
      <c r="I6" s="1113"/>
      <c r="J6" s="1113"/>
      <c r="K6" s="1117"/>
      <c r="L6" s="1113"/>
      <c r="M6" s="1113"/>
      <c r="N6" s="1113"/>
      <c r="O6" s="1113"/>
      <c r="P6" s="1113"/>
      <c r="Q6" s="1113"/>
      <c r="R6" s="1113"/>
      <c r="S6" s="1113"/>
      <c r="T6" s="1113"/>
      <c r="U6" s="1113"/>
      <c r="V6" s="1113"/>
      <c r="W6" s="1117"/>
    </row>
    <row r="7" spans="1:26">
      <c r="A7" s="1130" t="s">
        <v>233</v>
      </c>
      <c r="B7" s="1129" t="s">
        <v>234</v>
      </c>
      <c r="C7" s="1131">
        <v>35166.124775734686</v>
      </c>
      <c r="D7" s="1131">
        <v>24.622838898000001</v>
      </c>
      <c r="E7" s="1131">
        <v>27879.491590660633</v>
      </c>
      <c r="F7" s="1131">
        <v>67.144788000000005</v>
      </c>
      <c r="G7" s="1131">
        <v>68.841805959608195</v>
      </c>
      <c r="H7" s="1131">
        <v>0.19949999999999998</v>
      </c>
      <c r="I7" s="1131">
        <v>2.1038940000000004</v>
      </c>
      <c r="J7" s="1131">
        <v>0</v>
      </c>
      <c r="K7" s="1132">
        <v>0</v>
      </c>
      <c r="L7" s="1133">
        <f>SUM(C7:K7)</f>
        <v>63208.529193252929</v>
      </c>
      <c r="M7" s="1131">
        <v>318.46547426000001</v>
      </c>
      <c r="N7" s="1131">
        <v>0</v>
      </c>
      <c r="O7" s="1131">
        <v>0</v>
      </c>
      <c r="P7" s="1131">
        <v>0</v>
      </c>
      <c r="Q7" s="1131">
        <v>0</v>
      </c>
      <c r="R7" s="1131">
        <v>0</v>
      </c>
      <c r="S7" s="1131">
        <v>223.2994833275786</v>
      </c>
      <c r="T7" s="1131">
        <v>0</v>
      </c>
      <c r="U7" s="1131">
        <v>0</v>
      </c>
      <c r="V7" s="1131">
        <v>0</v>
      </c>
      <c r="W7" s="1134">
        <f>SUM(L7:V7)</f>
        <v>63750.294150840513</v>
      </c>
      <c r="Y7" s="1125"/>
    </row>
    <row r="8" spans="1:26">
      <c r="A8" s="1129"/>
      <c r="B8" s="1129" t="s">
        <v>236</v>
      </c>
      <c r="C8" s="1131">
        <v>466.96411221599993</v>
      </c>
      <c r="D8" s="1131">
        <v>0</v>
      </c>
      <c r="E8" s="1131">
        <v>0</v>
      </c>
      <c r="F8" s="1131">
        <v>0</v>
      </c>
      <c r="G8" s="1131">
        <v>0</v>
      </c>
      <c r="H8" s="1131">
        <v>0</v>
      </c>
      <c r="I8" s="1131">
        <v>0</v>
      </c>
      <c r="J8" s="1131">
        <v>0</v>
      </c>
      <c r="K8" s="1132">
        <v>0</v>
      </c>
      <c r="L8" s="1133">
        <f>SUM(C8:K8)</f>
        <v>466.96411221599993</v>
      </c>
      <c r="M8" s="1131">
        <v>44.740564320000004</v>
      </c>
      <c r="N8" s="1131">
        <v>0</v>
      </c>
      <c r="O8" s="1131">
        <v>0</v>
      </c>
      <c r="P8" s="1131">
        <v>0</v>
      </c>
      <c r="Q8" s="1131">
        <v>0</v>
      </c>
      <c r="R8" s="1131">
        <v>0</v>
      </c>
      <c r="S8" s="1131">
        <v>0</v>
      </c>
      <c r="T8" s="1131">
        <v>0</v>
      </c>
      <c r="U8" s="1131">
        <v>0</v>
      </c>
      <c r="V8" s="1131">
        <v>0</v>
      </c>
      <c r="W8" s="1134">
        <f>SUM(L8:V8)</f>
        <v>511.70467653599997</v>
      </c>
      <c r="Y8" s="1125"/>
    </row>
    <row r="9" spans="1:26">
      <c r="A9" s="1129"/>
      <c r="B9" s="1129" t="s">
        <v>237</v>
      </c>
      <c r="C9" s="1131">
        <v>3394.1858877259201</v>
      </c>
      <c r="D9" s="1131">
        <v>10654.239474941998</v>
      </c>
      <c r="E9" s="1131">
        <v>39.292781755360004</v>
      </c>
      <c r="F9" s="1131">
        <v>1.7082900000000001</v>
      </c>
      <c r="G9" s="1131">
        <v>6.6814603883395985E-3</v>
      </c>
      <c r="H9" s="1131">
        <v>0</v>
      </c>
      <c r="I9" s="1131">
        <v>1.7532450000000002</v>
      </c>
      <c r="J9" s="1131">
        <v>0</v>
      </c>
      <c r="K9" s="1132">
        <v>0</v>
      </c>
      <c r="L9" s="1133">
        <f>SUM(C9:K9)</f>
        <v>14091.186360883667</v>
      </c>
      <c r="M9" s="1131">
        <v>0</v>
      </c>
      <c r="N9" s="1131">
        <v>0</v>
      </c>
      <c r="O9" s="1131">
        <v>0</v>
      </c>
      <c r="P9" s="1131">
        <v>0</v>
      </c>
      <c r="Q9" s="1131">
        <v>0</v>
      </c>
      <c r="R9" s="1131">
        <v>0</v>
      </c>
      <c r="S9" s="1131">
        <v>0</v>
      </c>
      <c r="T9" s="1131">
        <v>0</v>
      </c>
      <c r="U9" s="1131">
        <v>0</v>
      </c>
      <c r="V9" s="1131">
        <v>0</v>
      </c>
      <c r="W9" s="1134">
        <f>SUM(L9:V9)</f>
        <v>14091.186360883667</v>
      </c>
      <c r="Y9" s="1125"/>
    </row>
    <row r="10" spans="1:26">
      <c r="A10" s="1129"/>
      <c r="B10" s="1129" t="s">
        <v>238</v>
      </c>
      <c r="C10" s="1131">
        <v>6.6014759999999999</v>
      </c>
      <c r="D10" s="1131">
        <v>0</v>
      </c>
      <c r="E10" s="1131">
        <v>0.35974399999999995</v>
      </c>
      <c r="F10" s="1131">
        <v>0</v>
      </c>
      <c r="G10" s="1131">
        <v>0</v>
      </c>
      <c r="H10" s="1131">
        <v>56.067479999999996</v>
      </c>
      <c r="I10" s="1131">
        <v>7750.446298285161</v>
      </c>
      <c r="J10" s="1131">
        <v>0</v>
      </c>
      <c r="K10" s="1132">
        <v>0</v>
      </c>
      <c r="L10" s="1133">
        <f>SUM(C10:K10)</f>
        <v>7813.4749982851608</v>
      </c>
      <c r="M10" s="1131">
        <v>0</v>
      </c>
      <c r="N10" s="1131">
        <v>0</v>
      </c>
      <c r="O10" s="1131">
        <v>0</v>
      </c>
      <c r="P10" s="1131">
        <v>0</v>
      </c>
      <c r="Q10" s="1131">
        <v>0</v>
      </c>
      <c r="R10" s="1131">
        <v>0</v>
      </c>
      <c r="S10" s="1131">
        <v>0</v>
      </c>
      <c r="T10" s="1131">
        <v>0</v>
      </c>
      <c r="U10" s="1131">
        <v>0</v>
      </c>
      <c r="V10" s="1131">
        <v>0</v>
      </c>
      <c r="W10" s="1134">
        <f>SUM(L10:V10)</f>
        <v>7813.4749982851608</v>
      </c>
      <c r="Y10" s="1125"/>
    </row>
    <row r="11" spans="1:26">
      <c r="A11" s="1129"/>
      <c r="B11" s="1129"/>
      <c r="C11" s="1113"/>
      <c r="D11" s="1113"/>
      <c r="E11" s="1113"/>
      <c r="F11" s="1113"/>
      <c r="G11" s="1113"/>
      <c r="H11" s="1113"/>
      <c r="I11" s="1113"/>
      <c r="J11" s="1113"/>
      <c r="K11" s="1117"/>
      <c r="L11" s="1117"/>
      <c r="M11" s="1113"/>
      <c r="N11" s="1113"/>
      <c r="O11" s="1113"/>
      <c r="P11" s="1113"/>
      <c r="Q11" s="1113"/>
      <c r="R11" s="1113"/>
      <c r="S11" s="1113"/>
      <c r="T11" s="1113"/>
      <c r="U11" s="1113"/>
      <c r="V11" s="1113"/>
      <c r="W11" s="1117"/>
      <c r="Y11" s="1125"/>
    </row>
    <row r="12" spans="1:26">
      <c r="A12" s="1129" t="s">
        <v>239</v>
      </c>
      <c r="B12" s="1129"/>
      <c r="C12" s="1135">
        <f>SUM(C7:C10)</f>
        <v>39033.876251676615</v>
      </c>
      <c r="D12" s="1135">
        <f t="shared" ref="D12:W12" si="0">SUM(D7:D10)</f>
        <v>10678.862313839998</v>
      </c>
      <c r="E12" s="1135">
        <f>SUM(E7:E10)</f>
        <v>27919.144116415995</v>
      </c>
      <c r="F12" s="1135">
        <f t="shared" si="0"/>
        <v>68.853078000000011</v>
      </c>
      <c r="G12" s="1135">
        <f t="shared" si="0"/>
        <v>68.84848741999653</v>
      </c>
      <c r="H12" s="1135">
        <f t="shared" si="0"/>
        <v>56.266979999999997</v>
      </c>
      <c r="I12" s="1135">
        <f t="shared" si="0"/>
        <v>7754.3034372851607</v>
      </c>
      <c r="J12" s="1135">
        <f t="shared" si="0"/>
        <v>0</v>
      </c>
      <c r="K12" s="1136">
        <f t="shared" si="0"/>
        <v>0</v>
      </c>
      <c r="L12" s="1135">
        <f t="shared" si="0"/>
        <v>85580.154664637768</v>
      </c>
      <c r="M12" s="1135">
        <f t="shared" si="0"/>
        <v>363.20603858000004</v>
      </c>
      <c r="N12" s="1135">
        <f t="shared" si="0"/>
        <v>0</v>
      </c>
      <c r="O12" s="1135">
        <f t="shared" si="0"/>
        <v>0</v>
      </c>
      <c r="P12" s="1135">
        <f>SUM(P7:P10)</f>
        <v>0</v>
      </c>
      <c r="Q12" s="1135">
        <f t="shared" si="0"/>
        <v>0</v>
      </c>
      <c r="R12" s="1135">
        <f>SUM(R7:R10)</f>
        <v>0</v>
      </c>
      <c r="S12" s="1135">
        <f t="shared" si="0"/>
        <v>223.2994833275786</v>
      </c>
      <c r="T12" s="1135">
        <f t="shared" si="0"/>
        <v>0</v>
      </c>
      <c r="U12" s="1135">
        <f t="shared" si="0"/>
        <v>0</v>
      </c>
      <c r="V12" s="1135">
        <f>SUM(V7:V10)</f>
        <v>0</v>
      </c>
      <c r="W12" s="1135">
        <f t="shared" si="0"/>
        <v>86166.660186545341</v>
      </c>
      <c r="Y12" s="1138"/>
      <c r="Z12" s="54"/>
    </row>
    <row r="13" spans="1:26">
      <c r="A13" s="1129"/>
      <c r="B13" s="1129"/>
      <c r="C13" s="1113"/>
      <c r="D13" s="1113"/>
      <c r="E13" s="1113"/>
      <c r="F13" s="1113"/>
      <c r="G13" s="1113"/>
      <c r="H13" s="1113"/>
      <c r="I13" s="1113"/>
      <c r="J13" s="1113"/>
      <c r="K13" s="1117"/>
      <c r="L13" s="1113"/>
      <c r="M13" s="1113"/>
      <c r="N13" s="1113"/>
      <c r="O13" s="1113"/>
      <c r="P13" s="1113"/>
      <c r="Q13" s="1113"/>
      <c r="R13" s="1113"/>
      <c r="S13" s="1113"/>
      <c r="T13" s="1113"/>
      <c r="U13" s="1113"/>
      <c r="V13" s="1113"/>
      <c r="W13" s="1113"/>
      <c r="Y13" s="1125"/>
    </row>
    <row r="14" spans="1:26">
      <c r="A14" s="1130" t="s">
        <v>240</v>
      </c>
      <c r="B14" s="1129" t="s">
        <v>241</v>
      </c>
      <c r="C14" s="1131">
        <v>10693.109635168652</v>
      </c>
      <c r="D14" s="1131">
        <v>1662.3359152050004</v>
      </c>
      <c r="E14" s="1131">
        <v>0</v>
      </c>
      <c r="F14" s="1131">
        <v>81.085378455000011</v>
      </c>
      <c r="G14" s="1131">
        <v>48.976681143500002</v>
      </c>
      <c r="H14" s="1131">
        <v>0</v>
      </c>
      <c r="I14" s="1131">
        <v>0</v>
      </c>
      <c r="J14" s="1131">
        <v>0</v>
      </c>
      <c r="K14" s="1132">
        <v>0</v>
      </c>
      <c r="L14" s="1133">
        <f>SUM(C14:K14)</f>
        <v>12485.507609972152</v>
      </c>
      <c r="M14" s="1131">
        <v>15948.367459527688</v>
      </c>
      <c r="N14" s="1131">
        <v>0</v>
      </c>
      <c r="O14" s="1131">
        <v>54.206474</v>
      </c>
      <c r="P14" s="1131">
        <v>0</v>
      </c>
      <c r="Q14" s="1131">
        <v>0</v>
      </c>
      <c r="R14" s="1131">
        <v>0</v>
      </c>
      <c r="S14" s="1131">
        <v>438.10410974911395</v>
      </c>
      <c r="T14" s="1131">
        <v>0</v>
      </c>
      <c r="U14" s="1131">
        <v>0</v>
      </c>
      <c r="V14" s="1131">
        <v>0</v>
      </c>
      <c r="W14" s="1134">
        <f>SUM(L14:V14)</f>
        <v>28926.185653248951</v>
      </c>
      <c r="Y14" s="1125"/>
    </row>
    <row r="15" spans="1:26">
      <c r="A15" s="1130" t="s">
        <v>242</v>
      </c>
      <c r="B15" s="1129" t="s">
        <v>243</v>
      </c>
      <c r="C15" s="1131">
        <v>316.40389199999998</v>
      </c>
      <c r="D15" s="1131">
        <v>0</v>
      </c>
      <c r="E15" s="1131">
        <v>0</v>
      </c>
      <c r="F15" s="1131">
        <v>0</v>
      </c>
      <c r="G15" s="1131">
        <v>0</v>
      </c>
      <c r="H15" s="1131">
        <v>0</v>
      </c>
      <c r="I15" s="1131">
        <v>0</v>
      </c>
      <c r="J15" s="1131">
        <v>0</v>
      </c>
      <c r="K15" s="1132">
        <v>0</v>
      </c>
      <c r="L15" s="1133">
        <f t="shared" ref="L15:L24" si="1">SUM(C15:K15)</f>
        <v>316.40389199999998</v>
      </c>
      <c r="M15" s="1131">
        <v>329.76289350000008</v>
      </c>
      <c r="N15" s="1131">
        <v>0</v>
      </c>
      <c r="O15" s="1131">
        <v>0</v>
      </c>
      <c r="P15" s="1131">
        <v>0</v>
      </c>
      <c r="Q15" s="1131">
        <v>0</v>
      </c>
      <c r="R15" s="1131">
        <v>0</v>
      </c>
      <c r="S15" s="1131">
        <v>136.24364700901799</v>
      </c>
      <c r="T15" s="1131">
        <v>0</v>
      </c>
      <c r="U15" s="1131">
        <v>0</v>
      </c>
      <c r="V15" s="1131">
        <v>0</v>
      </c>
      <c r="W15" s="1134">
        <f t="shared" ref="W15:W24" si="2">SUM(L15:V15)</f>
        <v>782.41043250901805</v>
      </c>
      <c r="Y15" s="1125"/>
    </row>
    <row r="16" spans="1:26">
      <c r="A16" s="1129"/>
      <c r="B16" s="1129" t="s">
        <v>244</v>
      </c>
      <c r="C16" s="1131">
        <v>59.578055375999995</v>
      </c>
      <c r="D16" s="1131">
        <v>28.828799999999998</v>
      </c>
      <c r="E16" s="1131">
        <v>0</v>
      </c>
      <c r="F16" s="1131">
        <v>0</v>
      </c>
      <c r="G16" s="1131">
        <v>1.8398728000000002</v>
      </c>
      <c r="H16" s="1131">
        <v>0</v>
      </c>
      <c r="I16" s="1131">
        <v>0</v>
      </c>
      <c r="J16" s="1131">
        <v>0</v>
      </c>
      <c r="K16" s="1132">
        <v>0</v>
      </c>
      <c r="L16" s="1133">
        <f t="shared" si="1"/>
        <v>90.246728175999991</v>
      </c>
      <c r="M16" s="1131">
        <v>377.43608104000009</v>
      </c>
      <c r="N16" s="1131">
        <v>355.02005700000001</v>
      </c>
      <c r="O16" s="1131">
        <v>0</v>
      </c>
      <c r="P16" s="1131">
        <v>0</v>
      </c>
      <c r="Q16" s="1131">
        <v>0</v>
      </c>
      <c r="R16" s="1131">
        <v>0</v>
      </c>
      <c r="S16" s="1131">
        <v>0</v>
      </c>
      <c r="T16" s="1131">
        <v>0</v>
      </c>
      <c r="U16" s="1131">
        <v>0</v>
      </c>
      <c r="V16" s="1131">
        <v>0</v>
      </c>
      <c r="W16" s="1134">
        <f t="shared" si="2"/>
        <v>822.70286621600007</v>
      </c>
      <c r="Y16" s="1125"/>
    </row>
    <row r="17" spans="1:26">
      <c r="A17" s="1129"/>
      <c r="B17" s="1129" t="s">
        <v>245</v>
      </c>
      <c r="C17" s="1131">
        <v>106.15702672760003</v>
      </c>
      <c r="D17" s="1131">
        <v>2425.8227332080005</v>
      </c>
      <c r="E17" s="1131">
        <v>0</v>
      </c>
      <c r="F17" s="1131">
        <v>4.6861092E-2</v>
      </c>
      <c r="G17" s="1131">
        <v>142.44793418876708</v>
      </c>
      <c r="H17" s="1131">
        <v>0</v>
      </c>
      <c r="I17" s="1131">
        <v>0</v>
      </c>
      <c r="J17" s="1131">
        <v>0</v>
      </c>
      <c r="K17" s="1132">
        <v>0</v>
      </c>
      <c r="L17" s="1133">
        <f t="shared" si="1"/>
        <v>2674.4745552163681</v>
      </c>
      <c r="M17" s="1131">
        <v>4464.7272588882197</v>
      </c>
      <c r="N17" s="1131">
        <v>48.447115383333333</v>
      </c>
      <c r="O17" s="1131">
        <v>0</v>
      </c>
      <c r="P17" s="1131">
        <v>0</v>
      </c>
      <c r="Q17" s="1131">
        <v>0</v>
      </c>
      <c r="R17" s="1131">
        <v>0</v>
      </c>
      <c r="S17" s="1131">
        <v>545.09446960916159</v>
      </c>
      <c r="T17" s="1131">
        <v>0</v>
      </c>
      <c r="U17" s="1131">
        <v>0</v>
      </c>
      <c r="V17" s="1131">
        <v>12161.258377890625</v>
      </c>
      <c r="W17" s="1134">
        <f t="shared" si="2"/>
        <v>19894.001776987709</v>
      </c>
      <c r="Y17" s="1125"/>
    </row>
    <row r="18" spans="1:26">
      <c r="A18" s="1129"/>
      <c r="B18" s="1129" t="s">
        <v>246</v>
      </c>
      <c r="C18" s="1131">
        <v>7.1012013240000007</v>
      </c>
      <c r="D18" s="1131">
        <v>427.61250000000001</v>
      </c>
      <c r="E18" s="1131">
        <v>0</v>
      </c>
      <c r="F18" s="1131">
        <v>0.467532</v>
      </c>
      <c r="G18" s="1131">
        <v>102.60871283606288</v>
      </c>
      <c r="H18" s="1131">
        <v>0</v>
      </c>
      <c r="I18" s="1131">
        <v>0</v>
      </c>
      <c r="J18" s="1131">
        <v>0</v>
      </c>
      <c r="K18" s="1132">
        <v>0</v>
      </c>
      <c r="L18" s="1133">
        <f t="shared" si="1"/>
        <v>537.78994616006287</v>
      </c>
      <c r="M18" s="1131">
        <v>440.73584009999985</v>
      </c>
      <c r="N18" s="1131">
        <v>0</v>
      </c>
      <c r="O18" s="1131">
        <v>2013.6256000000003</v>
      </c>
      <c r="P18" s="1131">
        <v>0</v>
      </c>
      <c r="Q18" s="1131">
        <v>709.25030508414932</v>
      </c>
      <c r="R18" s="1131">
        <v>165.60400000000001</v>
      </c>
      <c r="S18" s="1131">
        <v>0</v>
      </c>
      <c r="T18" s="1131">
        <v>0</v>
      </c>
      <c r="U18" s="1131">
        <v>0</v>
      </c>
      <c r="V18" s="1131">
        <v>0</v>
      </c>
      <c r="W18" s="1134">
        <f t="shared" si="2"/>
        <v>3867.0056913442122</v>
      </c>
      <c r="Y18" s="1125"/>
    </row>
    <row r="19" spans="1:26">
      <c r="A19" s="1129"/>
      <c r="B19" s="1129" t="s">
        <v>247</v>
      </c>
      <c r="C19" s="1131">
        <v>1.3596660000000003</v>
      </c>
      <c r="D19" s="1131">
        <v>0</v>
      </c>
      <c r="E19" s="1131">
        <v>0</v>
      </c>
      <c r="F19" s="1131">
        <v>0</v>
      </c>
      <c r="G19" s="1131">
        <v>6.6796035349999991</v>
      </c>
      <c r="H19" s="1131">
        <v>0</v>
      </c>
      <c r="I19" s="1131">
        <v>0</v>
      </c>
      <c r="J19" s="1131">
        <v>0</v>
      </c>
      <c r="K19" s="1132">
        <v>3.327</v>
      </c>
      <c r="L19" s="1133">
        <f t="shared" si="1"/>
        <v>11.366269534999999</v>
      </c>
      <c r="M19" s="1131">
        <v>378.57549933999991</v>
      </c>
      <c r="N19" s="1131">
        <v>0</v>
      </c>
      <c r="O19" s="1131">
        <v>0</v>
      </c>
      <c r="P19" s="1131">
        <v>0</v>
      </c>
      <c r="Q19" s="1131">
        <v>0</v>
      </c>
      <c r="R19" s="1131">
        <v>0</v>
      </c>
      <c r="S19" s="1131">
        <v>0.78346265910126578</v>
      </c>
      <c r="T19" s="1131">
        <v>0</v>
      </c>
      <c r="U19" s="1131">
        <v>0</v>
      </c>
      <c r="V19" s="1131">
        <v>0</v>
      </c>
      <c r="W19" s="1134">
        <f t="shared" si="2"/>
        <v>390.72523153410117</v>
      </c>
      <c r="Y19" s="1125"/>
    </row>
    <row r="20" spans="1:26">
      <c r="A20" s="1129"/>
      <c r="B20" s="1129" t="s">
        <v>248</v>
      </c>
      <c r="C20" s="1131">
        <v>102.23790012937205</v>
      </c>
      <c r="D20" s="1131">
        <v>122.510617900125</v>
      </c>
      <c r="E20" s="1131">
        <v>0</v>
      </c>
      <c r="F20" s="1131">
        <v>0</v>
      </c>
      <c r="G20" s="1131">
        <v>6.8383013791208835</v>
      </c>
      <c r="H20" s="1131">
        <v>0</v>
      </c>
      <c r="I20" s="1131">
        <v>0</v>
      </c>
      <c r="J20" s="1131">
        <v>0</v>
      </c>
      <c r="K20" s="1132">
        <v>0</v>
      </c>
      <c r="L20" s="1133">
        <f t="shared" si="1"/>
        <v>231.58681940861794</v>
      </c>
      <c r="M20" s="1131">
        <v>436.83042441696779</v>
      </c>
      <c r="N20" s="1131">
        <v>518.27007393945439</v>
      </c>
      <c r="O20" s="1131">
        <v>1908.2831640904908</v>
      </c>
      <c r="P20" s="1131">
        <v>0</v>
      </c>
      <c r="Q20" s="1131">
        <v>0</v>
      </c>
      <c r="R20" s="1131">
        <v>0</v>
      </c>
      <c r="S20" s="1131">
        <v>8.0637637800000004</v>
      </c>
      <c r="T20" s="1131">
        <v>0</v>
      </c>
      <c r="U20" s="1131">
        <v>0</v>
      </c>
      <c r="V20" s="1131">
        <v>0</v>
      </c>
      <c r="W20" s="1134">
        <f t="shared" si="2"/>
        <v>3103.0342456355311</v>
      </c>
      <c r="Y20" s="1125"/>
    </row>
    <row r="21" spans="1:26">
      <c r="A21" s="1129"/>
      <c r="B21" s="1129" t="s">
        <v>249</v>
      </c>
      <c r="C21" s="1131">
        <v>2.3274643560000001</v>
      </c>
      <c r="D21" s="1131">
        <v>0</v>
      </c>
      <c r="E21" s="1131">
        <v>0</v>
      </c>
      <c r="F21" s="1131">
        <v>0</v>
      </c>
      <c r="G21" s="1131">
        <v>2.1337799999999998</v>
      </c>
      <c r="H21" s="1131">
        <v>0</v>
      </c>
      <c r="I21" s="1131">
        <v>0</v>
      </c>
      <c r="J21" s="1131">
        <v>0</v>
      </c>
      <c r="K21" s="1132">
        <v>0</v>
      </c>
      <c r="L21" s="1133">
        <f t="shared" si="1"/>
        <v>4.4612443559999999</v>
      </c>
      <c r="M21" s="1131">
        <v>31.263082059999995</v>
      </c>
      <c r="N21" s="1131">
        <v>419.07539506000012</v>
      </c>
      <c r="O21" s="1131">
        <v>18.4151718</v>
      </c>
      <c r="P21" s="1131">
        <v>0</v>
      </c>
      <c r="Q21" s="1131">
        <v>0</v>
      </c>
      <c r="R21" s="1131">
        <v>0</v>
      </c>
      <c r="S21" s="1131">
        <v>0</v>
      </c>
      <c r="T21" s="1131">
        <v>0</v>
      </c>
      <c r="U21" s="1131">
        <v>0</v>
      </c>
      <c r="V21" s="1131">
        <v>0</v>
      </c>
      <c r="W21" s="1134">
        <f t="shared" si="2"/>
        <v>473.21489327600011</v>
      </c>
      <c r="Y21" s="1125"/>
    </row>
    <row r="22" spans="1:26">
      <c r="A22" s="1129"/>
      <c r="B22" s="1129" t="s">
        <v>250</v>
      </c>
      <c r="C22" s="1131">
        <v>653.26240702799987</v>
      </c>
      <c r="D22" s="1131">
        <v>859.85856873</v>
      </c>
      <c r="E22" s="1131">
        <v>0</v>
      </c>
      <c r="F22" s="1131">
        <v>0</v>
      </c>
      <c r="G22" s="1131">
        <v>59.2349824771443</v>
      </c>
      <c r="H22" s="1131">
        <v>0</v>
      </c>
      <c r="I22" s="1131">
        <v>0</v>
      </c>
      <c r="J22" s="1131">
        <v>0</v>
      </c>
      <c r="K22" s="1132">
        <v>0</v>
      </c>
      <c r="L22" s="1133">
        <f t="shared" si="1"/>
        <v>1572.3559582351443</v>
      </c>
      <c r="M22" s="1131">
        <v>140.13685208000004</v>
      </c>
      <c r="N22" s="1131">
        <v>59.497681939999993</v>
      </c>
      <c r="O22" s="1131">
        <v>0</v>
      </c>
      <c r="P22" s="1131">
        <v>0</v>
      </c>
      <c r="Q22" s="1131">
        <v>0</v>
      </c>
      <c r="R22" s="1131">
        <v>0</v>
      </c>
      <c r="S22" s="1131">
        <v>58.97836341</v>
      </c>
      <c r="T22" s="1131">
        <v>0</v>
      </c>
      <c r="U22" s="1131">
        <v>0</v>
      </c>
      <c r="V22" s="1131">
        <v>0</v>
      </c>
      <c r="W22" s="1134">
        <f t="shared" si="2"/>
        <v>1830.968855665144</v>
      </c>
      <c r="Y22" s="1125"/>
    </row>
    <row r="23" spans="1:26">
      <c r="A23" s="1129"/>
      <c r="B23" s="1129" t="s">
        <v>251</v>
      </c>
      <c r="C23" s="1131">
        <v>6625.2067361837408</v>
      </c>
      <c r="D23" s="1131">
        <v>1431.2953678143745</v>
      </c>
      <c r="E23" s="1131">
        <v>0</v>
      </c>
      <c r="F23" s="1131">
        <v>265.77074122200003</v>
      </c>
      <c r="G23" s="1131">
        <v>2907.7390732346539</v>
      </c>
      <c r="H23" s="1131">
        <v>0</v>
      </c>
      <c r="I23" s="1131">
        <v>0</v>
      </c>
      <c r="J23" s="1131">
        <v>0</v>
      </c>
      <c r="K23" s="1132">
        <v>0</v>
      </c>
      <c r="L23" s="1133">
        <f t="shared" si="1"/>
        <v>11230.011918454769</v>
      </c>
      <c r="M23" s="1131">
        <v>7662.6369238260759</v>
      </c>
      <c r="N23" s="1131">
        <v>757.65509086282282</v>
      </c>
      <c r="O23" s="1131">
        <v>58.658590700000005</v>
      </c>
      <c r="P23" s="1131">
        <v>0</v>
      </c>
      <c r="Q23" s="1131">
        <v>0</v>
      </c>
      <c r="R23" s="1131">
        <v>0</v>
      </c>
      <c r="S23" s="1131">
        <v>219.30858635293865</v>
      </c>
      <c r="T23" s="1131">
        <v>447.06612587687079</v>
      </c>
      <c r="U23" s="1131">
        <v>0</v>
      </c>
      <c r="V23" s="1131">
        <v>3585.8037246498125</v>
      </c>
      <c r="W23" s="1134">
        <f t="shared" si="2"/>
        <v>23961.140960723293</v>
      </c>
      <c r="Y23" s="1125"/>
    </row>
    <row r="24" spans="1:26">
      <c r="A24" s="1129"/>
      <c r="B24" s="1129" t="s">
        <v>252</v>
      </c>
      <c r="C24" s="1131">
        <v>3464.5483641553487</v>
      </c>
      <c r="D24" s="1131">
        <v>534.83216613749926</v>
      </c>
      <c r="E24" s="1131">
        <v>0</v>
      </c>
      <c r="F24" s="1131">
        <v>57.67861365000001</v>
      </c>
      <c r="G24" s="1131">
        <v>26.674001437759994</v>
      </c>
      <c r="H24" s="1131">
        <v>0</v>
      </c>
      <c r="I24" s="1131">
        <v>0</v>
      </c>
      <c r="J24" s="1131">
        <v>0</v>
      </c>
      <c r="K24" s="1132">
        <v>0</v>
      </c>
      <c r="L24" s="1133">
        <f t="shared" si="1"/>
        <v>4083.7331453806082</v>
      </c>
      <c r="M24" s="1131">
        <v>1258.7015365246677</v>
      </c>
      <c r="N24" s="1131">
        <v>0</v>
      </c>
      <c r="O24" s="1131">
        <v>31.162500000000001</v>
      </c>
      <c r="P24" s="1131">
        <v>0</v>
      </c>
      <c r="Q24" s="1131">
        <v>0</v>
      </c>
      <c r="R24" s="1131">
        <v>0</v>
      </c>
      <c r="S24" s="1131">
        <v>111.30363151</v>
      </c>
      <c r="T24" s="1131">
        <v>0</v>
      </c>
      <c r="U24" s="1131">
        <v>0</v>
      </c>
      <c r="V24" s="1131">
        <v>0</v>
      </c>
      <c r="W24" s="1134">
        <f t="shared" si="2"/>
        <v>5484.9008134152764</v>
      </c>
      <c r="Y24" s="1125"/>
    </row>
    <row r="25" spans="1:26">
      <c r="A25" s="1129"/>
      <c r="B25" s="1129"/>
      <c r="C25" s="1113"/>
      <c r="D25" s="1113"/>
      <c r="E25" s="1113"/>
      <c r="F25" s="1113"/>
      <c r="G25" s="1113"/>
      <c r="H25" s="1113"/>
      <c r="I25" s="1113"/>
      <c r="J25" s="1113"/>
      <c r="K25" s="1117"/>
      <c r="L25" s="1113"/>
      <c r="M25" s="1113"/>
      <c r="N25" s="1113"/>
      <c r="O25" s="1113"/>
      <c r="P25" s="1113"/>
      <c r="Q25" s="1113"/>
      <c r="R25" s="1113"/>
      <c r="S25" s="1113"/>
      <c r="T25" s="1113"/>
      <c r="U25" s="1113"/>
      <c r="V25" s="1113"/>
      <c r="W25" s="1113"/>
      <c r="Y25" s="1125"/>
    </row>
    <row r="26" spans="1:26">
      <c r="A26" s="1129" t="s">
        <v>253</v>
      </c>
      <c r="B26" s="1129"/>
      <c r="C26" s="1135">
        <f>SUM(C14:C24)</f>
        <v>22031.292348448711</v>
      </c>
      <c r="D26" s="1135">
        <f t="shared" ref="D26:W26" si="3">SUM(D14:D24)</f>
        <v>7493.0966689950001</v>
      </c>
      <c r="E26" s="1135">
        <f t="shared" si="3"/>
        <v>0</v>
      </c>
      <c r="F26" s="1135">
        <f t="shared" si="3"/>
        <v>405.049126419</v>
      </c>
      <c r="G26" s="1135">
        <f t="shared" si="3"/>
        <v>3305.1729430320092</v>
      </c>
      <c r="H26" s="1135">
        <f t="shared" si="3"/>
        <v>0</v>
      </c>
      <c r="I26" s="1135">
        <f t="shared" si="3"/>
        <v>0</v>
      </c>
      <c r="J26" s="1135">
        <f t="shared" si="3"/>
        <v>0</v>
      </c>
      <c r="K26" s="1136">
        <f t="shared" si="3"/>
        <v>3.327</v>
      </c>
      <c r="L26" s="1135">
        <f t="shared" si="3"/>
        <v>33237.938086894719</v>
      </c>
      <c r="M26" s="1135">
        <f t="shared" si="3"/>
        <v>31469.173851303614</v>
      </c>
      <c r="N26" s="1135">
        <f t="shared" si="3"/>
        <v>2157.9654141856108</v>
      </c>
      <c r="O26" s="1135">
        <f t="shared" si="3"/>
        <v>4084.351500590491</v>
      </c>
      <c r="P26" s="1135">
        <f>SUM(P14:P24)</f>
        <v>0</v>
      </c>
      <c r="Q26" s="1135">
        <f t="shared" si="3"/>
        <v>709.25030508414932</v>
      </c>
      <c r="R26" s="1135">
        <f>SUM(R14:R24)</f>
        <v>165.60400000000001</v>
      </c>
      <c r="S26" s="1135">
        <f t="shared" si="3"/>
        <v>1517.8800340793337</v>
      </c>
      <c r="T26" s="1135">
        <f t="shared" si="3"/>
        <v>447.06612587687079</v>
      </c>
      <c r="U26" s="1135">
        <f t="shared" si="3"/>
        <v>0</v>
      </c>
      <c r="V26" s="1135">
        <f>SUM(V14:V24)</f>
        <v>15747.062102540436</v>
      </c>
      <c r="W26" s="1135">
        <f t="shared" si="3"/>
        <v>89536.291420555252</v>
      </c>
      <c r="X26" s="54"/>
      <c r="Y26" s="1138"/>
      <c r="Z26" s="54"/>
    </row>
    <row r="27" spans="1:26">
      <c r="A27" s="1129"/>
      <c r="B27" s="1129"/>
      <c r="C27" s="1113"/>
      <c r="D27" s="1113"/>
      <c r="E27" s="1113"/>
      <c r="F27" s="1113"/>
      <c r="G27" s="1113"/>
      <c r="H27" s="1113"/>
      <c r="I27" s="1113"/>
      <c r="J27" s="1113"/>
      <c r="K27" s="1117"/>
      <c r="L27" s="1113"/>
      <c r="M27" s="1113"/>
      <c r="N27" s="1113"/>
      <c r="O27" s="1113"/>
      <c r="P27" s="1113"/>
      <c r="Q27" s="1113"/>
      <c r="R27" s="1113"/>
      <c r="S27" s="1113"/>
      <c r="T27" s="1113"/>
      <c r="U27" s="1113"/>
      <c r="V27" s="1113"/>
      <c r="W27" s="1113"/>
      <c r="Y27" s="1125"/>
    </row>
    <row r="28" spans="1:26">
      <c r="A28" s="1130" t="s">
        <v>254</v>
      </c>
      <c r="B28" s="1129" t="s">
        <v>255</v>
      </c>
      <c r="C28" s="1131">
        <v>0</v>
      </c>
      <c r="D28" s="1131">
        <v>0</v>
      </c>
      <c r="E28" s="1131">
        <v>0</v>
      </c>
      <c r="F28" s="1131">
        <v>0</v>
      </c>
      <c r="G28" s="1131">
        <v>0</v>
      </c>
      <c r="H28" s="1131">
        <v>0</v>
      </c>
      <c r="I28" s="1131">
        <v>0</v>
      </c>
      <c r="J28" s="1131">
        <v>0</v>
      </c>
      <c r="K28" s="1132">
        <v>0</v>
      </c>
      <c r="L28" s="1133">
        <f>SUM(C28:K28)</f>
        <v>0</v>
      </c>
      <c r="M28" s="1131">
        <v>0</v>
      </c>
      <c r="N28" s="1131">
        <v>0</v>
      </c>
      <c r="O28" s="1131">
        <v>0</v>
      </c>
      <c r="P28" s="1131">
        <v>0</v>
      </c>
      <c r="Q28" s="1131">
        <v>0</v>
      </c>
      <c r="R28" s="1131">
        <v>0</v>
      </c>
      <c r="S28" s="1131">
        <v>0</v>
      </c>
      <c r="T28" s="1131">
        <v>0</v>
      </c>
      <c r="U28" s="1131">
        <v>0</v>
      </c>
      <c r="V28" s="1131">
        <v>0</v>
      </c>
      <c r="W28" s="1133">
        <f>SUM(L28:V28)</f>
        <v>0</v>
      </c>
      <c r="Y28" s="1125"/>
    </row>
    <row r="29" spans="1:26">
      <c r="A29" s="1130" t="s">
        <v>256</v>
      </c>
      <c r="B29" s="1129" t="s">
        <v>257</v>
      </c>
      <c r="C29" s="1131">
        <v>1341.28017830248</v>
      </c>
      <c r="D29" s="1131">
        <v>432.87600377700005</v>
      </c>
      <c r="E29" s="1131">
        <v>0</v>
      </c>
      <c r="F29" s="1131">
        <v>10.009680299999999</v>
      </c>
      <c r="G29" s="1131">
        <v>1386.7708623178949</v>
      </c>
      <c r="H29" s="1131">
        <v>0</v>
      </c>
      <c r="I29" s="1131">
        <v>0</v>
      </c>
      <c r="J29" s="1131">
        <v>0</v>
      </c>
      <c r="K29" s="1132">
        <v>0</v>
      </c>
      <c r="L29" s="1133">
        <f>SUM(C29:K29)</f>
        <v>3170.9367246973748</v>
      </c>
      <c r="M29" s="1131">
        <v>5492.2462279277652</v>
      </c>
      <c r="N29" s="1131">
        <v>0</v>
      </c>
      <c r="O29" s="1131">
        <v>0</v>
      </c>
      <c r="P29" s="1131">
        <v>0</v>
      </c>
      <c r="Q29" s="1131">
        <v>101.7862442775387</v>
      </c>
      <c r="R29" s="1131">
        <v>0</v>
      </c>
      <c r="S29" s="1131">
        <v>1275.5822714151934</v>
      </c>
      <c r="T29" s="1131">
        <v>0</v>
      </c>
      <c r="U29" s="1131">
        <v>0</v>
      </c>
      <c r="V29" s="1131">
        <v>0</v>
      </c>
      <c r="W29" s="1133">
        <f>SUM(L29:V29)</f>
        <v>10040.551468317872</v>
      </c>
      <c r="Y29" s="1125"/>
    </row>
    <row r="30" spans="1:26">
      <c r="A30" s="1130"/>
      <c r="B30" s="1129" t="s">
        <v>258</v>
      </c>
      <c r="C30" s="1131">
        <v>79.34589600000001</v>
      </c>
      <c r="D30" s="1131">
        <v>48.111432631499994</v>
      </c>
      <c r="E30" s="1131">
        <v>0</v>
      </c>
      <c r="F30" s="1131">
        <v>21.028959990000001</v>
      </c>
      <c r="G30" s="1131">
        <v>94.062211367820865</v>
      </c>
      <c r="H30" s="1131">
        <v>0</v>
      </c>
      <c r="I30" s="1131">
        <v>0</v>
      </c>
      <c r="J30" s="1131">
        <v>0</v>
      </c>
      <c r="K30" s="1132">
        <v>0</v>
      </c>
      <c r="L30" s="1133">
        <f>SUM(C30:K30)</f>
        <v>242.54849998932087</v>
      </c>
      <c r="M30" s="1131">
        <v>1352.3294850723896</v>
      </c>
      <c r="N30" s="1131">
        <v>27.349600000000002</v>
      </c>
      <c r="O30" s="1131">
        <v>0</v>
      </c>
      <c r="P30" s="1131">
        <v>0</v>
      </c>
      <c r="Q30" s="1131">
        <v>19.560615695999999</v>
      </c>
      <c r="R30" s="1131">
        <v>0</v>
      </c>
      <c r="S30" s="1131">
        <v>187.50339734000002</v>
      </c>
      <c r="T30" s="1131">
        <v>0</v>
      </c>
      <c r="U30" s="1131">
        <v>0</v>
      </c>
      <c r="V30" s="1131">
        <v>0</v>
      </c>
      <c r="W30" s="1133">
        <f>SUM(L30:V30)</f>
        <v>1829.2915980977104</v>
      </c>
      <c r="Y30" s="1125"/>
    </row>
    <row r="31" spans="1:26">
      <c r="A31" s="1130"/>
      <c r="B31" s="1129" t="s">
        <v>259</v>
      </c>
      <c r="C31" s="1131">
        <v>63.550250815999995</v>
      </c>
      <c r="D31" s="1131">
        <v>0</v>
      </c>
      <c r="E31" s="1131">
        <v>0</v>
      </c>
      <c r="F31" s="1131">
        <v>840.85369461000005</v>
      </c>
      <c r="G31" s="1131">
        <v>9326.3999703984337</v>
      </c>
      <c r="H31" s="1131">
        <v>0</v>
      </c>
      <c r="I31" s="1131">
        <v>0</v>
      </c>
      <c r="J31" s="1131">
        <v>0</v>
      </c>
      <c r="K31" s="1132">
        <v>0</v>
      </c>
      <c r="L31" s="1133">
        <f>SUM(C31:K31)</f>
        <v>10230.803915824434</v>
      </c>
      <c r="M31" s="1131">
        <v>7655.2530852188429</v>
      </c>
      <c r="N31" s="1131">
        <v>0.10199999999999999</v>
      </c>
      <c r="O31" s="1131">
        <v>0</v>
      </c>
      <c r="P31" s="1131">
        <v>0</v>
      </c>
      <c r="Q31" s="1131">
        <v>112.81457026000778</v>
      </c>
      <c r="R31" s="1131">
        <v>0</v>
      </c>
      <c r="S31" s="1131">
        <v>4099.2278082294442</v>
      </c>
      <c r="T31" s="1131">
        <v>0</v>
      </c>
      <c r="U31" s="1131">
        <v>0</v>
      </c>
      <c r="V31" s="1131">
        <v>29652.742708307094</v>
      </c>
      <c r="W31" s="1133">
        <f>SUM(L31:V31)</f>
        <v>51750.944087839824</v>
      </c>
      <c r="Y31" s="1125"/>
    </row>
    <row r="32" spans="1:26">
      <c r="A32" s="1129"/>
      <c r="B32" s="1129"/>
      <c r="C32" s="1113"/>
      <c r="D32" s="1113"/>
      <c r="E32" s="1113"/>
      <c r="F32" s="1113"/>
      <c r="G32" s="1113"/>
      <c r="H32" s="1113"/>
      <c r="I32" s="1113"/>
      <c r="J32" s="1113"/>
      <c r="K32" s="1117"/>
      <c r="L32" s="1113"/>
      <c r="M32" s="1113"/>
      <c r="N32" s="1113"/>
      <c r="O32" s="1113"/>
      <c r="P32" s="1113"/>
      <c r="Q32" s="1113"/>
      <c r="R32" s="1113"/>
      <c r="S32" s="1113"/>
      <c r="T32" s="1113"/>
      <c r="U32" s="1113"/>
      <c r="V32" s="1113"/>
      <c r="W32" s="1113"/>
      <c r="Y32" s="1125"/>
    </row>
    <row r="33" spans="1:26">
      <c r="A33" s="1129" t="s">
        <v>260</v>
      </c>
      <c r="B33" s="1129"/>
      <c r="C33" s="1135">
        <f>SUM(C28:C31)</f>
        <v>1484.17632511848</v>
      </c>
      <c r="D33" s="1135">
        <f t="shared" ref="D33:W33" si="4">SUM(D28:D31)</f>
        <v>480.98743640850006</v>
      </c>
      <c r="E33" s="1135">
        <f t="shared" si="4"/>
        <v>0</v>
      </c>
      <c r="F33" s="1135">
        <f t="shared" si="4"/>
        <v>871.89233490000004</v>
      </c>
      <c r="G33" s="1135">
        <f t="shared" si="4"/>
        <v>10807.233044084149</v>
      </c>
      <c r="H33" s="1135">
        <f t="shared" si="4"/>
        <v>0</v>
      </c>
      <c r="I33" s="1135">
        <f t="shared" si="4"/>
        <v>0</v>
      </c>
      <c r="J33" s="1135">
        <f t="shared" si="4"/>
        <v>0</v>
      </c>
      <c r="K33" s="1136">
        <f t="shared" si="4"/>
        <v>0</v>
      </c>
      <c r="L33" s="1135">
        <f t="shared" si="4"/>
        <v>13644.28914051113</v>
      </c>
      <c r="M33" s="1135">
        <f t="shared" si="4"/>
        <v>14499.828798218998</v>
      </c>
      <c r="N33" s="1135">
        <f t="shared" si="4"/>
        <v>27.451600000000003</v>
      </c>
      <c r="O33" s="1135">
        <f t="shared" si="4"/>
        <v>0</v>
      </c>
      <c r="P33" s="1135">
        <f>SUM(P28:P31)</f>
        <v>0</v>
      </c>
      <c r="Q33" s="1135">
        <f t="shared" si="4"/>
        <v>234.16143023354647</v>
      </c>
      <c r="R33" s="1135">
        <f>SUM(R28:R31)</f>
        <v>0</v>
      </c>
      <c r="S33" s="1135">
        <f t="shared" si="4"/>
        <v>5562.3134769846374</v>
      </c>
      <c r="T33" s="1135">
        <f t="shared" si="4"/>
        <v>0</v>
      </c>
      <c r="U33" s="1135">
        <f t="shared" si="4"/>
        <v>0</v>
      </c>
      <c r="V33" s="1135">
        <f>SUM(V28:V31)</f>
        <v>29652.742708307094</v>
      </c>
      <c r="W33" s="1135">
        <f t="shared" si="4"/>
        <v>63620.787154255406</v>
      </c>
      <c r="Y33" s="1138"/>
      <c r="Z33" s="54"/>
    </row>
    <row r="34" spans="1:26" s="358" customFormat="1">
      <c r="A34" s="1137"/>
      <c r="B34" s="1137"/>
      <c r="C34" s="1138"/>
      <c r="D34" s="1138"/>
      <c r="E34" s="1138"/>
      <c r="F34" s="1138"/>
      <c r="G34" s="1138"/>
      <c r="H34" s="1138"/>
      <c r="I34" s="1138"/>
      <c r="J34" s="1138"/>
      <c r="K34" s="1138"/>
      <c r="L34" s="1138"/>
      <c r="M34" s="1138"/>
      <c r="N34" s="1138"/>
      <c r="O34" s="1138"/>
      <c r="P34" s="1138"/>
      <c r="Q34" s="1138"/>
      <c r="R34" s="1138"/>
      <c r="S34" s="1138"/>
      <c r="T34" s="1138"/>
      <c r="U34" s="1138"/>
      <c r="V34" s="1138"/>
      <c r="W34" s="1138"/>
      <c r="Y34" s="1138"/>
    </row>
    <row r="35" spans="1:26" s="358" customFormat="1">
      <c r="A35" s="1130" t="s">
        <v>652</v>
      </c>
      <c r="B35" s="1137"/>
      <c r="C35" s="1138"/>
      <c r="D35" s="1138"/>
      <c r="E35" s="1138"/>
      <c r="F35" s="1138"/>
      <c r="G35" s="1138"/>
      <c r="H35" s="1138"/>
      <c r="I35" s="1138"/>
      <c r="J35" s="1138"/>
      <c r="K35" s="1138"/>
      <c r="L35" s="1138"/>
      <c r="M35" s="1138"/>
      <c r="N35" s="1138"/>
      <c r="O35" s="1138"/>
      <c r="P35" s="1138"/>
      <c r="Q35" s="1138"/>
      <c r="R35" s="1138"/>
      <c r="S35" s="1138"/>
      <c r="T35" s="1138"/>
      <c r="U35" s="1138"/>
      <c r="V35" s="1138"/>
      <c r="W35" s="1138"/>
      <c r="Y35" s="1138"/>
    </row>
    <row r="36" spans="1:26" s="358" customFormat="1">
      <c r="A36" s="1137"/>
      <c r="B36" s="1137" t="s">
        <v>263</v>
      </c>
      <c r="C36" s="1132">
        <v>0</v>
      </c>
      <c r="D36" s="1132">
        <v>0</v>
      </c>
      <c r="E36" s="1132">
        <v>0</v>
      </c>
      <c r="F36" s="1132">
        <v>0</v>
      </c>
      <c r="G36" s="1132">
        <v>0</v>
      </c>
      <c r="H36" s="1132">
        <v>0</v>
      </c>
      <c r="I36" s="1132">
        <v>0</v>
      </c>
      <c r="J36" s="1132">
        <v>0</v>
      </c>
      <c r="K36" s="1132">
        <v>0</v>
      </c>
      <c r="L36" s="1133">
        <f t="shared" ref="L36:L42" si="5">SUM(C36:K36)</f>
        <v>0</v>
      </c>
      <c r="M36" s="1131">
        <v>0</v>
      </c>
      <c r="N36" s="1131">
        <v>0</v>
      </c>
      <c r="O36" s="1131">
        <v>0</v>
      </c>
      <c r="P36" s="1131">
        <v>0</v>
      </c>
      <c r="Q36" s="1131">
        <v>0</v>
      </c>
      <c r="R36" s="1131">
        <v>0</v>
      </c>
      <c r="S36" s="1131">
        <v>0</v>
      </c>
      <c r="T36" s="1131">
        <v>0</v>
      </c>
      <c r="U36" s="1131">
        <v>0</v>
      </c>
      <c r="V36" s="1131">
        <v>0</v>
      </c>
      <c r="W36" s="1133">
        <f t="shared" ref="W36:W42" si="6">SUM(L36:V36)</f>
        <v>0</v>
      </c>
      <c r="Y36" s="1125"/>
    </row>
    <row r="37" spans="1:26" s="358" customFormat="1">
      <c r="A37" s="1137"/>
      <c r="B37" s="1137" t="s">
        <v>282</v>
      </c>
      <c r="C37" s="1132">
        <v>0</v>
      </c>
      <c r="D37" s="1132">
        <v>0</v>
      </c>
      <c r="E37" s="1132">
        <v>0</v>
      </c>
      <c r="F37" s="1132">
        <v>0</v>
      </c>
      <c r="G37" s="1132">
        <v>0</v>
      </c>
      <c r="H37" s="1132">
        <v>0</v>
      </c>
      <c r="I37" s="1132">
        <v>0</v>
      </c>
      <c r="J37" s="1132">
        <v>0</v>
      </c>
      <c r="K37" s="1132">
        <v>0</v>
      </c>
      <c r="L37" s="1133">
        <f t="shared" si="5"/>
        <v>0</v>
      </c>
      <c r="M37" s="1131">
        <v>1416.3535990858934</v>
      </c>
      <c r="N37" s="1131">
        <v>0</v>
      </c>
      <c r="O37" s="1131">
        <v>0</v>
      </c>
      <c r="P37" s="1131">
        <v>0</v>
      </c>
      <c r="Q37" s="1131">
        <v>0</v>
      </c>
      <c r="R37" s="1131">
        <v>0</v>
      </c>
      <c r="S37" s="1131">
        <v>0</v>
      </c>
      <c r="T37" s="1131">
        <v>0</v>
      </c>
      <c r="U37" s="1131">
        <v>0</v>
      </c>
      <c r="V37" s="1131">
        <v>0</v>
      </c>
      <c r="W37" s="1133">
        <f t="shared" si="6"/>
        <v>1416.3535990858934</v>
      </c>
      <c r="Y37" s="1125"/>
    </row>
    <row r="38" spans="1:26" s="358" customFormat="1">
      <c r="A38" s="1137"/>
      <c r="B38" s="1137" t="s">
        <v>264</v>
      </c>
      <c r="C38" s="1132">
        <v>0</v>
      </c>
      <c r="D38" s="1132">
        <v>0</v>
      </c>
      <c r="E38" s="1132">
        <v>0</v>
      </c>
      <c r="F38" s="1132">
        <v>0</v>
      </c>
      <c r="G38" s="1132">
        <f>G74</f>
        <v>6.3192515603969994</v>
      </c>
      <c r="H38" s="1132">
        <v>0</v>
      </c>
      <c r="I38" s="1132">
        <v>0</v>
      </c>
      <c r="J38" s="1132">
        <v>0</v>
      </c>
      <c r="K38" s="1132">
        <v>0</v>
      </c>
      <c r="L38" s="1133">
        <f t="shared" si="5"/>
        <v>6.3192515603969994</v>
      </c>
      <c r="M38" s="1131">
        <v>9.9865926199999997</v>
      </c>
      <c r="N38" s="1131">
        <v>0</v>
      </c>
      <c r="O38" s="1131">
        <v>0</v>
      </c>
      <c r="P38" s="1132">
        <v>0</v>
      </c>
      <c r="Q38" s="1132">
        <v>1.7551383729671555</v>
      </c>
      <c r="R38" s="1131">
        <v>0</v>
      </c>
      <c r="S38" s="1131">
        <f>S75</f>
        <v>11.114867149777659</v>
      </c>
      <c r="T38" s="1131">
        <v>0</v>
      </c>
      <c r="U38" s="1131">
        <v>0</v>
      </c>
      <c r="V38" s="1131">
        <v>0</v>
      </c>
      <c r="W38" s="1133">
        <f t="shared" si="6"/>
        <v>29.175849703141814</v>
      </c>
      <c r="Y38" s="1125"/>
    </row>
    <row r="39" spans="1:26" s="358" customFormat="1">
      <c r="A39" s="1137"/>
      <c r="B39" s="1137" t="s">
        <v>281</v>
      </c>
      <c r="C39" s="1132">
        <v>0</v>
      </c>
      <c r="D39" s="1132">
        <v>427.61250000000001</v>
      </c>
      <c r="E39" s="1132">
        <v>0</v>
      </c>
      <c r="F39" s="1132">
        <v>0</v>
      </c>
      <c r="G39" s="1132">
        <v>0</v>
      </c>
      <c r="H39" s="1132">
        <v>0</v>
      </c>
      <c r="I39" s="1132">
        <v>0</v>
      </c>
      <c r="J39" s="1132">
        <v>0</v>
      </c>
      <c r="K39" s="1132">
        <v>0</v>
      </c>
      <c r="L39" s="1133">
        <f t="shared" si="5"/>
        <v>427.61250000000001</v>
      </c>
      <c r="M39" s="1131">
        <v>0</v>
      </c>
      <c r="N39" s="1139">
        <v>0</v>
      </c>
      <c r="O39" s="1131">
        <v>0</v>
      </c>
      <c r="P39" s="1132">
        <v>163.935</v>
      </c>
      <c r="Q39" s="1132">
        <v>268.44769491585055</v>
      </c>
      <c r="R39" s="1131">
        <v>714.15</v>
      </c>
      <c r="S39" s="1131">
        <v>0</v>
      </c>
      <c r="T39" s="1131">
        <v>0</v>
      </c>
      <c r="U39" s="1131">
        <v>0</v>
      </c>
      <c r="V39" s="1131">
        <v>0</v>
      </c>
      <c r="W39" s="1133">
        <f t="shared" si="6"/>
        <v>1574.1451949158504</v>
      </c>
      <c r="Y39" s="1125"/>
    </row>
    <row r="40" spans="1:26" s="358" customFormat="1">
      <c r="A40" s="1137"/>
      <c r="B40" s="1137" t="s">
        <v>265</v>
      </c>
      <c r="C40" s="1132">
        <v>26.600011200000004</v>
      </c>
      <c r="D40" s="1132">
        <v>423.18549000000002</v>
      </c>
      <c r="E40" s="1132">
        <v>0.34584479999999995</v>
      </c>
      <c r="F40" s="1132">
        <v>0</v>
      </c>
      <c r="G40" s="1132">
        <v>1323.3682638</v>
      </c>
      <c r="H40" s="1132">
        <v>0</v>
      </c>
      <c r="I40" s="1132">
        <v>0</v>
      </c>
      <c r="J40" s="1132">
        <v>1057.6306625499997</v>
      </c>
      <c r="K40" s="1132">
        <v>3410.4884278800005</v>
      </c>
      <c r="L40" s="1133">
        <f t="shared" si="5"/>
        <v>6241.6187002300003</v>
      </c>
      <c r="M40" s="1131">
        <v>408.66681849999998</v>
      </c>
      <c r="N40" s="1131">
        <v>0</v>
      </c>
      <c r="O40" s="1131">
        <v>0</v>
      </c>
      <c r="P40" s="1131">
        <v>0</v>
      </c>
      <c r="Q40" s="1131">
        <v>0</v>
      </c>
      <c r="R40" s="1131">
        <v>0</v>
      </c>
      <c r="S40" s="1131">
        <v>0</v>
      </c>
      <c r="T40" s="1131">
        <v>0</v>
      </c>
      <c r="U40" s="1131">
        <v>0</v>
      </c>
      <c r="V40" s="1131">
        <v>0</v>
      </c>
      <c r="W40" s="1133">
        <f t="shared" si="6"/>
        <v>6650.2855187300001</v>
      </c>
      <c r="Y40" s="1125"/>
    </row>
    <row r="41" spans="1:26" s="358" customFormat="1">
      <c r="A41" s="1137"/>
      <c r="B41" s="1137" t="s">
        <v>266</v>
      </c>
      <c r="C41" s="1132">
        <v>0.99152155199999992</v>
      </c>
      <c r="D41" s="1132">
        <v>0</v>
      </c>
      <c r="E41" s="1132">
        <v>0</v>
      </c>
      <c r="F41" s="1132">
        <v>0</v>
      </c>
      <c r="G41" s="1132">
        <v>0</v>
      </c>
      <c r="H41" s="1132">
        <v>0</v>
      </c>
      <c r="I41" s="1132">
        <v>0</v>
      </c>
      <c r="J41" s="1132">
        <v>0</v>
      </c>
      <c r="K41" s="1132">
        <v>0</v>
      </c>
      <c r="L41" s="1133">
        <f t="shared" si="5"/>
        <v>0.99152155199999992</v>
      </c>
      <c r="M41" s="1131">
        <v>0.66312793999999997</v>
      </c>
      <c r="N41" s="1131">
        <v>0</v>
      </c>
      <c r="O41" s="1131">
        <v>0</v>
      </c>
      <c r="P41" s="1131">
        <v>0</v>
      </c>
      <c r="Q41" s="1131">
        <v>0</v>
      </c>
      <c r="R41" s="1131">
        <v>0</v>
      </c>
      <c r="S41" s="1131">
        <v>0</v>
      </c>
      <c r="T41" s="1131">
        <v>0</v>
      </c>
      <c r="U41" s="1131">
        <v>0</v>
      </c>
      <c r="V41" s="1131">
        <v>0</v>
      </c>
      <c r="W41" s="1133">
        <f t="shared" si="6"/>
        <v>1.6546494919999999</v>
      </c>
      <c r="Y41" s="1125"/>
    </row>
    <row r="42" spans="1:26" s="358" customFormat="1">
      <c r="A42" s="1137"/>
      <c r="B42" s="1137" t="s">
        <v>267</v>
      </c>
      <c r="C42" s="1132">
        <v>0</v>
      </c>
      <c r="D42" s="1132">
        <v>0</v>
      </c>
      <c r="E42" s="1132">
        <v>0</v>
      </c>
      <c r="F42" s="1132">
        <v>0</v>
      </c>
      <c r="G42" s="1132">
        <v>0</v>
      </c>
      <c r="H42" s="1132">
        <v>0</v>
      </c>
      <c r="I42" s="1132">
        <v>0</v>
      </c>
      <c r="J42" s="1132">
        <v>0</v>
      </c>
      <c r="K42" s="1132">
        <v>0</v>
      </c>
      <c r="L42" s="1133">
        <f t="shared" si="5"/>
        <v>0</v>
      </c>
      <c r="M42" s="1131">
        <v>33.23556</v>
      </c>
      <c r="N42" s="1131">
        <v>0</v>
      </c>
      <c r="O42" s="1131">
        <v>0</v>
      </c>
      <c r="P42" s="1131">
        <v>0</v>
      </c>
      <c r="Q42" s="1131">
        <v>0</v>
      </c>
      <c r="R42" s="1131">
        <v>0</v>
      </c>
      <c r="S42" s="1131">
        <v>0</v>
      </c>
      <c r="T42" s="1131">
        <v>0</v>
      </c>
      <c r="U42" s="1131">
        <v>0</v>
      </c>
      <c r="V42" s="1131">
        <v>0</v>
      </c>
      <c r="W42" s="1133">
        <f t="shared" si="6"/>
        <v>33.23556</v>
      </c>
      <c r="Y42" s="1125"/>
    </row>
    <row r="43" spans="1:26" s="358" customFormat="1">
      <c r="A43" s="1137"/>
      <c r="B43" s="1137"/>
      <c r="C43" s="1138"/>
      <c r="D43" s="1138"/>
      <c r="E43" s="1138"/>
      <c r="F43" s="1138"/>
      <c r="G43" s="1138"/>
      <c r="H43" s="1138"/>
      <c r="I43" s="1138"/>
      <c r="J43" s="1138"/>
      <c r="K43" s="1138"/>
      <c r="L43" s="1138"/>
      <c r="M43" s="1138"/>
      <c r="N43" s="1138"/>
      <c r="O43" s="1138"/>
      <c r="P43" s="1138"/>
      <c r="Q43" s="1138"/>
      <c r="R43" s="1138"/>
      <c r="S43" s="1138"/>
      <c r="T43" s="1138"/>
      <c r="U43" s="1138"/>
      <c r="V43" s="1138"/>
      <c r="W43" s="1138"/>
      <c r="Y43" s="1138"/>
    </row>
    <row r="44" spans="1:26" s="358" customFormat="1">
      <c r="A44" s="1137" t="s">
        <v>653</v>
      </c>
      <c r="B44" s="1137"/>
      <c r="C44" s="1136">
        <f>SUM(C36:C42)</f>
        <v>27.591532752000003</v>
      </c>
      <c r="D44" s="1136">
        <f>SUM(D36:D42)</f>
        <v>850.79799000000003</v>
      </c>
      <c r="E44" s="1136">
        <f t="shared" ref="E44:W44" si="7">SUM(E36:E42)</f>
        <v>0.34584479999999995</v>
      </c>
      <c r="F44" s="1136">
        <f t="shared" si="7"/>
        <v>0</v>
      </c>
      <c r="G44" s="1136">
        <f t="shared" si="7"/>
        <v>1329.6875153603971</v>
      </c>
      <c r="H44" s="1136">
        <f t="shared" si="7"/>
        <v>0</v>
      </c>
      <c r="I44" s="1136">
        <f t="shared" si="7"/>
        <v>0</v>
      </c>
      <c r="J44" s="1136">
        <f t="shared" si="7"/>
        <v>1057.6306625499997</v>
      </c>
      <c r="K44" s="1136">
        <f t="shared" si="7"/>
        <v>3410.4884278800005</v>
      </c>
      <c r="L44" s="1136">
        <f t="shared" si="7"/>
        <v>6676.5419733423978</v>
      </c>
      <c r="M44" s="1136">
        <f t="shared" si="7"/>
        <v>1868.9056981458937</v>
      </c>
      <c r="N44" s="1136">
        <f t="shared" si="7"/>
        <v>0</v>
      </c>
      <c r="O44" s="1136">
        <f t="shared" si="7"/>
        <v>0</v>
      </c>
      <c r="P44" s="1136">
        <f t="shared" si="7"/>
        <v>163.935</v>
      </c>
      <c r="Q44" s="1136">
        <f t="shared" si="7"/>
        <v>270.20283328881771</v>
      </c>
      <c r="R44" s="1136">
        <f t="shared" si="7"/>
        <v>714.15</v>
      </c>
      <c r="S44" s="1136">
        <f t="shared" si="7"/>
        <v>11.114867149777659</v>
      </c>
      <c r="T44" s="1136">
        <f t="shared" si="7"/>
        <v>0</v>
      </c>
      <c r="U44" s="1136">
        <f t="shared" si="7"/>
        <v>0</v>
      </c>
      <c r="V44" s="1136">
        <f t="shared" si="7"/>
        <v>0</v>
      </c>
      <c r="W44" s="1136">
        <f t="shared" si="7"/>
        <v>9704.8503719268865</v>
      </c>
      <c r="Y44" s="1138"/>
    </row>
    <row r="45" spans="1:26" s="358" customFormat="1">
      <c r="A45" s="1137"/>
      <c r="B45" s="1137"/>
      <c r="C45" s="1138"/>
      <c r="D45" s="1138"/>
      <c r="E45" s="1138"/>
      <c r="F45" s="1138"/>
      <c r="G45" s="1138"/>
      <c r="H45" s="1138"/>
      <c r="I45" s="1138"/>
      <c r="J45" s="1138"/>
      <c r="K45" s="1138"/>
      <c r="L45" s="1138"/>
      <c r="M45" s="1138"/>
      <c r="N45" s="1138"/>
      <c r="O45" s="1138"/>
      <c r="P45" s="1138"/>
      <c r="Q45" s="1138"/>
      <c r="R45" s="1138"/>
      <c r="S45" s="1138"/>
      <c r="T45" s="1138"/>
      <c r="U45" s="1138"/>
      <c r="V45" s="1138"/>
      <c r="W45" s="1138"/>
      <c r="Y45" s="1138"/>
    </row>
    <row r="46" spans="1:26">
      <c r="A46" s="1129"/>
      <c r="B46" s="1129"/>
      <c r="C46" s="1113"/>
      <c r="D46" s="1113"/>
      <c r="E46" s="1113"/>
      <c r="F46" s="1113"/>
      <c r="G46" s="1113"/>
      <c r="H46" s="1113"/>
      <c r="I46" s="1113"/>
      <c r="J46" s="1113"/>
      <c r="K46" s="1117"/>
      <c r="L46" s="1113"/>
      <c r="M46" s="1113"/>
      <c r="N46" s="1113"/>
      <c r="O46" s="1113"/>
      <c r="P46" s="1113"/>
      <c r="Q46" s="1113"/>
      <c r="R46" s="1113"/>
      <c r="S46" s="1113"/>
      <c r="T46" s="1113"/>
      <c r="U46" s="1113"/>
      <c r="V46" s="1113"/>
      <c r="W46" s="1113"/>
      <c r="Y46" s="1125"/>
    </row>
    <row r="47" spans="1:26">
      <c r="A47" s="1130" t="s">
        <v>261</v>
      </c>
      <c r="B47" s="1129"/>
      <c r="C47" s="1135">
        <f>C33+C26+C12+C44</f>
        <v>62576.936457995798</v>
      </c>
      <c r="D47" s="1135">
        <f>D33+D26+D12+D44</f>
        <v>19503.744409243496</v>
      </c>
      <c r="E47" s="1135">
        <f t="shared" ref="E47:W47" si="8">E33+E26+E12+E44</f>
        <v>27919.489961215993</v>
      </c>
      <c r="F47" s="1135">
        <f t="shared" si="8"/>
        <v>1345.7945393190003</v>
      </c>
      <c r="G47" s="1135">
        <f>G33+G26+G12+G44</f>
        <v>15510.941989896553</v>
      </c>
      <c r="H47" s="1135">
        <f t="shared" si="8"/>
        <v>56.266979999999997</v>
      </c>
      <c r="I47" s="1135">
        <f t="shared" si="8"/>
        <v>7754.3034372851607</v>
      </c>
      <c r="J47" s="1135">
        <f t="shared" si="8"/>
        <v>1057.6306625499997</v>
      </c>
      <c r="K47" s="1135">
        <f t="shared" si="8"/>
        <v>3413.8154278800007</v>
      </c>
      <c r="L47" s="1135">
        <f t="shared" si="8"/>
        <v>139138.92386538602</v>
      </c>
      <c r="M47" s="1135">
        <f t="shared" si="8"/>
        <v>48201.114386248504</v>
      </c>
      <c r="N47" s="1135">
        <f t="shared" si="8"/>
        <v>2185.4170141856107</v>
      </c>
      <c r="O47" s="1135">
        <f t="shared" si="8"/>
        <v>4084.351500590491</v>
      </c>
      <c r="P47" s="1135">
        <f t="shared" si="8"/>
        <v>163.935</v>
      </c>
      <c r="Q47" s="1135">
        <f t="shared" si="8"/>
        <v>1213.6145686065133</v>
      </c>
      <c r="R47" s="1135">
        <f t="shared" si="8"/>
        <v>879.75400000000002</v>
      </c>
      <c r="S47" s="1135">
        <f t="shared" si="8"/>
        <v>7314.607861541328</v>
      </c>
      <c r="T47" s="1135">
        <f t="shared" si="8"/>
        <v>447.06612587687079</v>
      </c>
      <c r="U47" s="1135">
        <f t="shared" si="8"/>
        <v>0</v>
      </c>
      <c r="V47" s="1135">
        <f t="shared" si="8"/>
        <v>45399.804810847534</v>
      </c>
      <c r="W47" s="1135">
        <f t="shared" si="8"/>
        <v>249028.58913328286</v>
      </c>
      <c r="Y47" s="1138"/>
    </row>
    <row r="48" spans="1:26">
      <c r="A48" s="1112"/>
      <c r="B48" s="1129"/>
      <c r="C48" s="1113"/>
      <c r="D48" s="1113"/>
      <c r="E48" s="1113"/>
      <c r="F48" s="1113"/>
      <c r="G48" s="1113"/>
      <c r="H48" s="1113"/>
      <c r="I48" s="1113"/>
      <c r="J48" s="1113"/>
      <c r="K48" s="1117"/>
      <c r="L48" s="1113"/>
      <c r="M48" s="1113"/>
      <c r="N48" s="1113"/>
      <c r="O48" s="1113"/>
      <c r="P48" s="1113"/>
      <c r="Q48" s="1113"/>
      <c r="R48" s="1113"/>
      <c r="S48" s="1113"/>
      <c r="T48" s="1113"/>
      <c r="U48" s="1113"/>
      <c r="V48" s="1113"/>
      <c r="W48" s="1113"/>
      <c r="Y48" s="1125"/>
    </row>
    <row r="49" spans="1:25">
      <c r="A49" s="1130" t="s">
        <v>262</v>
      </c>
      <c r="B49" s="1129" t="s">
        <v>263</v>
      </c>
      <c r="C49" s="1132">
        <v>410.33141849059501</v>
      </c>
      <c r="D49" s="1132">
        <v>1197.510138069</v>
      </c>
      <c r="E49" s="1132">
        <v>0</v>
      </c>
      <c r="F49" s="1132">
        <v>0</v>
      </c>
      <c r="G49" s="1132">
        <v>10.0628198</v>
      </c>
      <c r="H49" s="1132">
        <v>0</v>
      </c>
      <c r="I49" s="1132">
        <v>0</v>
      </c>
      <c r="J49" s="1132">
        <v>0</v>
      </c>
      <c r="K49" s="1132">
        <v>188.53401745400006</v>
      </c>
      <c r="L49" s="1133">
        <f t="shared" ref="L49:L55" si="9">SUM(C49:K49)</f>
        <v>1806.4383938135952</v>
      </c>
      <c r="M49" s="1131">
        <v>0</v>
      </c>
      <c r="N49" s="1131">
        <v>0</v>
      </c>
      <c r="O49" s="1131">
        <v>0</v>
      </c>
      <c r="P49" s="1131">
        <v>0</v>
      </c>
      <c r="Q49" s="1131">
        <v>0</v>
      </c>
      <c r="R49" s="1131">
        <v>0</v>
      </c>
      <c r="S49" s="1131">
        <v>535.06257310656008</v>
      </c>
      <c r="T49" s="1131">
        <v>0</v>
      </c>
      <c r="U49" s="1131">
        <v>0</v>
      </c>
      <c r="V49" s="1131">
        <v>5880.1823984000757</v>
      </c>
      <c r="W49" s="1133">
        <f t="shared" ref="W49:W55" si="10">SUM(L49:V49)</f>
        <v>8221.6833653202302</v>
      </c>
      <c r="Y49" s="1125"/>
    </row>
    <row r="50" spans="1:25">
      <c r="A50" s="1130" t="s">
        <v>651</v>
      </c>
      <c r="B50" s="1129" t="s">
        <v>282</v>
      </c>
      <c r="C50" s="1132">
        <v>19683.611521896</v>
      </c>
      <c r="D50" s="1132">
        <v>1372.0946085</v>
      </c>
      <c r="E50" s="1132">
        <v>0</v>
      </c>
      <c r="F50" s="1132">
        <v>0</v>
      </c>
      <c r="G50" s="1132">
        <v>120.255109521943</v>
      </c>
      <c r="H50" s="1132">
        <v>0</v>
      </c>
      <c r="I50" s="1132">
        <v>0</v>
      </c>
      <c r="J50" s="1132">
        <v>0</v>
      </c>
      <c r="K50" s="1132">
        <v>0</v>
      </c>
      <c r="L50" s="1133">
        <f t="shared" si="9"/>
        <v>21175.961239917942</v>
      </c>
      <c r="M50" s="1131">
        <v>0</v>
      </c>
      <c r="N50" s="1131">
        <v>33506.247771058537</v>
      </c>
      <c r="O50" s="1131">
        <v>5032.3818471696031</v>
      </c>
      <c r="P50" s="1131">
        <v>0</v>
      </c>
      <c r="Q50" s="1131">
        <v>0</v>
      </c>
      <c r="R50" s="1131">
        <v>0</v>
      </c>
      <c r="S50" s="1131">
        <v>8056.9488230933948</v>
      </c>
      <c r="T50" s="1131">
        <v>0</v>
      </c>
      <c r="U50" s="1131">
        <v>0</v>
      </c>
      <c r="V50" s="1131">
        <v>0</v>
      </c>
      <c r="W50" s="1133">
        <f t="shared" si="10"/>
        <v>67771.539681239476</v>
      </c>
      <c r="Y50" s="1125"/>
    </row>
    <row r="51" spans="1:25">
      <c r="A51" s="1129"/>
      <c r="B51" s="1129" t="s">
        <v>264</v>
      </c>
      <c r="C51" s="1132">
        <v>0</v>
      </c>
      <c r="D51" s="1132">
        <v>0</v>
      </c>
      <c r="E51" s="1132">
        <v>0</v>
      </c>
      <c r="F51" s="1132">
        <v>0</v>
      </c>
      <c r="G51" s="1132">
        <f>G73</f>
        <v>804.40281922694885</v>
      </c>
      <c r="H51" s="1132">
        <v>0</v>
      </c>
      <c r="I51" s="1132">
        <v>0</v>
      </c>
      <c r="J51" s="1132">
        <v>0</v>
      </c>
      <c r="K51" s="1132">
        <v>0</v>
      </c>
      <c r="L51" s="1133">
        <f t="shared" si="9"/>
        <v>804.40281922694885</v>
      </c>
      <c r="M51" s="1131">
        <v>0</v>
      </c>
      <c r="N51" s="1131">
        <v>0</v>
      </c>
      <c r="O51" s="1131">
        <v>1090.424</v>
      </c>
      <c r="P51" s="1131">
        <v>0</v>
      </c>
      <c r="Q51" s="1131">
        <v>0</v>
      </c>
      <c r="R51" s="1131">
        <v>0</v>
      </c>
      <c r="S51" s="1131">
        <f>S74</f>
        <v>181.50101070672346</v>
      </c>
      <c r="T51" s="1131">
        <v>0</v>
      </c>
      <c r="U51" s="1131">
        <v>68.800938663572154</v>
      </c>
      <c r="V51" s="1131">
        <v>0</v>
      </c>
      <c r="W51" s="1133">
        <f>SUM(L51:V51)</f>
        <v>2145.1287685972443</v>
      </c>
      <c r="Y51" s="1125"/>
    </row>
    <row r="52" spans="1:25">
      <c r="A52" s="1129"/>
      <c r="B52" s="1129" t="s">
        <v>281</v>
      </c>
      <c r="C52" s="1132">
        <v>0</v>
      </c>
      <c r="D52" s="1132">
        <v>0</v>
      </c>
      <c r="E52" s="1132">
        <v>0</v>
      </c>
      <c r="F52" s="1132">
        <v>0</v>
      </c>
      <c r="G52" s="1132">
        <v>0</v>
      </c>
      <c r="H52" s="1132">
        <v>0</v>
      </c>
      <c r="I52" s="1132">
        <v>0</v>
      </c>
      <c r="J52" s="1132">
        <v>0</v>
      </c>
      <c r="K52" s="1132">
        <v>0</v>
      </c>
      <c r="L52" s="1133">
        <f t="shared" si="9"/>
        <v>0</v>
      </c>
      <c r="M52" s="1131">
        <v>0</v>
      </c>
      <c r="N52" s="1131">
        <v>4254.66</v>
      </c>
      <c r="O52" s="1132">
        <v>0</v>
      </c>
      <c r="P52" s="1131">
        <v>0</v>
      </c>
      <c r="Q52" s="1131">
        <v>0</v>
      </c>
      <c r="R52" s="1131">
        <v>0</v>
      </c>
      <c r="S52" s="1131">
        <v>0</v>
      </c>
      <c r="T52" s="1131">
        <v>0</v>
      </c>
      <c r="U52" s="1131">
        <v>0</v>
      </c>
      <c r="V52" s="1131">
        <v>0</v>
      </c>
      <c r="W52" s="1133">
        <f t="shared" si="10"/>
        <v>4254.66</v>
      </c>
      <c r="Y52" s="1125"/>
    </row>
    <row r="53" spans="1:25">
      <c r="A53" s="1129"/>
      <c r="B53" s="1129" t="s">
        <v>265</v>
      </c>
      <c r="C53" s="1132">
        <v>0</v>
      </c>
      <c r="D53" s="1132">
        <v>0</v>
      </c>
      <c r="E53" s="1132">
        <v>0</v>
      </c>
      <c r="F53" s="1132">
        <v>0</v>
      </c>
      <c r="G53" s="1132">
        <v>0</v>
      </c>
      <c r="H53" s="1132">
        <v>0</v>
      </c>
      <c r="I53" s="1132">
        <v>0</v>
      </c>
      <c r="J53" s="1132">
        <v>0</v>
      </c>
      <c r="K53" s="1132">
        <v>0</v>
      </c>
      <c r="L53" s="1133">
        <f t="shared" si="9"/>
        <v>0</v>
      </c>
      <c r="M53" s="1131">
        <v>0</v>
      </c>
      <c r="N53" s="1131">
        <v>0</v>
      </c>
      <c r="O53" s="1131">
        <v>0</v>
      </c>
      <c r="P53" s="1131">
        <v>0</v>
      </c>
      <c r="Q53" s="1131">
        <v>0</v>
      </c>
      <c r="R53" s="1131">
        <v>0</v>
      </c>
      <c r="S53" s="1131">
        <f>S73</f>
        <v>5093.0010335739998</v>
      </c>
      <c r="T53" s="1131">
        <v>0</v>
      </c>
      <c r="U53" s="1131">
        <v>0</v>
      </c>
      <c r="V53" s="1131">
        <v>0</v>
      </c>
      <c r="W53" s="1133">
        <f t="shared" si="10"/>
        <v>5093.0010335739998</v>
      </c>
      <c r="Y53" s="1125"/>
    </row>
    <row r="54" spans="1:25">
      <c r="A54" s="1129"/>
      <c r="B54" s="1129" t="s">
        <v>266</v>
      </c>
      <c r="C54" s="1132">
        <v>0</v>
      </c>
      <c r="D54" s="1132">
        <v>0</v>
      </c>
      <c r="E54" s="1132">
        <v>0</v>
      </c>
      <c r="F54" s="1132">
        <v>0</v>
      </c>
      <c r="G54" s="1132">
        <v>0</v>
      </c>
      <c r="H54" s="1132">
        <v>0</v>
      </c>
      <c r="I54" s="1132">
        <v>0</v>
      </c>
      <c r="J54" s="1132">
        <v>0</v>
      </c>
      <c r="K54" s="1132">
        <v>0</v>
      </c>
      <c r="L54" s="1133">
        <f t="shared" si="9"/>
        <v>0</v>
      </c>
      <c r="M54" s="1131">
        <v>0</v>
      </c>
      <c r="N54" s="1131">
        <v>0</v>
      </c>
      <c r="O54" s="1131">
        <v>0</v>
      </c>
      <c r="P54" s="1131">
        <v>0</v>
      </c>
      <c r="Q54" s="1131">
        <v>0</v>
      </c>
      <c r="R54" s="1131">
        <v>0</v>
      </c>
      <c r="S54" s="1131">
        <v>0</v>
      </c>
      <c r="T54" s="1131">
        <v>0</v>
      </c>
      <c r="U54" s="1131">
        <v>0</v>
      </c>
      <c r="V54" s="1131">
        <v>0</v>
      </c>
      <c r="W54" s="1133">
        <f t="shared" si="10"/>
        <v>0</v>
      </c>
      <c r="Y54" s="1125"/>
    </row>
    <row r="55" spans="1:25">
      <c r="A55" s="1129"/>
      <c r="B55" s="1129" t="s">
        <v>267</v>
      </c>
      <c r="C55" s="1132">
        <v>0</v>
      </c>
      <c r="D55" s="1132">
        <v>0</v>
      </c>
      <c r="E55" s="1132">
        <v>0</v>
      </c>
      <c r="F55" s="1132">
        <v>0</v>
      </c>
      <c r="G55" s="1132">
        <v>0</v>
      </c>
      <c r="H55" s="1132">
        <v>0</v>
      </c>
      <c r="I55" s="1132">
        <v>0</v>
      </c>
      <c r="J55" s="1132">
        <v>0</v>
      </c>
      <c r="K55" s="1132">
        <v>0</v>
      </c>
      <c r="L55" s="1133">
        <f t="shared" si="9"/>
        <v>0</v>
      </c>
      <c r="M55" s="1131">
        <v>0</v>
      </c>
      <c r="N55" s="1131">
        <v>0</v>
      </c>
      <c r="O55" s="1131">
        <v>0</v>
      </c>
      <c r="P55" s="1131">
        <v>0</v>
      </c>
      <c r="Q55" s="1131">
        <v>0</v>
      </c>
      <c r="R55" s="1131">
        <v>0</v>
      </c>
      <c r="S55" s="1131">
        <v>8532.9731999999985</v>
      </c>
      <c r="T55" s="1131">
        <v>0</v>
      </c>
      <c r="U55" s="1131">
        <v>0</v>
      </c>
      <c r="V55" s="1131">
        <v>0</v>
      </c>
      <c r="W55" s="1133">
        <f t="shared" si="10"/>
        <v>8532.9731999999985</v>
      </c>
      <c r="Y55" s="1125"/>
    </row>
    <row r="56" spans="1:25">
      <c r="A56" s="1129"/>
      <c r="B56" s="1129"/>
      <c r="C56" s="1113"/>
      <c r="D56" s="1113"/>
      <c r="E56" s="1113"/>
      <c r="F56" s="1113"/>
      <c r="G56" s="1113"/>
      <c r="H56" s="1113"/>
      <c r="I56" s="1113"/>
      <c r="J56" s="1113"/>
      <c r="K56" s="1117"/>
      <c r="L56" s="1113"/>
      <c r="M56" s="1113"/>
      <c r="N56" s="1113"/>
      <c r="O56" s="1113"/>
      <c r="P56" s="1113"/>
      <c r="Q56" s="1113"/>
      <c r="R56" s="1113"/>
      <c r="S56" s="1113"/>
      <c r="T56" s="1113"/>
      <c r="U56" s="1113"/>
      <c r="V56" s="1113"/>
      <c r="W56" s="1113"/>
      <c r="Y56" s="1125"/>
    </row>
    <row r="57" spans="1:25">
      <c r="A57" s="1129" t="s">
        <v>268</v>
      </c>
      <c r="B57" s="1129"/>
      <c r="C57" s="1135">
        <f>SUM(C49:C55)</f>
        <v>20093.942940386594</v>
      </c>
      <c r="D57" s="1135">
        <f>SUM(D49:D55)</f>
        <v>2569.6047465689999</v>
      </c>
      <c r="E57" s="1135">
        <f t="shared" ref="E57:W57" si="11">SUM(E49:E55)</f>
        <v>0</v>
      </c>
      <c r="F57" s="1135">
        <f t="shared" si="11"/>
        <v>0</v>
      </c>
      <c r="G57" s="1135">
        <f t="shared" si="11"/>
        <v>934.72074854889183</v>
      </c>
      <c r="H57" s="1135">
        <f t="shared" si="11"/>
        <v>0</v>
      </c>
      <c r="I57" s="1135">
        <f t="shared" si="11"/>
        <v>0</v>
      </c>
      <c r="J57" s="1135">
        <f t="shared" si="11"/>
        <v>0</v>
      </c>
      <c r="K57" s="1135">
        <f t="shared" si="11"/>
        <v>188.53401745400006</v>
      </c>
      <c r="L57" s="1135">
        <f t="shared" si="11"/>
        <v>23786.802452958487</v>
      </c>
      <c r="M57" s="1135">
        <f t="shared" si="11"/>
        <v>0</v>
      </c>
      <c r="N57" s="1135">
        <f t="shared" si="11"/>
        <v>37760.907771058541</v>
      </c>
      <c r="O57" s="1135">
        <f t="shared" si="11"/>
        <v>6122.8058471696031</v>
      </c>
      <c r="P57" s="1135">
        <f t="shared" si="11"/>
        <v>0</v>
      </c>
      <c r="Q57" s="1135">
        <f t="shared" si="11"/>
        <v>0</v>
      </c>
      <c r="R57" s="1135">
        <f t="shared" si="11"/>
        <v>0</v>
      </c>
      <c r="S57" s="1135">
        <f t="shared" si="11"/>
        <v>22399.486640480674</v>
      </c>
      <c r="T57" s="1135">
        <f t="shared" si="11"/>
        <v>0</v>
      </c>
      <c r="U57" s="1135">
        <f>SUM(U49:U55)</f>
        <v>68.800938663572154</v>
      </c>
      <c r="V57" s="1135">
        <f t="shared" si="11"/>
        <v>5880.1823984000757</v>
      </c>
      <c r="W57" s="1135">
        <f t="shared" si="11"/>
        <v>96018.986048730949</v>
      </c>
      <c r="Y57" s="1138"/>
    </row>
    <row r="58" spans="1:25">
      <c r="A58" s="1129"/>
      <c r="B58" s="1129"/>
      <c r="C58" s="1113"/>
      <c r="D58" s="1113"/>
      <c r="E58" s="1113"/>
      <c r="F58" s="1113"/>
      <c r="G58" s="1113"/>
      <c r="H58" s="1113"/>
      <c r="I58" s="1113"/>
      <c r="J58" s="1113"/>
      <c r="K58" s="1117"/>
      <c r="L58" s="1113"/>
      <c r="M58" s="1113"/>
      <c r="N58" s="1113"/>
      <c r="O58" s="1113"/>
      <c r="P58" s="1113"/>
      <c r="Q58" s="1113"/>
      <c r="R58" s="1113"/>
      <c r="S58" s="1113"/>
      <c r="T58" s="1113"/>
      <c r="U58" s="1113"/>
      <c r="V58" s="1113"/>
      <c r="W58" s="1113"/>
      <c r="Y58" s="1125"/>
    </row>
    <row r="59" spans="1:25">
      <c r="A59" s="1129"/>
      <c r="B59" s="1129"/>
      <c r="C59" s="1113"/>
      <c r="D59" s="1113"/>
      <c r="E59" s="1113"/>
      <c r="F59" s="1113"/>
      <c r="G59" s="1113"/>
      <c r="H59" s="1113"/>
      <c r="I59" s="1113"/>
      <c r="J59" s="1113"/>
      <c r="K59" s="1117"/>
      <c r="L59" s="1113"/>
      <c r="M59" s="1113"/>
      <c r="N59" s="1113"/>
      <c r="O59" s="1113"/>
      <c r="P59" s="1113"/>
      <c r="Q59" s="1113"/>
      <c r="R59" s="1113"/>
      <c r="S59" s="1113"/>
      <c r="T59" s="1113"/>
      <c r="U59" s="1113"/>
      <c r="V59" s="1113"/>
      <c r="W59" s="1113"/>
      <c r="Y59" s="1125"/>
    </row>
    <row r="60" spans="1:25">
      <c r="A60" s="1130" t="s">
        <v>269</v>
      </c>
      <c r="B60" s="1130"/>
      <c r="C60" s="1136">
        <f>C47+C57</f>
        <v>82670.879398382385</v>
      </c>
      <c r="D60" s="1136">
        <f t="shared" ref="D60:W60" si="12">D47+D57</f>
        <v>22073.349155812495</v>
      </c>
      <c r="E60" s="1136">
        <f t="shared" si="12"/>
        <v>27919.489961215993</v>
      </c>
      <c r="F60" s="1136">
        <f t="shared" si="12"/>
        <v>1345.7945393190003</v>
      </c>
      <c r="G60" s="1136">
        <f>G47+G57</f>
        <v>16445.662738445444</v>
      </c>
      <c r="H60" s="1136">
        <f t="shared" si="12"/>
        <v>56.266979999999997</v>
      </c>
      <c r="I60" s="1136">
        <f t="shared" si="12"/>
        <v>7754.3034372851607</v>
      </c>
      <c r="J60" s="1136">
        <f t="shared" si="12"/>
        <v>1057.6306625499997</v>
      </c>
      <c r="K60" s="1136">
        <f t="shared" si="12"/>
        <v>3602.3494453340008</v>
      </c>
      <c r="L60" s="1135">
        <f t="shared" si="12"/>
        <v>162925.7263183445</v>
      </c>
      <c r="M60" s="1136">
        <f t="shared" si="12"/>
        <v>48201.114386248504</v>
      </c>
      <c r="N60" s="1136">
        <f t="shared" si="12"/>
        <v>39946.324785244149</v>
      </c>
      <c r="O60" s="1136">
        <f t="shared" si="12"/>
        <v>10207.157347760094</v>
      </c>
      <c r="P60" s="1136">
        <f>P47+P57</f>
        <v>163.935</v>
      </c>
      <c r="Q60" s="1136">
        <f t="shared" si="12"/>
        <v>1213.6145686065133</v>
      </c>
      <c r="R60" s="1136">
        <f>R47+R57</f>
        <v>879.75400000000002</v>
      </c>
      <c r="S60" s="1136">
        <f t="shared" si="12"/>
        <v>29714.094502022002</v>
      </c>
      <c r="T60" s="1136">
        <f t="shared" si="12"/>
        <v>447.06612587687079</v>
      </c>
      <c r="U60" s="1136">
        <f t="shared" si="12"/>
        <v>68.800938663572154</v>
      </c>
      <c r="V60" s="1136">
        <f>V47+V57</f>
        <v>51279.987209247607</v>
      </c>
      <c r="W60" s="1135">
        <f t="shared" si="12"/>
        <v>345047.5751820138</v>
      </c>
      <c r="Y60" s="1138"/>
    </row>
    <row r="61" spans="1:25" ht="13.5" customHeight="1">
      <c r="A61" s="770"/>
      <c r="B61" s="770"/>
      <c r="C61" s="770"/>
      <c r="D61" s="770"/>
      <c r="E61" s="770"/>
      <c r="F61" s="770"/>
      <c r="G61" s="770"/>
      <c r="H61" s="770"/>
      <c r="I61" s="770"/>
      <c r="J61" s="770"/>
      <c r="K61" s="852"/>
      <c r="L61" s="770"/>
      <c r="M61" s="770"/>
      <c r="N61" s="770"/>
      <c r="O61" s="770"/>
      <c r="P61" s="770"/>
      <c r="Q61" s="770"/>
      <c r="R61" s="770"/>
      <c r="S61" s="770"/>
      <c r="T61" s="770"/>
      <c r="U61" s="770"/>
      <c r="V61" s="770"/>
      <c r="W61" s="770"/>
    </row>
    <row r="62" spans="1:25">
      <c r="C62" s="1290"/>
      <c r="D62" s="1290"/>
      <c r="E62" s="1290"/>
      <c r="F62" s="1290"/>
      <c r="G62" s="1290"/>
      <c r="H62" s="1290"/>
      <c r="I62" s="1290"/>
      <c r="J62" s="1290"/>
      <c r="K62" s="1291"/>
      <c r="L62" s="1290"/>
      <c r="M62" s="1290"/>
      <c r="N62" s="1290"/>
      <c r="O62" s="1290"/>
      <c r="P62" s="1290"/>
      <c r="Q62" s="1290"/>
      <c r="R62" s="1290"/>
      <c r="S62" s="1290"/>
      <c r="T62" s="1290"/>
      <c r="U62" s="1290"/>
      <c r="V62" s="1290"/>
      <c r="W62" s="1290"/>
    </row>
    <row r="70" spans="4:24" hidden="1"/>
    <row r="71" spans="4:24" hidden="1"/>
    <row r="72" spans="4:24" ht="13.5" hidden="1" customHeight="1">
      <c r="D72" s="404"/>
      <c r="G72" s="407">
        <f>G74+G73</f>
        <v>810.72207078734584</v>
      </c>
      <c r="H72" s="401"/>
      <c r="S72" s="400"/>
      <c r="T72" s="401"/>
    </row>
    <row r="73" spans="4:24" hidden="1">
      <c r="D73" s="404"/>
      <c r="G73" s="1288">
        <v>804.40281922694885</v>
      </c>
      <c r="H73" s="402" t="s">
        <v>687</v>
      </c>
      <c r="P73" s="1287">
        <f>P39</f>
        <v>163.935</v>
      </c>
      <c r="Q73" s="1286">
        <v>268.44769491585055</v>
      </c>
      <c r="R73" s="1282">
        <v>714.15</v>
      </c>
      <c r="S73" s="1292">
        <v>5093.0010335739998</v>
      </c>
      <c r="T73" s="402" t="s">
        <v>684</v>
      </c>
      <c r="U73" t="s">
        <v>796</v>
      </c>
      <c r="X73" s="54"/>
    </row>
    <row r="74" spans="4:24" hidden="1">
      <c r="D74" s="404"/>
      <c r="G74" s="1289">
        <v>6.3192515603969994</v>
      </c>
      <c r="H74" s="403" t="s">
        <v>688</v>
      </c>
      <c r="P74" t="s">
        <v>700</v>
      </c>
      <c r="Q74" s="405" t="s">
        <v>691</v>
      </c>
      <c r="R74" s="405" t="s">
        <v>691</v>
      </c>
      <c r="S74" s="1283">
        <v>181.50101070672346</v>
      </c>
      <c r="T74" s="402" t="s">
        <v>685</v>
      </c>
      <c r="U74" s="394" t="s">
        <v>703</v>
      </c>
    </row>
    <row r="75" spans="4:24" hidden="1">
      <c r="D75" s="404"/>
      <c r="P75" t="s">
        <v>699</v>
      </c>
      <c r="Q75" s="405" t="s">
        <v>689</v>
      </c>
      <c r="R75" s="405" t="s">
        <v>689</v>
      </c>
      <c r="S75" s="1284">
        <v>11.114867149777659</v>
      </c>
      <c r="T75" s="403" t="s">
        <v>686</v>
      </c>
    </row>
    <row r="76" spans="4:24" hidden="1">
      <c r="Q76" s="406" t="s">
        <v>690</v>
      </c>
      <c r="R76" s="406" t="s">
        <v>690</v>
      </c>
      <c r="S76" s="1285"/>
    </row>
    <row r="77" spans="4:24" hidden="1">
      <c r="S77" s="1285"/>
    </row>
    <row r="78" spans="4:24" hidden="1">
      <c r="S78" s="1285"/>
    </row>
    <row r="79" spans="4:24" hidden="1">
      <c r="S79" s="1285"/>
    </row>
    <row r="80" spans="4:24" hidden="1">
      <c r="S80" s="1285">
        <v>52.287999999999997</v>
      </c>
      <c r="T80" t="s">
        <v>702</v>
      </c>
    </row>
    <row r="81" hidden="1"/>
  </sheetData>
  <phoneticPr fontId="0" type="noConversion"/>
  <hyperlinks>
    <hyperlink ref="D1" location="INDICE!A1" display="VOLVER A INDICE"/>
  </hyperlinks>
  <pageMargins left="0.75" right="0.75" top="1" bottom="1" header="0" footer="0"/>
  <pageSetup scale="39" orientation="landscape"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8"/>
  <sheetViews>
    <sheetView showGridLines="0" tabSelected="1" workbookViewId="0">
      <pane xSplit="2" ySplit="2" topLeftCell="C3" activePane="bottomRight" state="frozen"/>
      <selection pane="topRight" activeCell="B1" sqref="B1"/>
      <selection pane="bottomLeft" activeCell="A4" sqref="A4"/>
      <selection pane="bottomRight"/>
    </sheetView>
  </sheetViews>
  <sheetFormatPr baseColWidth="10" defaultRowHeight="12.75"/>
  <cols>
    <col min="1" max="1" width="4.140625" customWidth="1"/>
    <col min="2" max="2" width="32.140625" customWidth="1"/>
    <col min="12" max="12" width="12.140625" customWidth="1"/>
  </cols>
  <sheetData>
    <row r="1" spans="1:30" ht="12.75" customHeight="1" thickBot="1">
      <c r="B1" s="1392" t="s">
        <v>704</v>
      </c>
      <c r="C1" s="1402" t="s">
        <v>0</v>
      </c>
      <c r="D1" s="1403"/>
      <c r="E1" s="1403"/>
      <c r="F1" s="1403"/>
      <c r="G1" s="1403"/>
      <c r="H1" s="1403"/>
      <c r="I1" s="1403"/>
      <c r="J1" s="1404"/>
      <c r="K1" s="1405" t="s">
        <v>1</v>
      </c>
      <c r="L1" s="1406"/>
      <c r="M1" s="1406"/>
      <c r="N1" s="1406"/>
      <c r="O1" s="1406"/>
      <c r="P1" s="1406"/>
      <c r="Q1" s="1406"/>
      <c r="R1" s="1406"/>
      <c r="S1" s="1406"/>
      <c r="T1" s="1406"/>
      <c r="U1" s="1407"/>
      <c r="V1" s="1397" t="s">
        <v>396</v>
      </c>
      <c r="W1" s="1399" t="s">
        <v>2</v>
      </c>
      <c r="X1" s="1399"/>
      <c r="Y1" s="1399"/>
      <c r="Z1" s="1399"/>
      <c r="AA1" s="1400" t="s">
        <v>719</v>
      </c>
      <c r="AB1" s="1410" t="s">
        <v>271</v>
      </c>
      <c r="AC1" s="1408" t="s">
        <v>28</v>
      </c>
      <c r="AD1" s="412"/>
    </row>
    <row r="2" spans="1:30" s="418" customFormat="1" ht="39" thickBot="1">
      <c r="B2" s="1393"/>
      <c r="C2" s="931" t="s">
        <v>395</v>
      </c>
      <c r="D2" s="932" t="s">
        <v>406</v>
      </c>
      <c r="E2" s="932" t="s">
        <v>797</v>
      </c>
      <c r="F2" s="932" t="s">
        <v>214</v>
      </c>
      <c r="G2" s="932" t="s">
        <v>705</v>
      </c>
      <c r="H2" s="932" t="s">
        <v>706</v>
      </c>
      <c r="I2" s="932" t="s">
        <v>707</v>
      </c>
      <c r="J2" s="933" t="s">
        <v>216</v>
      </c>
      <c r="K2" s="1293" t="s">
        <v>708</v>
      </c>
      <c r="L2" s="934" t="s">
        <v>709</v>
      </c>
      <c r="M2" s="934" t="s">
        <v>710</v>
      </c>
      <c r="N2" s="935" t="s">
        <v>208</v>
      </c>
      <c r="O2" s="935" t="s">
        <v>711</v>
      </c>
      <c r="P2" s="935" t="s">
        <v>712</v>
      </c>
      <c r="Q2" s="935" t="s">
        <v>713</v>
      </c>
      <c r="R2" s="935" t="s">
        <v>210</v>
      </c>
      <c r="S2" s="935" t="s">
        <v>714</v>
      </c>
      <c r="T2" s="935" t="s">
        <v>715</v>
      </c>
      <c r="U2" s="936" t="s">
        <v>716</v>
      </c>
      <c r="V2" s="1398"/>
      <c r="W2" s="937" t="s">
        <v>770</v>
      </c>
      <c r="X2" s="416" t="s">
        <v>717</v>
      </c>
      <c r="Y2" s="416" t="s">
        <v>226</v>
      </c>
      <c r="Z2" s="938" t="s">
        <v>718</v>
      </c>
      <c r="AA2" s="1401"/>
      <c r="AB2" s="1411"/>
      <c r="AC2" s="1409"/>
      <c r="AD2" s="417"/>
    </row>
    <row r="3" spans="1:30">
      <c r="B3" s="939" t="s">
        <v>738</v>
      </c>
      <c r="C3" s="973">
        <f>CUADRO3!C9</f>
        <v>1957.13745990966</v>
      </c>
      <c r="D3" s="974">
        <v>17886.424470566002</v>
      </c>
      <c r="E3" s="974">
        <v>0</v>
      </c>
      <c r="F3" s="974">
        <f>CUADRO3!C11</f>
        <v>3708.0321649999996</v>
      </c>
      <c r="G3" s="974">
        <f>CUADRO3!C14</f>
        <v>51279.987209247607</v>
      </c>
      <c r="H3" s="974">
        <f>CUADRO3!C12</f>
        <v>22283.143681192396</v>
      </c>
      <c r="I3" s="974">
        <f>CUADRO3!C13</f>
        <v>67.94169162</v>
      </c>
      <c r="J3" s="974">
        <f>CUADRO3!C15</f>
        <v>68.800938663572154</v>
      </c>
      <c r="K3" s="941">
        <v>0</v>
      </c>
      <c r="L3" s="941">
        <v>0</v>
      </c>
      <c r="M3" s="941">
        <v>0</v>
      </c>
      <c r="N3" s="941">
        <v>0</v>
      </c>
      <c r="O3" s="941">
        <v>0</v>
      </c>
      <c r="P3" s="941">
        <v>0</v>
      </c>
      <c r="Q3" s="941">
        <v>0</v>
      </c>
      <c r="R3" s="941">
        <v>0</v>
      </c>
      <c r="S3" s="941">
        <v>0</v>
      </c>
      <c r="T3" s="941">
        <v>0</v>
      </c>
      <c r="U3" s="941">
        <v>0</v>
      </c>
      <c r="V3" s="941">
        <v>0</v>
      </c>
      <c r="W3" s="941">
        <v>0</v>
      </c>
      <c r="X3" s="941">
        <v>0</v>
      </c>
      <c r="Y3" s="941">
        <v>0</v>
      </c>
      <c r="Z3" s="941">
        <v>0</v>
      </c>
      <c r="AA3" s="941">
        <v>0</v>
      </c>
      <c r="AB3" s="942">
        <v>0</v>
      </c>
      <c r="AC3" s="943">
        <f>SUM(C3:AB3)</f>
        <v>97251.467616199225</v>
      </c>
      <c r="AD3" s="412"/>
    </row>
    <row r="4" spans="1:30">
      <c r="B4" s="944" t="s">
        <v>720</v>
      </c>
      <c r="C4" s="945">
        <f>CUADRO3!D9</f>
        <v>103619.40288279117</v>
      </c>
      <c r="D4" s="946">
        <f>CUADRO3!D10</f>
        <v>8263.6502244328694</v>
      </c>
      <c r="E4" s="946">
        <v>4957.2972488654223</v>
      </c>
      <c r="F4" s="946">
        <f>CUADRO3!D11</f>
        <v>38156.598983924494</v>
      </c>
      <c r="G4" s="946">
        <f>CUADRO3!D14</f>
        <v>0</v>
      </c>
      <c r="H4" s="946">
        <f>CUADRO3!D12</f>
        <v>0</v>
      </c>
      <c r="I4" s="946">
        <f>CUADRO3!D13</f>
        <v>0</v>
      </c>
      <c r="J4" s="946">
        <f>CUADRO3!D13</f>
        <v>0</v>
      </c>
      <c r="K4" s="946">
        <f>CUADRO4!D12</f>
        <v>45611.942778616802</v>
      </c>
      <c r="L4" s="946">
        <f>CUADRO4!D11</f>
        <v>4963.1864680125</v>
      </c>
      <c r="M4" s="946">
        <f>CUADRO4!D13</f>
        <v>6255.020895312</v>
      </c>
      <c r="N4" s="946">
        <f>CUADRO4!D14</f>
        <v>0</v>
      </c>
      <c r="O4" s="946">
        <f>CUADRO4!D15</f>
        <v>9827.2807492295433</v>
      </c>
      <c r="P4" s="946">
        <f>CUADRO4!D16</f>
        <v>0</v>
      </c>
      <c r="Q4" s="946">
        <f>CUADRO4!D17</f>
        <v>1935.4769975879999</v>
      </c>
      <c r="R4" s="946">
        <f>CUADRO4!D18</f>
        <v>34.899969999999996</v>
      </c>
      <c r="S4" s="946">
        <f>CUADRO4!D19</f>
        <v>0</v>
      </c>
      <c r="T4" s="946">
        <v>2940.1153326999997</v>
      </c>
      <c r="U4" s="946">
        <v>0</v>
      </c>
      <c r="V4" s="946">
        <f>CUADRO4!D20</f>
        <v>1159.28</v>
      </c>
      <c r="W4" s="946">
        <v>0</v>
      </c>
      <c r="X4" s="946">
        <v>0</v>
      </c>
      <c r="Y4" s="946">
        <f>CUADRO4!D23</f>
        <v>0</v>
      </c>
      <c r="Z4" s="946">
        <f>CUADRO4!D25</f>
        <v>0</v>
      </c>
      <c r="AA4" s="946">
        <v>0</v>
      </c>
      <c r="AB4" s="947">
        <f>CUADRO4!D27</f>
        <v>0</v>
      </c>
      <c r="AC4" s="948">
        <f t="shared" ref="AC4:AC38" si="0">SUM(C4:AB4)</f>
        <v>227724.15253147279</v>
      </c>
      <c r="AD4" s="412"/>
    </row>
    <row r="5" spans="1:30">
      <c r="B5" s="944" t="s">
        <v>721</v>
      </c>
      <c r="C5" s="945">
        <f>CUADRO3!E9</f>
        <v>0</v>
      </c>
      <c r="D5" s="946">
        <f>CUADRO3!E10</f>
        <v>0</v>
      </c>
      <c r="E5" s="946">
        <v>0</v>
      </c>
      <c r="F5" s="946">
        <f>CUADRO3!E11</f>
        <v>0</v>
      </c>
      <c r="G5" s="946">
        <f>CUADRO3!E14</f>
        <v>0</v>
      </c>
      <c r="H5" s="946">
        <f>CUADRO3!E12</f>
        <v>0</v>
      </c>
      <c r="I5" s="946">
        <f>CUADRO3!E13</f>
        <v>0</v>
      </c>
      <c r="J5" s="946">
        <f>CUADRO3!E13</f>
        <v>0</v>
      </c>
      <c r="K5" s="946">
        <f>CUADRO4!E12</f>
        <v>5168.8609708679978</v>
      </c>
      <c r="L5" s="946">
        <f>CUADRO4!E11</f>
        <v>847.01147894999997</v>
      </c>
      <c r="M5" s="946">
        <f>CUADRO4!E13</f>
        <v>6748.3927770560013</v>
      </c>
      <c r="N5" s="946">
        <f>CUADRO4!E14</f>
        <v>0</v>
      </c>
      <c r="O5" s="946">
        <f>CUADRO4!E15</f>
        <v>381.89146960799997</v>
      </c>
      <c r="P5" s="946">
        <f>CUADRO4!E16</f>
        <v>0</v>
      </c>
      <c r="Q5" s="946">
        <f>CUADRO4!E17</f>
        <v>0</v>
      </c>
      <c r="R5" s="946">
        <f>CUADRO4!E18</f>
        <v>301.73493000000008</v>
      </c>
      <c r="S5" s="946">
        <f>CUADRO4!E19</f>
        <v>0</v>
      </c>
      <c r="T5" s="946">
        <v>0</v>
      </c>
      <c r="U5" s="946">
        <v>0</v>
      </c>
      <c r="V5" s="946">
        <f>CUADRO4!E20</f>
        <v>0</v>
      </c>
      <c r="W5" s="946">
        <v>0</v>
      </c>
      <c r="X5" s="946">
        <v>0</v>
      </c>
      <c r="Y5" s="946">
        <f>CUADRO4!E23</f>
        <v>0</v>
      </c>
      <c r="Z5" s="946">
        <f>CUADRO4!E25</f>
        <v>0</v>
      </c>
      <c r="AA5" s="946">
        <v>0</v>
      </c>
      <c r="AB5" s="947">
        <f>CUADRO4!E27</f>
        <v>4432.5817789377579</v>
      </c>
      <c r="AC5" s="948">
        <f t="shared" si="0"/>
        <v>17880.473405419754</v>
      </c>
      <c r="AD5" s="412"/>
    </row>
    <row r="6" spans="1:30" ht="13.5" thickBot="1">
      <c r="B6" s="949" t="s">
        <v>722</v>
      </c>
      <c r="C6" s="950">
        <f>CUADRO3!F9</f>
        <v>-911.38588984677335</v>
      </c>
      <c r="D6" s="951">
        <f>CUADRO3!F10+CUADRO3!E25</f>
        <v>2117.775937630784</v>
      </c>
      <c r="E6" s="951">
        <v>0</v>
      </c>
      <c r="F6" s="951">
        <f>CUADRO3!F11</f>
        <v>1918.3063636803372</v>
      </c>
      <c r="G6" s="951">
        <f>CUADRO3!F14</f>
        <v>0</v>
      </c>
      <c r="H6" s="951">
        <f>CUADRO3!F12</f>
        <v>632.83063562544055</v>
      </c>
      <c r="I6" s="951">
        <f>CUADRO3!F13</f>
        <v>0</v>
      </c>
      <c r="J6" s="951">
        <f>CUADRO3!F13</f>
        <v>0</v>
      </c>
      <c r="K6" s="951">
        <f>CUADRO4!F12</f>
        <v>-4715.189597661586</v>
      </c>
      <c r="L6" s="951">
        <f>CUADRO4!F11</f>
        <v>966.35113574999832</v>
      </c>
      <c r="M6" s="951">
        <f>CUADRO4!F13</f>
        <v>-1032.5177045120031</v>
      </c>
      <c r="N6" s="951">
        <f>CUADRO4!F14</f>
        <v>-667.03248081900006</v>
      </c>
      <c r="O6" s="951">
        <f>CUADRO4!F15</f>
        <v>2096.398584976097</v>
      </c>
      <c r="P6" s="951">
        <f>CUADRO4!F16</f>
        <v>14.367191999999999</v>
      </c>
      <c r="Q6" s="951">
        <f>CUADRO4!F17</f>
        <v>1039.3869818028393</v>
      </c>
      <c r="R6" s="951">
        <f>CUADRO4!F18</f>
        <v>54.83747744999993</v>
      </c>
      <c r="S6" s="951">
        <f>CUADRO4!F19</f>
        <v>-3.3269999999998392</v>
      </c>
      <c r="T6" s="951">
        <v>500.79385610950885</v>
      </c>
      <c r="U6" s="951">
        <v>0</v>
      </c>
      <c r="V6" s="951">
        <f>CUADRO4!F20</f>
        <v>4291.6041415141517</v>
      </c>
      <c r="W6" s="951">
        <v>-162.44273649999968</v>
      </c>
      <c r="X6" s="951">
        <v>6.1680000000001201</v>
      </c>
      <c r="Y6" s="951">
        <f>CUADRO4!F23</f>
        <v>18.97</v>
      </c>
      <c r="Z6" s="951">
        <f>CUADRO4!F25</f>
        <v>180.22763999999998</v>
      </c>
      <c r="AA6" s="951">
        <v>13.522683599472032</v>
      </c>
      <c r="AB6" s="952">
        <f>CUADRO4!F27</f>
        <v>218.42596368937146</v>
      </c>
      <c r="AC6" s="953">
        <f t="shared" si="0"/>
        <v>6578.0711844886382</v>
      </c>
      <c r="AD6" s="412"/>
    </row>
    <row r="7" spans="1:30" ht="13.5" thickBot="1">
      <c r="B7" s="954" t="s">
        <v>739</v>
      </c>
      <c r="C7" s="955">
        <f t="shared" ref="C7:I7" si="1">C3+C4-C5-C6</f>
        <v>106487.9262325476</v>
      </c>
      <c r="D7" s="956">
        <f>D3+D4-D5-D6</f>
        <v>24032.298757368088</v>
      </c>
      <c r="E7" s="956">
        <f t="shared" si="1"/>
        <v>4957.2972488654223</v>
      </c>
      <c r="F7" s="956">
        <f t="shared" si="1"/>
        <v>39946.324785244156</v>
      </c>
      <c r="G7" s="956">
        <f t="shared" si="1"/>
        <v>51279.987209247607</v>
      </c>
      <c r="H7" s="956">
        <f t="shared" si="1"/>
        <v>21650.313045566956</v>
      </c>
      <c r="I7" s="956">
        <f t="shared" si="1"/>
        <v>67.94169162</v>
      </c>
      <c r="J7" s="956">
        <f>J3+J4-J5-J6</f>
        <v>68.800938663572154</v>
      </c>
      <c r="K7" s="956">
        <f t="shared" ref="K7:AB7" si="2">K3+K4-K5-K6</f>
        <v>45158.271405410393</v>
      </c>
      <c r="L7" s="956">
        <f t="shared" si="2"/>
        <v>3149.8238533125013</v>
      </c>
      <c r="M7" s="956">
        <f t="shared" si="2"/>
        <v>539.14582276800184</v>
      </c>
      <c r="N7" s="956">
        <f t="shared" si="2"/>
        <v>667.03248081900006</v>
      </c>
      <c r="O7" s="956">
        <f t="shared" si="2"/>
        <v>7348.9906946454466</v>
      </c>
      <c r="P7" s="956">
        <f t="shared" si="2"/>
        <v>-14.367191999999999</v>
      </c>
      <c r="Q7" s="956">
        <f t="shared" si="2"/>
        <v>896.09001578516063</v>
      </c>
      <c r="R7" s="956">
        <f t="shared" si="2"/>
        <v>-321.67243745000002</v>
      </c>
      <c r="S7" s="956">
        <f t="shared" si="2"/>
        <v>3.3269999999998392</v>
      </c>
      <c r="T7" s="956">
        <f t="shared" si="2"/>
        <v>2439.3214765904909</v>
      </c>
      <c r="U7" s="956">
        <f t="shared" si="2"/>
        <v>0</v>
      </c>
      <c r="V7" s="956">
        <f t="shared" si="2"/>
        <v>-3132.324141514152</v>
      </c>
      <c r="W7" s="956">
        <f t="shared" si="2"/>
        <v>162.44273649999968</v>
      </c>
      <c r="X7" s="956">
        <f t="shared" si="2"/>
        <v>-6.1680000000001201</v>
      </c>
      <c r="Y7" s="956">
        <f t="shared" si="2"/>
        <v>-18.97</v>
      </c>
      <c r="Z7" s="956">
        <f t="shared" si="2"/>
        <v>-180.22763999999998</v>
      </c>
      <c r="AA7" s="957">
        <f t="shared" si="2"/>
        <v>-13.522683599472032</v>
      </c>
      <c r="AB7" s="957">
        <f t="shared" si="2"/>
        <v>-4651.0077426271291</v>
      </c>
      <c r="AC7" s="958">
        <f>SUM(C7:AB7)</f>
        <v>300517.07555776369</v>
      </c>
      <c r="AD7" s="411"/>
    </row>
    <row r="8" spans="1:30">
      <c r="A8" s="1394" t="s">
        <v>4</v>
      </c>
      <c r="B8" s="959" t="s">
        <v>723</v>
      </c>
      <c r="C8" s="940">
        <v>0</v>
      </c>
      <c r="D8" s="941">
        <f>-CONS_TERAC!S49</f>
        <v>-535.06257310656008</v>
      </c>
      <c r="E8" s="941">
        <v>0</v>
      </c>
      <c r="F8" s="941">
        <f>-CONS_TERAC!N49</f>
        <v>0</v>
      </c>
      <c r="G8" s="941">
        <f>-CONS_TERAC!V49</f>
        <v>-5880.1823984000757</v>
      </c>
      <c r="H8" s="941">
        <v>-322.89321866</v>
      </c>
      <c r="I8" s="941">
        <v>0</v>
      </c>
      <c r="J8" s="941">
        <f>-CONS_TERAC!U49</f>
        <v>0</v>
      </c>
      <c r="K8" s="941">
        <f>-CONS_TERAC!C49</f>
        <v>-410.33141849059501</v>
      </c>
      <c r="L8" s="941">
        <f>-CONS_TERAC!D49</f>
        <v>-1197.510138069</v>
      </c>
      <c r="M8" s="941">
        <v>0</v>
      </c>
      <c r="N8" s="941">
        <v>0</v>
      </c>
      <c r="O8" s="941">
        <f>-CONS_TERAC!G49</f>
        <v>-10.0628198</v>
      </c>
      <c r="P8" s="941">
        <v>0</v>
      </c>
      <c r="Q8" s="941">
        <v>0</v>
      </c>
      <c r="R8" s="941">
        <v>0</v>
      </c>
      <c r="S8" s="941">
        <f>-CONS_TERAC!K49</f>
        <v>-188.53401745400006</v>
      </c>
      <c r="T8" s="941">
        <v>0</v>
      </c>
      <c r="U8" s="941">
        <v>0</v>
      </c>
      <c r="V8" s="941">
        <v>3197.1241111062145</v>
      </c>
      <c r="W8" s="941">
        <v>0</v>
      </c>
      <c r="X8" s="941">
        <v>0</v>
      </c>
      <c r="Y8" s="941">
        <v>0</v>
      </c>
      <c r="Z8" s="941">
        <v>0</v>
      </c>
      <c r="AA8" s="942">
        <v>0</v>
      </c>
      <c r="AB8" s="942">
        <v>0</v>
      </c>
      <c r="AC8" s="943">
        <f t="shared" si="0"/>
        <v>-5347.4524728740153</v>
      </c>
      <c r="AD8" s="412"/>
    </row>
    <row r="9" spans="1:30">
      <c r="A9" s="1395"/>
      <c r="B9" s="960" t="s">
        <v>724</v>
      </c>
      <c r="C9" s="945">
        <v>0</v>
      </c>
      <c r="D9" s="946">
        <f>-CONS_TERAC!S50</f>
        <v>-8056.9488230933948</v>
      </c>
      <c r="E9" s="946">
        <v>0</v>
      </c>
      <c r="F9" s="946">
        <f>-CONS_TERAC!N50</f>
        <v>-33506.247771058537</v>
      </c>
      <c r="G9" s="946">
        <f>-CONS_TERAC!V50</f>
        <v>0</v>
      </c>
      <c r="H9" s="946">
        <v>-21327.41982690696</v>
      </c>
      <c r="I9" s="946">
        <v>-67.94169162</v>
      </c>
      <c r="J9" s="946">
        <f>-CONS_TERAC!U50</f>
        <v>0</v>
      </c>
      <c r="K9" s="946">
        <f>-CONS_TERAC!C50</f>
        <v>-19683.611521896</v>
      </c>
      <c r="L9" s="946">
        <f>-CONS_TERAC!D50</f>
        <v>-1372.0946085</v>
      </c>
      <c r="M9" s="946">
        <v>0</v>
      </c>
      <c r="N9" s="946">
        <v>0</v>
      </c>
      <c r="O9" s="946">
        <f>-CONS_TERAC!G50</f>
        <v>-120.255109521943</v>
      </c>
      <c r="P9" s="946">
        <v>0</v>
      </c>
      <c r="Q9" s="946">
        <v>0</v>
      </c>
      <c r="R9" s="946">
        <v>0</v>
      </c>
      <c r="S9" s="946">
        <v>0</v>
      </c>
      <c r="T9" s="946">
        <f>-CONS_TERAC!O50</f>
        <v>-5032.3818471696031</v>
      </c>
      <c r="U9" s="946">
        <v>0</v>
      </c>
      <c r="V9" s="946">
        <f>CUADRO4!C20-BALANCE!V8</f>
        <v>48136.314416656445</v>
      </c>
      <c r="W9" s="946">
        <v>0</v>
      </c>
      <c r="X9" s="946">
        <v>0</v>
      </c>
      <c r="Y9" s="946">
        <v>0</v>
      </c>
      <c r="Z9" s="946">
        <v>0</v>
      </c>
      <c r="AA9" s="947">
        <v>0</v>
      </c>
      <c r="AB9" s="947">
        <v>0</v>
      </c>
      <c r="AC9" s="948">
        <f t="shared" si="0"/>
        <v>-41030.586783109989</v>
      </c>
      <c r="AD9" s="412"/>
    </row>
    <row r="10" spans="1:30">
      <c r="A10" s="1395"/>
      <c r="B10" s="960" t="s">
        <v>725</v>
      </c>
      <c r="C10" s="945">
        <v>0</v>
      </c>
      <c r="D10" s="946">
        <v>0</v>
      </c>
      <c r="E10" s="946">
        <v>0</v>
      </c>
      <c r="F10" s="946">
        <v>0</v>
      </c>
      <c r="G10" s="946">
        <v>0</v>
      </c>
      <c r="H10" s="946">
        <v>0</v>
      </c>
      <c r="I10" s="946">
        <v>0</v>
      </c>
      <c r="J10" s="946">
        <v>0</v>
      </c>
      <c r="K10" s="946">
        <v>0</v>
      </c>
      <c r="L10" s="946">
        <v>0</v>
      </c>
      <c r="M10" s="946">
        <v>0</v>
      </c>
      <c r="N10" s="946">
        <v>0</v>
      </c>
      <c r="O10" s="946">
        <v>0</v>
      </c>
      <c r="P10" s="946">
        <v>0</v>
      </c>
      <c r="Q10" s="946">
        <v>0</v>
      </c>
      <c r="R10" s="946">
        <v>0</v>
      </c>
      <c r="S10" s="946">
        <v>0</v>
      </c>
      <c r="T10" s="946">
        <v>0</v>
      </c>
      <c r="U10" s="946">
        <v>0</v>
      </c>
      <c r="V10" s="946">
        <v>0</v>
      </c>
      <c r="W10" s="946">
        <f>-CONS_TERAC!O51</f>
        <v>-1090.424</v>
      </c>
      <c r="X10" s="946">
        <v>0</v>
      </c>
      <c r="Y10" s="946">
        <v>0</v>
      </c>
      <c r="Z10" s="946">
        <f>CUADRO4!C25</f>
        <v>1059.98164</v>
      </c>
      <c r="AA10" s="947">
        <v>0</v>
      </c>
      <c r="AB10" s="947">
        <v>0</v>
      </c>
      <c r="AC10" s="948">
        <f t="shared" si="0"/>
        <v>-30.442360000000008</v>
      </c>
      <c r="AD10" s="412"/>
    </row>
    <row r="11" spans="1:30">
      <c r="A11" s="1395"/>
      <c r="B11" s="960" t="s">
        <v>726</v>
      </c>
      <c r="C11" s="945">
        <v>0</v>
      </c>
      <c r="D11" s="946">
        <v>0</v>
      </c>
      <c r="E11" s="946">
        <v>0</v>
      </c>
      <c r="F11" s="946">
        <f>-CONS_TERAC!N52</f>
        <v>-4254.66</v>
      </c>
      <c r="G11" s="946">
        <v>0</v>
      </c>
      <c r="H11" s="946">
        <v>0</v>
      </c>
      <c r="I11" s="946">
        <v>0</v>
      </c>
      <c r="J11" s="946">
        <v>0</v>
      </c>
      <c r="K11" s="946">
        <v>0</v>
      </c>
      <c r="L11" s="946">
        <v>0</v>
      </c>
      <c r="M11" s="946">
        <v>0</v>
      </c>
      <c r="N11" s="946">
        <v>0</v>
      </c>
      <c r="O11" s="946">
        <v>0</v>
      </c>
      <c r="P11" s="946">
        <v>0</v>
      </c>
      <c r="Q11" s="946">
        <v>0</v>
      </c>
      <c r="R11" s="946">
        <v>0</v>
      </c>
      <c r="S11" s="946">
        <v>0</v>
      </c>
      <c r="T11" s="961">
        <v>0</v>
      </c>
      <c r="U11" s="946">
        <v>0</v>
      </c>
      <c r="V11" s="946">
        <v>0</v>
      </c>
      <c r="W11" s="946">
        <v>3104.0496000000003</v>
      </c>
      <c r="X11" s="946">
        <v>983.86599999999999</v>
      </c>
      <c r="Y11" s="946">
        <f>CUADRO4!C23</f>
        <v>182.905</v>
      </c>
      <c r="Z11" s="946">
        <v>0</v>
      </c>
      <c r="AA11" s="947">
        <v>0</v>
      </c>
      <c r="AB11" s="947">
        <v>0</v>
      </c>
      <c r="AC11" s="948">
        <f t="shared" si="0"/>
        <v>16.160600000000414</v>
      </c>
      <c r="AD11" s="412"/>
    </row>
    <row r="12" spans="1:30">
      <c r="A12" s="1395"/>
      <c r="B12" s="960" t="s">
        <v>727</v>
      </c>
      <c r="C12" s="945">
        <v>0</v>
      </c>
      <c r="D12" s="946">
        <v>5500.2947339471875</v>
      </c>
      <c r="E12" s="946">
        <f>-E7</f>
        <v>-4957.2972488654223</v>
      </c>
      <c r="F12" s="946">
        <v>0</v>
      </c>
      <c r="G12" s="946">
        <v>0</v>
      </c>
      <c r="H12" s="946">
        <v>0</v>
      </c>
      <c r="I12" s="946">
        <v>0</v>
      </c>
      <c r="J12" s="946">
        <f>-CONS_TERAC!U51</f>
        <v>-68.800938663572154</v>
      </c>
      <c r="K12" s="946">
        <v>0</v>
      </c>
      <c r="L12" s="946">
        <v>0</v>
      </c>
      <c r="M12" s="946">
        <v>0</v>
      </c>
      <c r="N12" s="946">
        <v>0</v>
      </c>
      <c r="O12" s="946">
        <f>-CONS_TERAC!G51</f>
        <v>-804.40281922694885</v>
      </c>
      <c r="P12" s="946">
        <v>0</v>
      </c>
      <c r="Q12" s="946">
        <v>0</v>
      </c>
      <c r="R12" s="946">
        <v>0</v>
      </c>
      <c r="S12" s="946">
        <v>0</v>
      </c>
      <c r="T12" s="946">
        <v>0</v>
      </c>
      <c r="U12" s="946">
        <v>0</v>
      </c>
      <c r="V12" s="946">
        <v>0</v>
      </c>
      <c r="W12" s="946">
        <v>0</v>
      </c>
      <c r="X12" s="961">
        <v>0</v>
      </c>
      <c r="Y12" s="946">
        <v>0</v>
      </c>
      <c r="Z12" s="946">
        <v>0</v>
      </c>
      <c r="AA12" s="947">
        <v>249.43925220598567</v>
      </c>
      <c r="AB12" s="947">
        <v>0</v>
      </c>
      <c r="AC12" s="948">
        <f t="shared" si="0"/>
        <v>-80.76702060277006</v>
      </c>
      <c r="AD12" s="412"/>
    </row>
    <row r="13" spans="1:30">
      <c r="A13" s="1395"/>
      <c r="B13" s="962" t="s">
        <v>728</v>
      </c>
      <c r="C13" s="963">
        <v>0</v>
      </c>
      <c r="D13" s="964">
        <f>-CONS_TERAC!S55</f>
        <v>-8532.9731999999985</v>
      </c>
      <c r="E13" s="964">
        <v>0</v>
      </c>
      <c r="F13" s="964">
        <v>0</v>
      </c>
      <c r="G13" s="964">
        <v>0</v>
      </c>
      <c r="H13" s="964">
        <v>0</v>
      </c>
      <c r="I13" s="964">
        <v>0</v>
      </c>
      <c r="J13" s="964">
        <f>-CONS_TERAC!U55</f>
        <v>0</v>
      </c>
      <c r="K13" s="964">
        <v>0</v>
      </c>
      <c r="L13" s="964">
        <v>0</v>
      </c>
      <c r="M13" s="964">
        <v>0</v>
      </c>
      <c r="N13" s="964">
        <v>0</v>
      </c>
      <c r="O13" s="964">
        <v>0</v>
      </c>
      <c r="P13" s="964">
        <v>0</v>
      </c>
      <c r="Q13" s="964">
        <v>0</v>
      </c>
      <c r="R13" s="964">
        <v>0</v>
      </c>
      <c r="S13" s="964">
        <v>0</v>
      </c>
      <c r="T13" s="964">
        <v>0</v>
      </c>
      <c r="U13" s="964">
        <v>0</v>
      </c>
      <c r="V13" s="964">
        <v>0</v>
      </c>
      <c r="W13" s="964">
        <v>0</v>
      </c>
      <c r="X13" s="964">
        <v>0</v>
      </c>
      <c r="Y13" s="964">
        <v>0</v>
      </c>
      <c r="Z13" s="964">
        <v>0</v>
      </c>
      <c r="AA13" s="947">
        <v>0</v>
      </c>
      <c r="AB13" s="947">
        <f>CUADRO4!C27</f>
        <v>5098.0738685039996</v>
      </c>
      <c r="AC13" s="948">
        <f>SUM(C13:AB13)</f>
        <v>-3434.8993314959989</v>
      </c>
      <c r="AD13" s="412"/>
    </row>
    <row r="14" spans="1:30" ht="13.5" thickBot="1">
      <c r="A14" s="1396"/>
      <c r="B14" s="965" t="s">
        <v>729</v>
      </c>
      <c r="C14" s="950">
        <f>-CUADRO3!G9</f>
        <v>-106487.9262325476</v>
      </c>
      <c r="D14" s="951">
        <f>-CONS_TERAC!S53</f>
        <v>-5093.0010335739998</v>
      </c>
      <c r="E14" s="951">
        <v>0</v>
      </c>
      <c r="F14" s="951">
        <v>0</v>
      </c>
      <c r="G14" s="951">
        <v>0</v>
      </c>
      <c r="H14" s="951">
        <v>0</v>
      </c>
      <c r="I14" s="951">
        <v>0</v>
      </c>
      <c r="J14" s="951">
        <f>-CONS_TERAC!U53</f>
        <v>0</v>
      </c>
      <c r="K14" s="951">
        <f>CUADRO4!C12</f>
        <v>37512.607992971993</v>
      </c>
      <c r="L14" s="951">
        <f>CUADRO4!C11</f>
        <v>18923.525302499998</v>
      </c>
      <c r="M14" s="951">
        <f>CUADRO4!C13</f>
        <v>27380.344138447988</v>
      </c>
      <c r="N14" s="951">
        <f>CUADRO4!C14</f>
        <v>678.76205850000008</v>
      </c>
      <c r="O14" s="951">
        <f>CUADRO4!C15</f>
        <v>9096.6720437999993</v>
      </c>
      <c r="P14" s="951">
        <f>CUADRO4!C16</f>
        <v>70.634171999999992</v>
      </c>
      <c r="Q14" s="951">
        <f>CUADRO4!C17</f>
        <v>6858.2134215000005</v>
      </c>
      <c r="R14" s="951">
        <f>CUADRO4!C18</f>
        <v>1379.3031000000001</v>
      </c>
      <c r="S14" s="951">
        <f>CUADRO4!C19</f>
        <v>3599.0224453340006</v>
      </c>
      <c r="T14" s="951">
        <v>4501.3435346696033</v>
      </c>
      <c r="U14" s="951">
        <f>CUADRO11!C17</f>
        <v>1955.6977122799999</v>
      </c>
      <c r="V14" s="951">
        <v>0</v>
      </c>
      <c r="W14" s="951">
        <v>0</v>
      </c>
      <c r="X14" s="951">
        <v>0</v>
      </c>
      <c r="Y14" s="951">
        <v>0</v>
      </c>
      <c r="Z14" s="951">
        <v>0</v>
      </c>
      <c r="AA14" s="952">
        <v>0</v>
      </c>
      <c r="AB14" s="952">
        <v>0</v>
      </c>
      <c r="AC14" s="953">
        <f>SUM(C14:AB14)</f>
        <v>375.19865588199718</v>
      </c>
      <c r="AD14" s="412"/>
    </row>
    <row r="15" spans="1:30" ht="13.5" thickBot="1">
      <c r="B15" s="954" t="s">
        <v>261</v>
      </c>
      <c r="C15" s="966">
        <f>SUM(C7:C14)</f>
        <v>0</v>
      </c>
      <c r="D15" s="967">
        <f>SUM(D7:D14)</f>
        <v>7314.6078615413235</v>
      </c>
      <c r="E15" s="967">
        <f>SUM(E7:E14)</f>
        <v>0</v>
      </c>
      <c r="F15" s="967">
        <f>SUM(F7:F14)</f>
        <v>2185.4170141856193</v>
      </c>
      <c r="G15" s="967">
        <f>SUM(G7:G14)</f>
        <v>45399.804810847534</v>
      </c>
      <c r="H15" s="967">
        <f t="shared" ref="H15:AA15" si="3">SUM(H7:H14)</f>
        <v>-3.637978807091713E-12</v>
      </c>
      <c r="I15" s="967">
        <f>SUM(I7:I14)</f>
        <v>0</v>
      </c>
      <c r="J15" s="967">
        <f>SUM(J7:J14)</f>
        <v>0</v>
      </c>
      <c r="K15" s="967">
        <f>SUM(K7:K14)</f>
        <v>62576.936457995791</v>
      </c>
      <c r="L15" s="967">
        <f t="shared" si="3"/>
        <v>19503.7444092435</v>
      </c>
      <c r="M15" s="967">
        <f t="shared" si="3"/>
        <v>27919.48996121599</v>
      </c>
      <c r="N15" s="967">
        <f t="shared" si="3"/>
        <v>1345.7945393190003</v>
      </c>
      <c r="O15" s="967">
        <f>SUM(O7:O14)</f>
        <v>15510.941989896553</v>
      </c>
      <c r="P15" s="967">
        <f t="shared" si="3"/>
        <v>56.26697999999999</v>
      </c>
      <c r="Q15" s="967">
        <f t="shared" si="3"/>
        <v>7754.3034372851616</v>
      </c>
      <c r="R15" s="967">
        <f t="shared" si="3"/>
        <v>1057.6306625500001</v>
      </c>
      <c r="S15" s="967">
        <f t="shared" si="3"/>
        <v>3413.8154278800002</v>
      </c>
      <c r="T15" s="967">
        <f>SUM(T7:T14)</f>
        <v>1908.283164090491</v>
      </c>
      <c r="U15" s="967">
        <f>SUM(U7:U14)</f>
        <v>1955.6977122799999</v>
      </c>
      <c r="V15" s="967">
        <f t="shared" si="3"/>
        <v>48201.114386248504</v>
      </c>
      <c r="W15" s="967">
        <f>SUM(W7:W14)</f>
        <v>2176.0683365</v>
      </c>
      <c r="X15" s="967">
        <f>SUM(X7:X14)</f>
        <v>977.69799999999987</v>
      </c>
      <c r="Y15" s="967">
        <f t="shared" si="3"/>
        <v>163.935</v>
      </c>
      <c r="Z15" s="967">
        <f t="shared" si="3"/>
        <v>879.75400000000002</v>
      </c>
      <c r="AA15" s="968">
        <f t="shared" si="3"/>
        <v>235.91656860651364</v>
      </c>
      <c r="AB15" s="968">
        <f>SUM(AB7:AB14)</f>
        <v>447.0661258768705</v>
      </c>
      <c r="AC15" s="958">
        <f>SUM(C15:AB15)</f>
        <v>250984.28684556286</v>
      </c>
      <c r="AD15" s="411"/>
    </row>
    <row r="16" spans="1:30" ht="13.5" thickBot="1">
      <c r="A16" s="1394" t="s">
        <v>3</v>
      </c>
      <c r="B16" s="954" t="s">
        <v>730</v>
      </c>
      <c r="C16" s="969">
        <v>0</v>
      </c>
      <c r="D16" s="970">
        <f>CONS_TERAC!S44</f>
        <v>11.114867149777659</v>
      </c>
      <c r="E16" s="970">
        <f>CONS_TERAC!T44</f>
        <v>0</v>
      </c>
      <c r="F16" s="970">
        <f>CONS_TERAC!N44</f>
        <v>0</v>
      </c>
      <c r="G16" s="970">
        <f>CONS_TERAC!V44</f>
        <v>0</v>
      </c>
      <c r="H16" s="970">
        <v>0</v>
      </c>
      <c r="I16" s="970">
        <v>0</v>
      </c>
      <c r="J16" s="970">
        <v>0</v>
      </c>
      <c r="K16" s="970">
        <f>CONS_TERAC!C44</f>
        <v>27.591532752000003</v>
      </c>
      <c r="L16" s="970">
        <f>CONS_TERAC!D44</f>
        <v>850.79799000000003</v>
      </c>
      <c r="M16" s="970">
        <f>CONS_TERAC!E44</f>
        <v>0.34584479999999995</v>
      </c>
      <c r="N16" s="970">
        <f>CONS_TERAC!F44</f>
        <v>0</v>
      </c>
      <c r="O16" s="970">
        <f>CONS_TERAC!G44</f>
        <v>1329.6875153603971</v>
      </c>
      <c r="P16" s="970">
        <f>CONS_TERAC!H44</f>
        <v>0</v>
      </c>
      <c r="Q16" s="970">
        <f>CONS_TERAC!I44</f>
        <v>0</v>
      </c>
      <c r="R16" s="970">
        <f>CONS_TERAC!J44</f>
        <v>1057.6306625499997</v>
      </c>
      <c r="S16" s="970">
        <f>CONS_TERAC!K44</f>
        <v>3410.4884278800005</v>
      </c>
      <c r="T16" s="970">
        <v>0</v>
      </c>
      <c r="U16" s="970">
        <v>0</v>
      </c>
      <c r="V16" s="970">
        <f>CONS_TERAC!M44</f>
        <v>1868.9056981458937</v>
      </c>
      <c r="W16" s="970">
        <v>0</v>
      </c>
      <c r="X16" s="970">
        <f>CONS_TERAC!Q39</f>
        <v>268.44769491585055</v>
      </c>
      <c r="Y16" s="970">
        <f>CONS_TERAC!P44</f>
        <v>163.935</v>
      </c>
      <c r="Z16" s="970">
        <f>CONS_TERAC!R44</f>
        <v>714.15</v>
      </c>
      <c r="AA16" s="970">
        <f>CONS_TERAC!Q38</f>
        <v>1.7551383729671555</v>
      </c>
      <c r="AB16" s="971">
        <f>CONS_TERAC!T44</f>
        <v>0</v>
      </c>
      <c r="AC16" s="958">
        <f t="shared" si="0"/>
        <v>9704.8503719268865</v>
      </c>
      <c r="AD16" s="411"/>
    </row>
    <row r="17" spans="1:30" ht="13.5" thickBot="1">
      <c r="A17" s="1395"/>
      <c r="B17" s="954" t="s">
        <v>731</v>
      </c>
      <c r="C17" s="969">
        <f t="shared" ref="C17:S17" si="4">SUM(C18:C28)</f>
        <v>0</v>
      </c>
      <c r="D17" s="970">
        <f t="shared" si="4"/>
        <v>1517.8800340793337</v>
      </c>
      <c r="E17" s="970">
        <f t="shared" si="4"/>
        <v>0</v>
      </c>
      <c r="F17" s="970">
        <f t="shared" si="4"/>
        <v>2157.9654141856108</v>
      </c>
      <c r="G17" s="970">
        <f t="shared" si="4"/>
        <v>15747.062102540436</v>
      </c>
      <c r="H17" s="970">
        <f t="shared" si="4"/>
        <v>0</v>
      </c>
      <c r="I17" s="970">
        <f t="shared" si="4"/>
        <v>0</v>
      </c>
      <c r="J17" s="970">
        <f>SUM(J18:J28)</f>
        <v>0</v>
      </c>
      <c r="K17" s="970">
        <f t="shared" si="4"/>
        <v>22031.292348448711</v>
      </c>
      <c r="L17" s="970">
        <f t="shared" si="4"/>
        <v>7493.0966689950001</v>
      </c>
      <c r="M17" s="970">
        <f t="shared" si="4"/>
        <v>0</v>
      </c>
      <c r="N17" s="970">
        <f t="shared" si="4"/>
        <v>405.049126419</v>
      </c>
      <c r="O17" s="970">
        <f t="shared" si="4"/>
        <v>3305.1729430320092</v>
      </c>
      <c r="P17" s="970">
        <f t="shared" si="4"/>
        <v>0</v>
      </c>
      <c r="Q17" s="970">
        <f t="shared" si="4"/>
        <v>0</v>
      </c>
      <c r="R17" s="970">
        <f t="shared" si="4"/>
        <v>0</v>
      </c>
      <c r="S17" s="970">
        <f t="shared" si="4"/>
        <v>3.327</v>
      </c>
      <c r="T17" s="970">
        <f t="shared" ref="T17:AB17" si="5">SUM(T18:T28)</f>
        <v>1908.2831640904908</v>
      </c>
      <c r="U17" s="970">
        <f t="shared" si="5"/>
        <v>0</v>
      </c>
      <c r="V17" s="970">
        <f t="shared" si="5"/>
        <v>31469.173851303614</v>
      </c>
      <c r="W17" s="970">
        <f t="shared" si="5"/>
        <v>2176.0683365</v>
      </c>
      <c r="X17" s="970">
        <f t="shared" si="5"/>
        <v>709.25030508414932</v>
      </c>
      <c r="Y17" s="970">
        <f t="shared" si="5"/>
        <v>0</v>
      </c>
      <c r="Z17" s="970">
        <f t="shared" si="5"/>
        <v>165.60400000000001</v>
      </c>
      <c r="AA17" s="970">
        <f t="shared" si="5"/>
        <v>0</v>
      </c>
      <c r="AB17" s="971">
        <f t="shared" si="5"/>
        <v>447.06612587687079</v>
      </c>
      <c r="AC17" s="958">
        <f t="shared" si="0"/>
        <v>89536.291420555222</v>
      </c>
      <c r="AD17" s="411"/>
    </row>
    <row r="18" spans="1:30">
      <c r="A18" s="1395"/>
      <c r="B18" s="972" t="s">
        <v>241</v>
      </c>
      <c r="C18" s="973">
        <v>0</v>
      </c>
      <c r="D18" s="974">
        <f>CONS_TERAC!S14</f>
        <v>438.10410974911395</v>
      </c>
      <c r="E18" s="974">
        <v>0</v>
      </c>
      <c r="F18" s="974">
        <f>CONS_TERAC!N14</f>
        <v>0</v>
      </c>
      <c r="G18" s="974">
        <f>CONS_TERAC!V14</f>
        <v>0</v>
      </c>
      <c r="H18" s="974">
        <v>0</v>
      </c>
      <c r="I18" s="974">
        <v>0</v>
      </c>
      <c r="J18" s="974">
        <f>CONS_TERAC!U14</f>
        <v>0</v>
      </c>
      <c r="K18" s="974">
        <f>CONS_TERAC!C14</f>
        <v>10693.109635168652</v>
      </c>
      <c r="L18" s="974">
        <f>CONS_TERAC!D14</f>
        <v>1662.3359152050004</v>
      </c>
      <c r="M18" s="974">
        <f>CONS_TERAC!E14</f>
        <v>0</v>
      </c>
      <c r="N18" s="974">
        <f>CONS_TERAC!F14</f>
        <v>81.085378455000011</v>
      </c>
      <c r="O18" s="974">
        <f>CONS_TERAC!G14</f>
        <v>48.976681143500002</v>
      </c>
      <c r="P18" s="974">
        <f>CONS_TERAC!H14</f>
        <v>0</v>
      </c>
      <c r="Q18" s="974">
        <f>CONS_TERAC!I14</f>
        <v>0</v>
      </c>
      <c r="R18" s="974">
        <f>CONS_TERAC!J14</f>
        <v>0</v>
      </c>
      <c r="S18" s="974">
        <f>CONS_TERAC!K14</f>
        <v>0</v>
      </c>
      <c r="T18" s="974">
        <v>0</v>
      </c>
      <c r="U18" s="974">
        <v>0</v>
      </c>
      <c r="V18" s="974">
        <f>CONS_TERAC!M14</f>
        <v>15948.367459527688</v>
      </c>
      <c r="W18" s="974">
        <f>CONS_TERAC!O14</f>
        <v>54.206474</v>
      </c>
      <c r="X18" s="974">
        <f>CONS_TERAC!Q14</f>
        <v>0</v>
      </c>
      <c r="Y18" s="974">
        <f>CONS_TERAC!P14</f>
        <v>0</v>
      </c>
      <c r="Z18" s="974">
        <f>CONS_TERAC!R14</f>
        <v>0</v>
      </c>
      <c r="AA18" s="974">
        <v>0</v>
      </c>
      <c r="AB18" s="975">
        <f>CONS_TERAC!T14</f>
        <v>0</v>
      </c>
      <c r="AC18" s="976">
        <f t="shared" si="0"/>
        <v>28926.185653248955</v>
      </c>
      <c r="AD18" s="412"/>
    </row>
    <row r="19" spans="1:30">
      <c r="A19" s="1395"/>
      <c r="B19" s="972" t="s">
        <v>243</v>
      </c>
      <c r="C19" s="945">
        <v>0</v>
      </c>
      <c r="D19" s="946">
        <f>CONS_TERAC!S15</f>
        <v>136.24364700901799</v>
      </c>
      <c r="E19" s="946">
        <v>0</v>
      </c>
      <c r="F19" s="946">
        <f>CONS_TERAC!N15</f>
        <v>0</v>
      </c>
      <c r="G19" s="946">
        <f>CONS_TERAC!V15</f>
        <v>0</v>
      </c>
      <c r="H19" s="946">
        <v>0</v>
      </c>
      <c r="I19" s="946">
        <v>0</v>
      </c>
      <c r="J19" s="946">
        <f>CONS_TERAC!U15</f>
        <v>0</v>
      </c>
      <c r="K19" s="946">
        <f>CONS_TERAC!C15</f>
        <v>316.40389199999998</v>
      </c>
      <c r="L19" s="946">
        <f>CONS_TERAC!D15</f>
        <v>0</v>
      </c>
      <c r="M19" s="946">
        <f>CONS_TERAC!E15</f>
        <v>0</v>
      </c>
      <c r="N19" s="946">
        <f>CONS_TERAC!F15</f>
        <v>0</v>
      </c>
      <c r="O19" s="946">
        <f>CONS_TERAC!G15</f>
        <v>0</v>
      </c>
      <c r="P19" s="946">
        <f>CONS_TERAC!H15</f>
        <v>0</v>
      </c>
      <c r="Q19" s="946">
        <f>CONS_TERAC!I15</f>
        <v>0</v>
      </c>
      <c r="R19" s="946">
        <f>CONS_TERAC!J15</f>
        <v>0</v>
      </c>
      <c r="S19" s="946">
        <f>CONS_TERAC!K15</f>
        <v>0</v>
      </c>
      <c r="T19" s="946">
        <v>0</v>
      </c>
      <c r="U19" s="946">
        <v>0</v>
      </c>
      <c r="V19" s="946">
        <f>CONS_TERAC!M15</f>
        <v>329.76289350000008</v>
      </c>
      <c r="W19" s="946">
        <f>CONS_TERAC!O15</f>
        <v>0</v>
      </c>
      <c r="X19" s="946">
        <f>CONS_TERAC!Q15</f>
        <v>0</v>
      </c>
      <c r="Y19" s="946">
        <f>CONS_TERAC!P15</f>
        <v>0</v>
      </c>
      <c r="Z19" s="946">
        <f>CONS_TERAC!R15</f>
        <v>0</v>
      </c>
      <c r="AA19" s="946">
        <v>0</v>
      </c>
      <c r="AB19" s="947">
        <f>CONS_TERAC!T15</f>
        <v>0</v>
      </c>
      <c r="AC19" s="948">
        <f t="shared" si="0"/>
        <v>782.41043250901805</v>
      </c>
      <c r="AD19" s="412"/>
    </row>
    <row r="20" spans="1:30">
      <c r="A20" s="1395"/>
      <c r="B20" s="972" t="s">
        <v>244</v>
      </c>
      <c r="C20" s="945">
        <v>0</v>
      </c>
      <c r="D20" s="946">
        <f>CONS_TERAC!S16</f>
        <v>0</v>
      </c>
      <c r="E20" s="946">
        <v>0</v>
      </c>
      <c r="F20" s="946">
        <f>CONS_TERAC!N16</f>
        <v>355.02005700000001</v>
      </c>
      <c r="G20" s="946">
        <f>CONS_TERAC!V16</f>
        <v>0</v>
      </c>
      <c r="H20" s="946">
        <v>0</v>
      </c>
      <c r="I20" s="946">
        <v>0</v>
      </c>
      <c r="J20" s="946">
        <f>CONS_TERAC!U16</f>
        <v>0</v>
      </c>
      <c r="K20" s="946">
        <f>CONS_TERAC!C16</f>
        <v>59.578055375999995</v>
      </c>
      <c r="L20" s="946">
        <f>CONS_TERAC!D16</f>
        <v>28.828799999999998</v>
      </c>
      <c r="M20" s="946">
        <f>CONS_TERAC!E16</f>
        <v>0</v>
      </c>
      <c r="N20" s="946">
        <f>CONS_TERAC!F16</f>
        <v>0</v>
      </c>
      <c r="O20" s="946">
        <f>CONS_TERAC!G16</f>
        <v>1.8398728000000002</v>
      </c>
      <c r="P20" s="946">
        <f>CONS_TERAC!H16</f>
        <v>0</v>
      </c>
      <c r="Q20" s="946">
        <f>CONS_TERAC!I16</f>
        <v>0</v>
      </c>
      <c r="R20" s="946">
        <f>CONS_TERAC!J16</f>
        <v>0</v>
      </c>
      <c r="S20" s="946">
        <f>CONS_TERAC!K16</f>
        <v>0</v>
      </c>
      <c r="T20" s="946">
        <v>0</v>
      </c>
      <c r="U20" s="946">
        <v>0</v>
      </c>
      <c r="V20" s="946">
        <f>CONS_TERAC!M16</f>
        <v>377.43608104000009</v>
      </c>
      <c r="W20" s="946">
        <f>CONS_TERAC!O16</f>
        <v>0</v>
      </c>
      <c r="X20" s="946">
        <f>CONS_TERAC!Q16</f>
        <v>0</v>
      </c>
      <c r="Y20" s="946">
        <f>CONS_TERAC!P16</f>
        <v>0</v>
      </c>
      <c r="Z20" s="946">
        <f>CONS_TERAC!R16</f>
        <v>0</v>
      </c>
      <c r="AA20" s="946">
        <v>0</v>
      </c>
      <c r="AB20" s="947">
        <f>CONS_TERAC!T16</f>
        <v>0</v>
      </c>
      <c r="AC20" s="948">
        <f t="shared" si="0"/>
        <v>822.70286621600007</v>
      </c>
      <c r="AD20" s="412"/>
    </row>
    <row r="21" spans="1:30">
      <c r="A21" s="1395"/>
      <c r="B21" s="972" t="s">
        <v>245</v>
      </c>
      <c r="C21" s="945">
        <v>0</v>
      </c>
      <c r="D21" s="946">
        <f>CONS_TERAC!S17</f>
        <v>545.09446960916159</v>
      </c>
      <c r="E21" s="946">
        <v>0</v>
      </c>
      <c r="F21" s="946">
        <f>CONS_TERAC!N17</f>
        <v>48.447115383333333</v>
      </c>
      <c r="G21" s="946">
        <f>CONS_TERAC!V17</f>
        <v>12161.258377890625</v>
      </c>
      <c r="H21" s="946">
        <v>0</v>
      </c>
      <c r="I21" s="946">
        <v>0</v>
      </c>
      <c r="J21" s="946">
        <f>CONS_TERAC!U17</f>
        <v>0</v>
      </c>
      <c r="K21" s="946">
        <f>CONS_TERAC!C17</f>
        <v>106.15702672760003</v>
      </c>
      <c r="L21" s="946">
        <f>CONS_TERAC!D17</f>
        <v>2425.8227332080005</v>
      </c>
      <c r="M21" s="946">
        <f>CONS_TERAC!E17</f>
        <v>0</v>
      </c>
      <c r="N21" s="946">
        <f>CONS_TERAC!F17</f>
        <v>4.6861092E-2</v>
      </c>
      <c r="O21" s="946">
        <f>CONS_TERAC!G17</f>
        <v>142.44793418876708</v>
      </c>
      <c r="P21" s="946">
        <f>CONS_TERAC!H17</f>
        <v>0</v>
      </c>
      <c r="Q21" s="946">
        <f>CONS_TERAC!I17</f>
        <v>0</v>
      </c>
      <c r="R21" s="946">
        <f>CONS_TERAC!J17</f>
        <v>0</v>
      </c>
      <c r="S21" s="946">
        <f>CONS_TERAC!K17</f>
        <v>0</v>
      </c>
      <c r="T21" s="946">
        <v>0</v>
      </c>
      <c r="U21" s="946">
        <v>0</v>
      </c>
      <c r="V21" s="946">
        <f>CONS_TERAC!M17</f>
        <v>4464.7272588882197</v>
      </c>
      <c r="W21" s="946">
        <f>CONS_TERAC!O17</f>
        <v>0</v>
      </c>
      <c r="X21" s="946">
        <f>CONS_TERAC!Q17</f>
        <v>0</v>
      </c>
      <c r="Y21" s="946">
        <f>CONS_TERAC!P17</f>
        <v>0</v>
      </c>
      <c r="Z21" s="946">
        <f>CONS_TERAC!R17</f>
        <v>0</v>
      </c>
      <c r="AA21" s="946">
        <v>0</v>
      </c>
      <c r="AB21" s="947">
        <f>CONS_TERAC!T17</f>
        <v>0</v>
      </c>
      <c r="AC21" s="948">
        <f t="shared" si="0"/>
        <v>19894.001776987709</v>
      </c>
      <c r="AD21" s="412"/>
    </row>
    <row r="22" spans="1:30">
      <c r="A22" s="1395"/>
      <c r="B22" s="972" t="s">
        <v>246</v>
      </c>
      <c r="C22" s="945">
        <v>0</v>
      </c>
      <c r="D22" s="946">
        <f>CONS_TERAC!S18</f>
        <v>0</v>
      </c>
      <c r="E22" s="946">
        <v>0</v>
      </c>
      <c r="F22" s="946">
        <f>CONS_TERAC!N18</f>
        <v>0</v>
      </c>
      <c r="G22" s="946">
        <f>CONS_TERAC!V18</f>
        <v>0</v>
      </c>
      <c r="H22" s="946">
        <v>0</v>
      </c>
      <c r="I22" s="946">
        <v>0</v>
      </c>
      <c r="J22" s="946">
        <f>CONS_TERAC!U18</f>
        <v>0</v>
      </c>
      <c r="K22" s="946">
        <f>CONS_TERAC!C18</f>
        <v>7.1012013240000007</v>
      </c>
      <c r="L22" s="946">
        <f>CONS_TERAC!D18</f>
        <v>427.61250000000001</v>
      </c>
      <c r="M22" s="946">
        <f>CONS_TERAC!E18</f>
        <v>0</v>
      </c>
      <c r="N22" s="946">
        <f>CONS_TERAC!F18</f>
        <v>0.467532</v>
      </c>
      <c r="O22" s="946">
        <f>CONS_TERAC!G18</f>
        <v>102.60871283606288</v>
      </c>
      <c r="P22" s="946">
        <f>CONS_TERAC!H18</f>
        <v>0</v>
      </c>
      <c r="Q22" s="946">
        <f>CONS_TERAC!I18</f>
        <v>0</v>
      </c>
      <c r="R22" s="946">
        <f>CONS_TERAC!J18</f>
        <v>0</v>
      </c>
      <c r="S22" s="946">
        <f>CONS_TERAC!K18</f>
        <v>0</v>
      </c>
      <c r="T22" s="946">
        <v>0</v>
      </c>
      <c r="U22" s="946">
        <v>0</v>
      </c>
      <c r="V22" s="946">
        <f>CONS_TERAC!M18</f>
        <v>440.73584009999985</v>
      </c>
      <c r="W22" s="946">
        <f>CONS_TERAC!O18</f>
        <v>2013.6256000000003</v>
      </c>
      <c r="X22" s="946">
        <f>CONS_TERAC!Q18</f>
        <v>709.25030508414932</v>
      </c>
      <c r="Y22" s="946">
        <f>CONS_TERAC!P18</f>
        <v>0</v>
      </c>
      <c r="Z22" s="946">
        <f>CONS_TERAC!R18</f>
        <v>165.60400000000001</v>
      </c>
      <c r="AA22" s="946">
        <v>0</v>
      </c>
      <c r="AB22" s="947">
        <f>CONS_TERAC!T18</f>
        <v>0</v>
      </c>
      <c r="AC22" s="948">
        <f t="shared" si="0"/>
        <v>3867.0056913442122</v>
      </c>
      <c r="AD22" s="412"/>
    </row>
    <row r="23" spans="1:30">
      <c r="A23" s="1395"/>
      <c r="B23" s="972" t="s">
        <v>247</v>
      </c>
      <c r="C23" s="945">
        <v>0</v>
      </c>
      <c r="D23" s="946">
        <f>CONS_TERAC!S19</f>
        <v>0.78346265910126578</v>
      </c>
      <c r="E23" s="946">
        <v>0</v>
      </c>
      <c r="F23" s="946">
        <f>CONS_TERAC!N19</f>
        <v>0</v>
      </c>
      <c r="G23" s="946">
        <f>CONS_TERAC!V19</f>
        <v>0</v>
      </c>
      <c r="H23" s="946">
        <v>0</v>
      </c>
      <c r="I23" s="946">
        <v>0</v>
      </c>
      <c r="J23" s="946">
        <f>CONS_TERAC!U19</f>
        <v>0</v>
      </c>
      <c r="K23" s="946">
        <f>CONS_TERAC!C19</f>
        <v>1.3596660000000003</v>
      </c>
      <c r="L23" s="946">
        <f>CONS_TERAC!D19</f>
        <v>0</v>
      </c>
      <c r="M23" s="946">
        <f>CONS_TERAC!E19</f>
        <v>0</v>
      </c>
      <c r="N23" s="946">
        <f>CONS_TERAC!F19</f>
        <v>0</v>
      </c>
      <c r="O23" s="946">
        <f>CONS_TERAC!G19</f>
        <v>6.6796035349999991</v>
      </c>
      <c r="P23" s="946">
        <f>CONS_TERAC!H19</f>
        <v>0</v>
      </c>
      <c r="Q23" s="946">
        <f>CONS_TERAC!I19</f>
        <v>0</v>
      </c>
      <c r="R23" s="946">
        <f>CONS_TERAC!J19</f>
        <v>0</v>
      </c>
      <c r="S23" s="946">
        <f>CONS_TERAC!K19</f>
        <v>3.327</v>
      </c>
      <c r="T23" s="946">
        <v>0</v>
      </c>
      <c r="U23" s="946">
        <v>0</v>
      </c>
      <c r="V23" s="946">
        <f>CONS_TERAC!M19</f>
        <v>378.57549933999991</v>
      </c>
      <c r="W23" s="946">
        <f>CONS_TERAC!O19</f>
        <v>0</v>
      </c>
      <c r="X23" s="946">
        <f>CONS_TERAC!Q19</f>
        <v>0</v>
      </c>
      <c r="Y23" s="946">
        <f>CONS_TERAC!P19</f>
        <v>0</v>
      </c>
      <c r="Z23" s="946">
        <f>CONS_TERAC!R19</f>
        <v>0</v>
      </c>
      <c r="AA23" s="946">
        <v>0</v>
      </c>
      <c r="AB23" s="947">
        <f>CONS_TERAC!T19</f>
        <v>0</v>
      </c>
      <c r="AC23" s="948">
        <f t="shared" si="0"/>
        <v>390.72523153410117</v>
      </c>
      <c r="AD23" s="412"/>
    </row>
    <row r="24" spans="1:30">
      <c r="A24" s="1395"/>
      <c r="B24" s="972" t="s">
        <v>248</v>
      </c>
      <c r="C24" s="945">
        <v>0</v>
      </c>
      <c r="D24" s="946">
        <f>CONS_TERAC!S20</f>
        <v>8.0637637800000004</v>
      </c>
      <c r="E24" s="946">
        <v>0</v>
      </c>
      <c r="F24" s="946">
        <f>CONS_TERAC!N20</f>
        <v>518.27007393945439</v>
      </c>
      <c r="G24" s="946">
        <f>CONS_TERAC!V20</f>
        <v>0</v>
      </c>
      <c r="H24" s="946">
        <v>0</v>
      </c>
      <c r="I24" s="946">
        <v>0</v>
      </c>
      <c r="J24" s="946">
        <f>CONS_TERAC!U20</f>
        <v>0</v>
      </c>
      <c r="K24" s="946">
        <f>CONS_TERAC!C20</f>
        <v>102.23790012937205</v>
      </c>
      <c r="L24" s="946">
        <f>CONS_TERAC!D20</f>
        <v>122.510617900125</v>
      </c>
      <c r="M24" s="946">
        <f>CONS_TERAC!E20</f>
        <v>0</v>
      </c>
      <c r="N24" s="946">
        <f>CONS_TERAC!F20</f>
        <v>0</v>
      </c>
      <c r="O24" s="946">
        <f>CONS_TERAC!G20</f>
        <v>6.8383013791208835</v>
      </c>
      <c r="P24" s="946">
        <f>CONS_TERAC!H20</f>
        <v>0</v>
      </c>
      <c r="Q24" s="946">
        <f>CONS_TERAC!I20</f>
        <v>0</v>
      </c>
      <c r="R24" s="946">
        <f>CONS_TERAC!J20</f>
        <v>0</v>
      </c>
      <c r="S24" s="946">
        <f>CONS_TERAC!K20</f>
        <v>0</v>
      </c>
      <c r="T24" s="946">
        <f>CONS_TERAC!O20</f>
        <v>1908.2831640904908</v>
      </c>
      <c r="U24" s="946">
        <v>0</v>
      </c>
      <c r="V24" s="946">
        <f>CONS_TERAC!M20</f>
        <v>436.83042441696779</v>
      </c>
      <c r="W24" s="946">
        <v>0</v>
      </c>
      <c r="X24" s="946">
        <f>CONS_TERAC!Q20</f>
        <v>0</v>
      </c>
      <c r="Y24" s="946">
        <f>CONS_TERAC!P20</f>
        <v>0</v>
      </c>
      <c r="Z24" s="946">
        <f>CONS_TERAC!R20</f>
        <v>0</v>
      </c>
      <c r="AA24" s="946">
        <v>0</v>
      </c>
      <c r="AB24" s="947">
        <f>CONS_TERAC!T20</f>
        <v>0</v>
      </c>
      <c r="AC24" s="948">
        <f t="shared" si="0"/>
        <v>3103.0342456355311</v>
      </c>
      <c r="AD24" s="412"/>
    </row>
    <row r="25" spans="1:30">
      <c r="A25" s="1395"/>
      <c r="B25" s="972" t="s">
        <v>249</v>
      </c>
      <c r="C25" s="945">
        <v>0</v>
      </c>
      <c r="D25" s="946">
        <f>CONS_TERAC!S21</f>
        <v>0</v>
      </c>
      <c r="E25" s="946">
        <v>0</v>
      </c>
      <c r="F25" s="946">
        <f>CONS_TERAC!N21</f>
        <v>419.07539506000012</v>
      </c>
      <c r="G25" s="946">
        <f>CONS_TERAC!V21</f>
        <v>0</v>
      </c>
      <c r="H25" s="946">
        <v>0</v>
      </c>
      <c r="I25" s="946">
        <v>0</v>
      </c>
      <c r="J25" s="946">
        <f>CONS_TERAC!U21</f>
        <v>0</v>
      </c>
      <c r="K25" s="946">
        <f>CONS_TERAC!C21</f>
        <v>2.3274643560000001</v>
      </c>
      <c r="L25" s="946">
        <f>CONS_TERAC!D21</f>
        <v>0</v>
      </c>
      <c r="M25" s="946">
        <f>CONS_TERAC!E21</f>
        <v>0</v>
      </c>
      <c r="N25" s="946">
        <f>CONS_TERAC!F21</f>
        <v>0</v>
      </c>
      <c r="O25" s="946">
        <f>CONS_TERAC!G21</f>
        <v>2.1337799999999998</v>
      </c>
      <c r="P25" s="946">
        <f>CONS_TERAC!H21</f>
        <v>0</v>
      </c>
      <c r="Q25" s="946">
        <f>CONS_TERAC!I21</f>
        <v>0</v>
      </c>
      <c r="R25" s="946">
        <f>CONS_TERAC!J21</f>
        <v>0</v>
      </c>
      <c r="S25" s="946">
        <f>CONS_TERAC!K21</f>
        <v>0</v>
      </c>
      <c r="T25" s="946">
        <v>0</v>
      </c>
      <c r="U25" s="946">
        <v>0</v>
      </c>
      <c r="V25" s="946">
        <f>CONS_TERAC!M21</f>
        <v>31.263082059999995</v>
      </c>
      <c r="W25" s="946">
        <f>CONS_TERAC!O21</f>
        <v>18.4151718</v>
      </c>
      <c r="X25" s="946">
        <f>CONS_TERAC!Q21</f>
        <v>0</v>
      </c>
      <c r="Y25" s="946">
        <f>CONS_TERAC!P21</f>
        <v>0</v>
      </c>
      <c r="Z25" s="946">
        <f>CONS_TERAC!R21</f>
        <v>0</v>
      </c>
      <c r="AA25" s="946">
        <v>0</v>
      </c>
      <c r="AB25" s="947">
        <f>CONS_TERAC!T21</f>
        <v>0</v>
      </c>
      <c r="AC25" s="948">
        <f t="shared" si="0"/>
        <v>473.21489327600011</v>
      </c>
      <c r="AD25" s="412"/>
    </row>
    <row r="26" spans="1:30">
      <c r="A26" s="1395"/>
      <c r="B26" s="972" t="s">
        <v>250</v>
      </c>
      <c r="C26" s="945">
        <v>0</v>
      </c>
      <c r="D26" s="946">
        <f>CONS_TERAC!S22</f>
        <v>58.97836341</v>
      </c>
      <c r="E26" s="946">
        <v>0</v>
      </c>
      <c r="F26" s="946">
        <f>CONS_TERAC!N22</f>
        <v>59.497681939999993</v>
      </c>
      <c r="G26" s="946">
        <f>CONS_TERAC!V22</f>
        <v>0</v>
      </c>
      <c r="H26" s="946">
        <v>0</v>
      </c>
      <c r="I26" s="946">
        <v>0</v>
      </c>
      <c r="J26" s="946">
        <f>CONS_TERAC!U22</f>
        <v>0</v>
      </c>
      <c r="K26" s="946">
        <f>CONS_TERAC!C22</f>
        <v>653.26240702799987</v>
      </c>
      <c r="L26" s="946">
        <f>CONS_TERAC!D22</f>
        <v>859.85856873</v>
      </c>
      <c r="M26" s="946">
        <f>CONS_TERAC!E22</f>
        <v>0</v>
      </c>
      <c r="N26" s="946">
        <f>CONS_TERAC!F22</f>
        <v>0</v>
      </c>
      <c r="O26" s="946">
        <f>CONS_TERAC!G22</f>
        <v>59.2349824771443</v>
      </c>
      <c r="P26" s="946">
        <f>CONS_TERAC!H22</f>
        <v>0</v>
      </c>
      <c r="Q26" s="946">
        <f>CONS_TERAC!I22</f>
        <v>0</v>
      </c>
      <c r="R26" s="946">
        <f>CONS_TERAC!J22</f>
        <v>0</v>
      </c>
      <c r="S26" s="946">
        <f>CONS_TERAC!K22</f>
        <v>0</v>
      </c>
      <c r="T26" s="946">
        <v>0</v>
      </c>
      <c r="U26" s="946">
        <v>0</v>
      </c>
      <c r="V26" s="946">
        <f>CONS_TERAC!M22</f>
        <v>140.13685208000004</v>
      </c>
      <c r="W26" s="946">
        <f>CONS_TERAC!O22</f>
        <v>0</v>
      </c>
      <c r="X26" s="946">
        <f>CONS_TERAC!Q22</f>
        <v>0</v>
      </c>
      <c r="Y26" s="946">
        <f>CONS_TERAC!P22</f>
        <v>0</v>
      </c>
      <c r="Z26" s="946">
        <f>CONS_TERAC!R22</f>
        <v>0</v>
      </c>
      <c r="AA26" s="946">
        <v>0</v>
      </c>
      <c r="AB26" s="947">
        <f>CONS_TERAC!T22</f>
        <v>0</v>
      </c>
      <c r="AC26" s="948">
        <f t="shared" si="0"/>
        <v>1830.968855665144</v>
      </c>
      <c r="AD26" s="412"/>
    </row>
    <row r="27" spans="1:30">
      <c r="A27" s="1395"/>
      <c r="B27" s="972" t="s">
        <v>251</v>
      </c>
      <c r="C27" s="945">
        <v>0</v>
      </c>
      <c r="D27" s="946">
        <f>CONS_TERAC!S23</f>
        <v>219.30858635293865</v>
      </c>
      <c r="E27" s="946">
        <v>0</v>
      </c>
      <c r="F27" s="946">
        <f>CONS_TERAC!N23</f>
        <v>757.65509086282282</v>
      </c>
      <c r="G27" s="946">
        <f>CONS_TERAC!V23</f>
        <v>3585.8037246498125</v>
      </c>
      <c r="H27" s="946">
        <v>0</v>
      </c>
      <c r="I27" s="946">
        <v>0</v>
      </c>
      <c r="J27" s="946">
        <f>CONS_TERAC!U23</f>
        <v>0</v>
      </c>
      <c r="K27" s="946">
        <f>CONS_TERAC!C23</f>
        <v>6625.2067361837408</v>
      </c>
      <c r="L27" s="946">
        <f>CONS_TERAC!D23</f>
        <v>1431.2953678143745</v>
      </c>
      <c r="M27" s="946">
        <f>CONS_TERAC!E23</f>
        <v>0</v>
      </c>
      <c r="N27" s="946">
        <f>CONS_TERAC!F23</f>
        <v>265.77074122200003</v>
      </c>
      <c r="O27" s="946">
        <f>CONS_TERAC!G23</f>
        <v>2907.7390732346539</v>
      </c>
      <c r="P27" s="946">
        <f>CONS_TERAC!H23</f>
        <v>0</v>
      </c>
      <c r="Q27" s="946">
        <f>CONS_TERAC!I23</f>
        <v>0</v>
      </c>
      <c r="R27" s="946">
        <f>CONS_TERAC!J23</f>
        <v>0</v>
      </c>
      <c r="S27" s="946">
        <f>CONS_TERAC!K23</f>
        <v>0</v>
      </c>
      <c r="T27" s="946">
        <v>0</v>
      </c>
      <c r="U27" s="946">
        <v>0</v>
      </c>
      <c r="V27" s="946">
        <f>CONS_TERAC!M23</f>
        <v>7662.6369238260759</v>
      </c>
      <c r="W27" s="946">
        <f>CONS_TERAC!O23</f>
        <v>58.658590700000005</v>
      </c>
      <c r="X27" s="946">
        <f>CONS_TERAC!Q23</f>
        <v>0</v>
      </c>
      <c r="Y27" s="946">
        <f>CONS_TERAC!P23</f>
        <v>0</v>
      </c>
      <c r="Z27" s="946">
        <f>CONS_TERAC!R23</f>
        <v>0</v>
      </c>
      <c r="AA27" s="946">
        <v>0</v>
      </c>
      <c r="AB27" s="947">
        <f>CONS_TERAC!T23</f>
        <v>447.06612587687079</v>
      </c>
      <c r="AC27" s="948">
        <f t="shared" si="0"/>
        <v>23961.140960723293</v>
      </c>
      <c r="AD27" s="412"/>
    </row>
    <row r="28" spans="1:30" ht="13.5" thickBot="1">
      <c r="A28" s="1395"/>
      <c r="B28" s="972" t="s">
        <v>252</v>
      </c>
      <c r="C28" s="963">
        <v>0</v>
      </c>
      <c r="D28" s="964">
        <f>CONS_TERAC!S24</f>
        <v>111.30363151</v>
      </c>
      <c r="E28" s="964">
        <v>0</v>
      </c>
      <c r="F28" s="964">
        <f>CONS_TERAC!N24</f>
        <v>0</v>
      </c>
      <c r="G28" s="964">
        <f>CONS_TERAC!V24</f>
        <v>0</v>
      </c>
      <c r="H28" s="964">
        <v>0</v>
      </c>
      <c r="I28" s="964">
        <v>0</v>
      </c>
      <c r="J28" s="964">
        <f>CONS_TERAC!U24</f>
        <v>0</v>
      </c>
      <c r="K28" s="964">
        <f>CONS_TERAC!C24</f>
        <v>3464.5483641553487</v>
      </c>
      <c r="L28" s="964">
        <f>CONS_TERAC!D24</f>
        <v>534.83216613749926</v>
      </c>
      <c r="M28" s="964">
        <f>CONS_TERAC!E24</f>
        <v>0</v>
      </c>
      <c r="N28" s="964">
        <f>CONS_TERAC!F24</f>
        <v>57.67861365000001</v>
      </c>
      <c r="O28" s="964">
        <f>CONS_TERAC!G24</f>
        <v>26.674001437759994</v>
      </c>
      <c r="P28" s="964">
        <f>CONS_TERAC!H24</f>
        <v>0</v>
      </c>
      <c r="Q28" s="964">
        <f>CONS_TERAC!I24</f>
        <v>0</v>
      </c>
      <c r="R28" s="964">
        <f>CONS_TERAC!J24</f>
        <v>0</v>
      </c>
      <c r="S28" s="964">
        <f>CONS_TERAC!K24</f>
        <v>0</v>
      </c>
      <c r="T28" s="964">
        <v>0</v>
      </c>
      <c r="U28" s="964">
        <v>0</v>
      </c>
      <c r="V28" s="964">
        <f>CONS_TERAC!M24</f>
        <v>1258.7015365246677</v>
      </c>
      <c r="W28" s="964">
        <f>CONS_TERAC!O24</f>
        <v>31.162500000000001</v>
      </c>
      <c r="X28" s="964">
        <f>CONS_TERAC!Q24</f>
        <v>0</v>
      </c>
      <c r="Y28" s="964">
        <f>CONS_TERAC!P24</f>
        <v>0</v>
      </c>
      <c r="Z28" s="964">
        <f>CONS_TERAC!R24</f>
        <v>0</v>
      </c>
      <c r="AA28" s="964">
        <v>0</v>
      </c>
      <c r="AB28" s="977">
        <f>CONS_TERAC!T24</f>
        <v>0</v>
      </c>
      <c r="AC28" s="978">
        <f t="shared" si="0"/>
        <v>5484.9008134152764</v>
      </c>
      <c r="AD28" s="412"/>
    </row>
    <row r="29" spans="1:30" ht="13.5" thickBot="1">
      <c r="A29" s="1395"/>
      <c r="B29" s="954" t="s">
        <v>732</v>
      </c>
      <c r="C29" s="969">
        <f t="shared" ref="C29:S29" si="6">SUM(C30:C33)</f>
        <v>0</v>
      </c>
      <c r="D29" s="970">
        <f t="shared" si="6"/>
        <v>223.2994833275786</v>
      </c>
      <c r="E29" s="970">
        <f t="shared" si="6"/>
        <v>0</v>
      </c>
      <c r="F29" s="970">
        <f t="shared" si="6"/>
        <v>0</v>
      </c>
      <c r="G29" s="970">
        <f t="shared" si="6"/>
        <v>0</v>
      </c>
      <c r="H29" s="970">
        <f t="shared" si="6"/>
        <v>0</v>
      </c>
      <c r="I29" s="970">
        <f t="shared" si="6"/>
        <v>0</v>
      </c>
      <c r="J29" s="970">
        <f t="shared" si="6"/>
        <v>0</v>
      </c>
      <c r="K29" s="970">
        <f t="shared" si="6"/>
        <v>39033.876251676615</v>
      </c>
      <c r="L29" s="970">
        <f t="shared" si="6"/>
        <v>10678.862313839998</v>
      </c>
      <c r="M29" s="970">
        <f t="shared" si="6"/>
        <v>27919.144116415995</v>
      </c>
      <c r="N29" s="970">
        <f t="shared" si="6"/>
        <v>68.853078000000011</v>
      </c>
      <c r="O29" s="970">
        <f t="shared" si="6"/>
        <v>68.84848741999653</v>
      </c>
      <c r="P29" s="970">
        <f t="shared" si="6"/>
        <v>56.266979999999997</v>
      </c>
      <c r="Q29" s="970">
        <f t="shared" si="6"/>
        <v>7754.3034372851607</v>
      </c>
      <c r="R29" s="970">
        <f t="shared" si="6"/>
        <v>0</v>
      </c>
      <c r="S29" s="970">
        <f t="shared" si="6"/>
        <v>0</v>
      </c>
      <c r="T29" s="970">
        <f>SUM(T30:T33)</f>
        <v>0</v>
      </c>
      <c r="U29" s="970">
        <f>SUM(U30:U33)</f>
        <v>0</v>
      </c>
      <c r="V29" s="970">
        <f>SUM(V30:V33)</f>
        <v>363.20603858000004</v>
      </c>
      <c r="W29" s="970">
        <f t="shared" ref="W29:AB29" si="7">SUM(W30:W33)</f>
        <v>0</v>
      </c>
      <c r="X29" s="970">
        <f t="shared" si="7"/>
        <v>0</v>
      </c>
      <c r="Y29" s="970">
        <f t="shared" si="7"/>
        <v>0</v>
      </c>
      <c r="Z29" s="970">
        <f t="shared" si="7"/>
        <v>0</v>
      </c>
      <c r="AA29" s="970">
        <f t="shared" si="7"/>
        <v>0</v>
      </c>
      <c r="AB29" s="971">
        <f t="shared" si="7"/>
        <v>0</v>
      </c>
      <c r="AC29" s="958">
        <f t="shared" si="0"/>
        <v>86166.660186545341</v>
      </c>
      <c r="AD29" s="411"/>
    </row>
    <row r="30" spans="1:30">
      <c r="A30" s="1395"/>
      <c r="B30" s="972" t="s">
        <v>234</v>
      </c>
      <c r="C30" s="973">
        <v>0</v>
      </c>
      <c r="D30" s="974">
        <f>CONS_TERAC!S7</f>
        <v>223.2994833275786</v>
      </c>
      <c r="E30" s="974">
        <v>0</v>
      </c>
      <c r="F30" s="974">
        <f>CONS_TERAC!N7</f>
        <v>0</v>
      </c>
      <c r="G30" s="974">
        <f>CONS_TERAC!V7</f>
        <v>0</v>
      </c>
      <c r="H30" s="974">
        <v>0</v>
      </c>
      <c r="I30" s="974">
        <v>0</v>
      </c>
      <c r="J30" s="974">
        <f>CONS_TERAC!U7</f>
        <v>0</v>
      </c>
      <c r="K30" s="974">
        <f>CONS_TERAC!C7</f>
        <v>35166.124775734686</v>
      </c>
      <c r="L30" s="974">
        <f>CONS_TERAC!D7</f>
        <v>24.622838898000001</v>
      </c>
      <c r="M30" s="974">
        <f>CONS_TERAC!E7</f>
        <v>27879.491590660633</v>
      </c>
      <c r="N30" s="974">
        <f>CONS_TERAC!F7</f>
        <v>67.144788000000005</v>
      </c>
      <c r="O30" s="974">
        <f>CONS_TERAC!G7</f>
        <v>68.841805959608195</v>
      </c>
      <c r="P30" s="974">
        <f>CONS_TERAC!H7</f>
        <v>0.19949999999999998</v>
      </c>
      <c r="Q30" s="974">
        <f>CONS_TERAC!I7</f>
        <v>2.1038940000000004</v>
      </c>
      <c r="R30" s="974">
        <f>CONS_TERAC!J7</f>
        <v>0</v>
      </c>
      <c r="S30" s="974">
        <f>CONS_TERAC!K7</f>
        <v>0</v>
      </c>
      <c r="T30" s="974">
        <v>0</v>
      </c>
      <c r="U30" s="974">
        <v>0</v>
      </c>
      <c r="V30" s="974">
        <f>CONS_TERAC!M7</f>
        <v>318.46547426000001</v>
      </c>
      <c r="W30" s="974">
        <f>CONS_TERAC!O7</f>
        <v>0</v>
      </c>
      <c r="X30" s="974">
        <f>CONS_TERAC!Q7</f>
        <v>0</v>
      </c>
      <c r="Y30" s="974">
        <f>CONS_TERAC!P7</f>
        <v>0</v>
      </c>
      <c r="Z30" s="974">
        <f>CONS_TERAC!R7</f>
        <v>0</v>
      </c>
      <c r="AA30" s="974">
        <v>0</v>
      </c>
      <c r="AB30" s="975">
        <f>CONS_TERAC!T7</f>
        <v>0</v>
      </c>
      <c r="AC30" s="976">
        <f t="shared" si="0"/>
        <v>63750.294150840513</v>
      </c>
      <c r="AD30" s="412"/>
    </row>
    <row r="31" spans="1:30">
      <c r="A31" s="1395"/>
      <c r="B31" s="972" t="s">
        <v>236</v>
      </c>
      <c r="C31" s="945">
        <v>0</v>
      </c>
      <c r="D31" s="946">
        <f>CONS_TERAC!S8</f>
        <v>0</v>
      </c>
      <c r="E31" s="946">
        <v>0</v>
      </c>
      <c r="F31" s="946">
        <f>CONS_TERAC!N8</f>
        <v>0</v>
      </c>
      <c r="G31" s="946">
        <f>CONS_TERAC!V8</f>
        <v>0</v>
      </c>
      <c r="H31" s="946">
        <v>0</v>
      </c>
      <c r="I31" s="946">
        <v>0</v>
      </c>
      <c r="J31" s="946">
        <f>CONS_TERAC!U8</f>
        <v>0</v>
      </c>
      <c r="K31" s="946">
        <f>CONS_TERAC!C8</f>
        <v>466.96411221599993</v>
      </c>
      <c r="L31" s="946">
        <f>CONS_TERAC!D8</f>
        <v>0</v>
      </c>
      <c r="M31" s="946">
        <f>CONS_TERAC!E8</f>
        <v>0</v>
      </c>
      <c r="N31" s="946">
        <f>CONS_TERAC!F8</f>
        <v>0</v>
      </c>
      <c r="O31" s="946">
        <f>CONS_TERAC!G8</f>
        <v>0</v>
      </c>
      <c r="P31" s="946">
        <f>CONS_TERAC!H8</f>
        <v>0</v>
      </c>
      <c r="Q31" s="946">
        <f>CONS_TERAC!I8</f>
        <v>0</v>
      </c>
      <c r="R31" s="946">
        <f>CONS_TERAC!J8</f>
        <v>0</v>
      </c>
      <c r="S31" s="946">
        <f>CONS_TERAC!K8</f>
        <v>0</v>
      </c>
      <c r="T31" s="946">
        <v>0</v>
      </c>
      <c r="U31" s="946">
        <v>0</v>
      </c>
      <c r="V31" s="946">
        <f>CONS_TERAC!M8</f>
        <v>44.740564320000004</v>
      </c>
      <c r="W31" s="946">
        <f>CONS_TERAC!O8</f>
        <v>0</v>
      </c>
      <c r="X31" s="946">
        <f>CONS_TERAC!Q8</f>
        <v>0</v>
      </c>
      <c r="Y31" s="946">
        <f>CONS_TERAC!P8</f>
        <v>0</v>
      </c>
      <c r="Z31" s="946">
        <f>CONS_TERAC!R8</f>
        <v>0</v>
      </c>
      <c r="AA31" s="946">
        <v>0</v>
      </c>
      <c r="AB31" s="947">
        <f>CONS_TERAC!T8</f>
        <v>0</v>
      </c>
      <c r="AC31" s="948">
        <f t="shared" si="0"/>
        <v>511.70467653599997</v>
      </c>
      <c r="AD31" s="412"/>
    </row>
    <row r="32" spans="1:30">
      <c r="A32" s="1395"/>
      <c r="B32" s="972" t="s">
        <v>237</v>
      </c>
      <c r="C32" s="945">
        <v>0</v>
      </c>
      <c r="D32" s="946">
        <f>CONS_TERAC!S9</f>
        <v>0</v>
      </c>
      <c r="E32" s="946">
        <v>0</v>
      </c>
      <c r="F32" s="946">
        <f>CONS_TERAC!N9</f>
        <v>0</v>
      </c>
      <c r="G32" s="946">
        <f>CONS_TERAC!V9</f>
        <v>0</v>
      </c>
      <c r="H32" s="946">
        <v>0</v>
      </c>
      <c r="I32" s="946">
        <v>0</v>
      </c>
      <c r="J32" s="946">
        <f>CONS_TERAC!U9</f>
        <v>0</v>
      </c>
      <c r="K32" s="946">
        <f>CONS_TERAC!C9</f>
        <v>3394.1858877259201</v>
      </c>
      <c r="L32" s="946">
        <f>CONS_TERAC!D9</f>
        <v>10654.239474941998</v>
      </c>
      <c r="M32" s="946">
        <f>CONS_TERAC!E9</f>
        <v>39.292781755360004</v>
      </c>
      <c r="N32" s="946">
        <f>CONS_TERAC!F9</f>
        <v>1.7082900000000001</v>
      </c>
      <c r="O32" s="946">
        <f>CONS_TERAC!G9</f>
        <v>6.6814603883395985E-3</v>
      </c>
      <c r="P32" s="946">
        <f>CONS_TERAC!H9</f>
        <v>0</v>
      </c>
      <c r="Q32" s="946">
        <f>CONS_TERAC!I9</f>
        <v>1.7532450000000002</v>
      </c>
      <c r="R32" s="946">
        <f>CONS_TERAC!J9</f>
        <v>0</v>
      </c>
      <c r="S32" s="946">
        <f>CONS_TERAC!K9</f>
        <v>0</v>
      </c>
      <c r="T32" s="946">
        <v>0</v>
      </c>
      <c r="U32" s="946">
        <v>0</v>
      </c>
      <c r="V32" s="946">
        <f>CONS_TERAC!M9</f>
        <v>0</v>
      </c>
      <c r="W32" s="946">
        <f>CONS_TERAC!O9</f>
        <v>0</v>
      </c>
      <c r="X32" s="946">
        <f>CONS_TERAC!Q9</f>
        <v>0</v>
      </c>
      <c r="Y32" s="946">
        <f>CONS_TERAC!P9</f>
        <v>0</v>
      </c>
      <c r="Z32" s="946">
        <f>CONS_TERAC!R9</f>
        <v>0</v>
      </c>
      <c r="AA32" s="946">
        <v>0</v>
      </c>
      <c r="AB32" s="947">
        <f>CONS_TERAC!T9</f>
        <v>0</v>
      </c>
      <c r="AC32" s="948">
        <f t="shared" si="0"/>
        <v>14091.186360883667</v>
      </c>
      <c r="AD32" s="412"/>
    </row>
    <row r="33" spans="1:30" ht="13.5" thickBot="1">
      <c r="A33" s="1395"/>
      <c r="B33" s="972" t="s">
        <v>238</v>
      </c>
      <c r="C33" s="963">
        <v>0</v>
      </c>
      <c r="D33" s="964">
        <f>CONS_TERAC!S10</f>
        <v>0</v>
      </c>
      <c r="E33" s="964">
        <v>0</v>
      </c>
      <c r="F33" s="964">
        <f>CONS_TERAC!N10</f>
        <v>0</v>
      </c>
      <c r="G33" s="964">
        <f>CONS_TERAC!V10</f>
        <v>0</v>
      </c>
      <c r="H33" s="964">
        <v>0</v>
      </c>
      <c r="I33" s="964">
        <v>0</v>
      </c>
      <c r="J33" s="964">
        <f>CONS_TERAC!U10</f>
        <v>0</v>
      </c>
      <c r="K33" s="964">
        <f>CONS_TERAC!C10</f>
        <v>6.6014759999999999</v>
      </c>
      <c r="L33" s="964">
        <f>CONS_TERAC!D10</f>
        <v>0</v>
      </c>
      <c r="M33" s="964">
        <f>CONS_TERAC!E10</f>
        <v>0.35974399999999995</v>
      </c>
      <c r="N33" s="964">
        <f>CONS_TERAC!F10</f>
        <v>0</v>
      </c>
      <c r="O33" s="964">
        <f>CONS_TERAC!G10</f>
        <v>0</v>
      </c>
      <c r="P33" s="964">
        <f>CONS_TERAC!H10</f>
        <v>56.067479999999996</v>
      </c>
      <c r="Q33" s="964">
        <f>CONS_TERAC!I10</f>
        <v>7750.446298285161</v>
      </c>
      <c r="R33" s="964">
        <f>CONS_TERAC!J10</f>
        <v>0</v>
      </c>
      <c r="S33" s="964">
        <f>CONS_TERAC!K10</f>
        <v>0</v>
      </c>
      <c r="T33" s="964">
        <v>0</v>
      </c>
      <c r="U33" s="964">
        <v>0</v>
      </c>
      <c r="V33" s="964">
        <f>CONS_TERAC!M10</f>
        <v>0</v>
      </c>
      <c r="W33" s="964">
        <f>CONS_TERAC!O10</f>
        <v>0</v>
      </c>
      <c r="X33" s="964">
        <f>CONS_TERAC!Q10</f>
        <v>0</v>
      </c>
      <c r="Y33" s="964">
        <f>CONS_TERAC!P10</f>
        <v>0</v>
      </c>
      <c r="Z33" s="964">
        <f>CONS_TERAC!R10</f>
        <v>0</v>
      </c>
      <c r="AA33" s="964">
        <v>0</v>
      </c>
      <c r="AB33" s="977">
        <f>CONS_TERAC!T10</f>
        <v>0</v>
      </c>
      <c r="AC33" s="978">
        <f t="shared" si="0"/>
        <v>7813.4749982851608</v>
      </c>
      <c r="AD33" s="412"/>
    </row>
    <row r="34" spans="1:30" ht="24.75" customHeight="1" thickBot="1">
      <c r="A34" s="1395"/>
      <c r="B34" s="979" t="s">
        <v>733</v>
      </c>
      <c r="C34" s="969">
        <f>SUM(C35:C37)</f>
        <v>0</v>
      </c>
      <c r="D34" s="970">
        <f t="shared" ref="D34:AB34" si="8">SUM(D35:D37)</f>
        <v>5562.3134769846374</v>
      </c>
      <c r="E34" s="970">
        <f t="shared" si="8"/>
        <v>0</v>
      </c>
      <c r="F34" s="970">
        <f t="shared" si="8"/>
        <v>27.451600000000003</v>
      </c>
      <c r="G34" s="970">
        <f t="shared" si="8"/>
        <v>29652.742708307094</v>
      </c>
      <c r="H34" s="970">
        <f t="shared" si="8"/>
        <v>0</v>
      </c>
      <c r="I34" s="970">
        <f t="shared" si="8"/>
        <v>0</v>
      </c>
      <c r="J34" s="970">
        <f t="shared" si="8"/>
        <v>0</v>
      </c>
      <c r="K34" s="970">
        <f t="shared" si="8"/>
        <v>1484.17632511848</v>
      </c>
      <c r="L34" s="970">
        <f t="shared" si="8"/>
        <v>480.98743640850006</v>
      </c>
      <c r="M34" s="970">
        <f t="shared" si="8"/>
        <v>0</v>
      </c>
      <c r="N34" s="970">
        <f t="shared" si="8"/>
        <v>871.89233490000004</v>
      </c>
      <c r="O34" s="970">
        <f t="shared" si="8"/>
        <v>10807.233044084149</v>
      </c>
      <c r="P34" s="970">
        <f t="shared" si="8"/>
        <v>0</v>
      </c>
      <c r="Q34" s="970">
        <f t="shared" si="8"/>
        <v>0</v>
      </c>
      <c r="R34" s="970">
        <f t="shared" si="8"/>
        <v>0</v>
      </c>
      <c r="S34" s="970">
        <f t="shared" si="8"/>
        <v>0</v>
      </c>
      <c r="T34" s="970">
        <f t="shared" si="8"/>
        <v>0</v>
      </c>
      <c r="U34" s="970">
        <f t="shared" si="8"/>
        <v>0</v>
      </c>
      <c r="V34" s="970">
        <f t="shared" si="8"/>
        <v>14499.828798218998</v>
      </c>
      <c r="W34" s="970">
        <f t="shared" si="8"/>
        <v>0</v>
      </c>
      <c r="X34" s="970">
        <f t="shared" si="8"/>
        <v>0</v>
      </c>
      <c r="Y34" s="970">
        <f t="shared" si="8"/>
        <v>0</v>
      </c>
      <c r="Z34" s="970">
        <f t="shared" si="8"/>
        <v>0</v>
      </c>
      <c r="AA34" s="970">
        <f t="shared" si="8"/>
        <v>234.16143023354647</v>
      </c>
      <c r="AB34" s="971">
        <f t="shared" si="8"/>
        <v>0</v>
      </c>
      <c r="AC34" s="958">
        <f t="shared" si="0"/>
        <v>63620.787154255398</v>
      </c>
      <c r="AD34" s="411"/>
    </row>
    <row r="35" spans="1:30">
      <c r="A35" s="1395"/>
      <c r="B35" s="972" t="s">
        <v>257</v>
      </c>
      <c r="C35" s="973">
        <v>0</v>
      </c>
      <c r="D35" s="974">
        <f>CONS_TERAC!S29</f>
        <v>1275.5822714151934</v>
      </c>
      <c r="E35" s="974">
        <v>0</v>
      </c>
      <c r="F35" s="974">
        <f>CONS_TERAC!N29</f>
        <v>0</v>
      </c>
      <c r="G35" s="974">
        <f>CONS_TERAC!V29</f>
        <v>0</v>
      </c>
      <c r="H35" s="974">
        <v>0</v>
      </c>
      <c r="I35" s="974">
        <v>0</v>
      </c>
      <c r="J35" s="974">
        <f>CONS_TERAC!U29</f>
        <v>0</v>
      </c>
      <c r="K35" s="974">
        <f>CONS_TERAC!C29</f>
        <v>1341.28017830248</v>
      </c>
      <c r="L35" s="974">
        <f>CONS_TERAC!D29</f>
        <v>432.87600377700005</v>
      </c>
      <c r="M35" s="974">
        <f>CONS_TERAC!E29</f>
        <v>0</v>
      </c>
      <c r="N35" s="974">
        <f>CONS_TERAC!F29</f>
        <v>10.009680299999999</v>
      </c>
      <c r="O35" s="974">
        <f>CONS_TERAC!G29</f>
        <v>1386.7708623178949</v>
      </c>
      <c r="P35" s="974">
        <f>CONS_TERAC!H29</f>
        <v>0</v>
      </c>
      <c r="Q35" s="974">
        <f>CONS_TERAC!I29</f>
        <v>0</v>
      </c>
      <c r="R35" s="974">
        <f>CONS_TERAC!J29</f>
        <v>0</v>
      </c>
      <c r="S35" s="974">
        <f>CONS_TERAC!K29</f>
        <v>0</v>
      </c>
      <c r="T35" s="974">
        <v>0</v>
      </c>
      <c r="U35" s="974">
        <v>0</v>
      </c>
      <c r="V35" s="974">
        <f>CONS_TERAC!M29</f>
        <v>5492.2462279277652</v>
      </c>
      <c r="W35" s="974">
        <f>CONS_TERAC!O29</f>
        <v>0</v>
      </c>
      <c r="X35" s="974">
        <v>0</v>
      </c>
      <c r="Y35" s="974">
        <f>CONS_TERAC!P29</f>
        <v>0</v>
      </c>
      <c r="Z35" s="974">
        <f>CONS_TERAC!R29</f>
        <v>0</v>
      </c>
      <c r="AA35" s="974">
        <f>CONS_TERAC!Q29</f>
        <v>101.7862442775387</v>
      </c>
      <c r="AB35" s="975">
        <f>CONS_TERAC!T29</f>
        <v>0</v>
      </c>
      <c r="AC35" s="976">
        <f t="shared" si="0"/>
        <v>10040.551468317872</v>
      </c>
      <c r="AD35" s="412"/>
    </row>
    <row r="36" spans="1:30">
      <c r="A36" s="1395"/>
      <c r="B36" s="972" t="s">
        <v>258</v>
      </c>
      <c r="C36" s="945">
        <v>0</v>
      </c>
      <c r="D36" s="946">
        <f>CONS_TERAC!S30</f>
        <v>187.50339734000002</v>
      </c>
      <c r="E36" s="946">
        <v>0</v>
      </c>
      <c r="F36" s="946">
        <f>CONS_TERAC!N30</f>
        <v>27.349600000000002</v>
      </c>
      <c r="G36" s="946">
        <f>CONS_TERAC!V30</f>
        <v>0</v>
      </c>
      <c r="H36" s="946">
        <v>0</v>
      </c>
      <c r="I36" s="946">
        <v>0</v>
      </c>
      <c r="J36" s="946">
        <f>CONS_TERAC!U30</f>
        <v>0</v>
      </c>
      <c r="K36" s="946">
        <f>CONS_TERAC!C30</f>
        <v>79.34589600000001</v>
      </c>
      <c r="L36" s="946">
        <f>CONS_TERAC!D30</f>
        <v>48.111432631499994</v>
      </c>
      <c r="M36" s="946">
        <f>CONS_TERAC!E30</f>
        <v>0</v>
      </c>
      <c r="N36" s="946">
        <f>CONS_TERAC!F30</f>
        <v>21.028959990000001</v>
      </c>
      <c r="O36" s="946">
        <f>CONS_TERAC!G30</f>
        <v>94.062211367820865</v>
      </c>
      <c r="P36" s="946">
        <f>CONS_TERAC!H30</f>
        <v>0</v>
      </c>
      <c r="Q36" s="946">
        <f>CONS_TERAC!I30</f>
        <v>0</v>
      </c>
      <c r="R36" s="946">
        <f>CONS_TERAC!J30</f>
        <v>0</v>
      </c>
      <c r="S36" s="946">
        <f>CONS_TERAC!K30</f>
        <v>0</v>
      </c>
      <c r="T36" s="946">
        <v>0</v>
      </c>
      <c r="U36" s="946">
        <v>0</v>
      </c>
      <c r="V36" s="946">
        <f>CONS_TERAC!M30</f>
        <v>1352.3294850723896</v>
      </c>
      <c r="W36" s="946">
        <f>CONS_TERAC!O30</f>
        <v>0</v>
      </c>
      <c r="X36" s="946">
        <v>0</v>
      </c>
      <c r="Y36" s="946">
        <f>CONS_TERAC!P30</f>
        <v>0</v>
      </c>
      <c r="Z36" s="946">
        <f>CONS_TERAC!R30</f>
        <v>0</v>
      </c>
      <c r="AA36" s="946">
        <f>CONS_TERAC!Q30</f>
        <v>19.560615695999999</v>
      </c>
      <c r="AB36" s="947">
        <f>CONS_TERAC!T30</f>
        <v>0</v>
      </c>
      <c r="AC36" s="948">
        <f t="shared" si="0"/>
        <v>1829.2915980977104</v>
      </c>
      <c r="AD36" s="412"/>
    </row>
    <row r="37" spans="1:30" ht="13.5" thickBot="1">
      <c r="A37" s="1395"/>
      <c r="B37" s="972" t="s">
        <v>259</v>
      </c>
      <c r="C37" s="950">
        <v>0</v>
      </c>
      <c r="D37" s="951">
        <f>CONS_TERAC!S31</f>
        <v>4099.2278082294442</v>
      </c>
      <c r="E37" s="951">
        <v>0</v>
      </c>
      <c r="F37" s="951">
        <f>CONS_TERAC!N31</f>
        <v>0.10199999999999999</v>
      </c>
      <c r="G37" s="951">
        <f>CONS_TERAC!V31</f>
        <v>29652.742708307094</v>
      </c>
      <c r="H37" s="951">
        <v>0</v>
      </c>
      <c r="I37" s="951">
        <v>0</v>
      </c>
      <c r="J37" s="951">
        <f>CONS_TERAC!U31</f>
        <v>0</v>
      </c>
      <c r="K37" s="951">
        <f>CONS_TERAC!C31</f>
        <v>63.550250815999995</v>
      </c>
      <c r="L37" s="951">
        <f>CONS_TERAC!D31</f>
        <v>0</v>
      </c>
      <c r="M37" s="951">
        <f>CONS_TERAC!E31</f>
        <v>0</v>
      </c>
      <c r="N37" s="951">
        <f>CONS_TERAC!F31</f>
        <v>840.85369461000005</v>
      </c>
      <c r="O37" s="951">
        <f>CONS_TERAC!G31</f>
        <v>9326.3999703984337</v>
      </c>
      <c r="P37" s="951">
        <f>CONS_TERAC!H31</f>
        <v>0</v>
      </c>
      <c r="Q37" s="951">
        <f>CONS_TERAC!I31</f>
        <v>0</v>
      </c>
      <c r="R37" s="951">
        <f>CONS_TERAC!J31</f>
        <v>0</v>
      </c>
      <c r="S37" s="951">
        <f>CONS_TERAC!K31</f>
        <v>0</v>
      </c>
      <c r="T37" s="951">
        <v>0</v>
      </c>
      <c r="U37" s="951">
        <v>0</v>
      </c>
      <c r="V37" s="951">
        <f>CONS_TERAC!M31</f>
        <v>7655.2530852188429</v>
      </c>
      <c r="W37" s="951">
        <f>CONS_TERAC!O31</f>
        <v>0</v>
      </c>
      <c r="X37" s="951">
        <v>0</v>
      </c>
      <c r="Y37" s="951">
        <f>CONS_TERAC!P31</f>
        <v>0</v>
      </c>
      <c r="Z37" s="951">
        <f>CONS_TERAC!R31</f>
        <v>0</v>
      </c>
      <c r="AA37" s="951">
        <f>CONS_TERAC!Q31</f>
        <v>112.81457026000778</v>
      </c>
      <c r="AB37" s="952">
        <f>CONS_TERAC!T31</f>
        <v>0</v>
      </c>
      <c r="AC37" s="978">
        <f t="shared" si="0"/>
        <v>51750.944087839816</v>
      </c>
      <c r="AD37" s="412"/>
    </row>
    <row r="38" spans="1:30" ht="13.5" thickBot="1">
      <c r="A38" s="1396"/>
      <c r="B38" s="954" t="s">
        <v>734</v>
      </c>
      <c r="C38" s="969">
        <v>0</v>
      </c>
      <c r="D38" s="970">
        <v>0</v>
      </c>
      <c r="E38" s="970">
        <v>0</v>
      </c>
      <c r="F38" s="970">
        <v>0</v>
      </c>
      <c r="G38" s="970">
        <v>0</v>
      </c>
      <c r="H38" s="970">
        <v>0</v>
      </c>
      <c r="I38" s="970">
        <v>0</v>
      </c>
      <c r="J38" s="970">
        <v>0</v>
      </c>
      <c r="K38" s="970">
        <v>0</v>
      </c>
      <c r="L38" s="970">
        <v>0</v>
      </c>
      <c r="M38" s="970">
        <v>0</v>
      </c>
      <c r="N38" s="970">
        <v>0</v>
      </c>
      <c r="O38" s="970">
        <v>0</v>
      </c>
      <c r="P38" s="970">
        <v>0</v>
      </c>
      <c r="Q38" s="970">
        <v>0</v>
      </c>
      <c r="R38" s="970">
        <v>0</v>
      </c>
      <c r="S38" s="970">
        <v>0</v>
      </c>
      <c r="T38" s="970">
        <v>0</v>
      </c>
      <c r="U38" s="970">
        <f>CUADRO11!C17</f>
        <v>1955.6977122799999</v>
      </c>
      <c r="V38" s="970">
        <v>0</v>
      </c>
      <c r="W38" s="970">
        <v>0</v>
      </c>
      <c r="X38" s="970">
        <v>0</v>
      </c>
      <c r="Y38" s="970">
        <v>0</v>
      </c>
      <c r="Z38" s="970">
        <v>0</v>
      </c>
      <c r="AA38" s="970">
        <v>0</v>
      </c>
      <c r="AB38" s="971">
        <v>0</v>
      </c>
      <c r="AC38" s="958">
        <f t="shared" si="0"/>
        <v>1955.6977122799999</v>
      </c>
      <c r="AD38" s="411"/>
    </row>
  </sheetData>
  <mergeCells count="10">
    <mergeCell ref="AC1:AC2"/>
    <mergeCell ref="AB1:AB2"/>
    <mergeCell ref="AA1:AA2"/>
    <mergeCell ref="C1:J1"/>
    <mergeCell ref="K1:U1"/>
    <mergeCell ref="B1:B2"/>
    <mergeCell ref="A8:A14"/>
    <mergeCell ref="A16:A38"/>
    <mergeCell ref="V1:V2"/>
    <mergeCell ref="W1:Z1"/>
  </mergeCells>
  <phoneticPr fontId="50" type="noConversion"/>
  <pageMargins left="0.75" right="0.75" top="1" bottom="1" header="0" footer="0"/>
  <pageSetup paperSize="9" orientation="portrait" verticalDpi="0"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X79"/>
  <sheetViews>
    <sheetView showGridLines="0" zoomScale="55" workbookViewId="0">
      <selection activeCell="R5" sqref="R5"/>
    </sheetView>
  </sheetViews>
  <sheetFormatPr baseColWidth="10" defaultRowHeight="12.75"/>
  <cols>
    <col min="1" max="1" width="5.140625" customWidth="1"/>
  </cols>
  <sheetData>
    <row r="3" spans="2:24" ht="23.25">
      <c r="B3" s="1387" t="s">
        <v>7</v>
      </c>
      <c r="O3" s="527" t="s">
        <v>606</v>
      </c>
    </row>
    <row r="5" spans="2:24" ht="51.75" customHeight="1">
      <c r="B5" s="1412" t="s">
        <v>828</v>
      </c>
      <c r="C5" s="1413"/>
      <c r="D5" s="1413"/>
      <c r="E5" s="1413"/>
      <c r="F5" s="1413"/>
      <c r="G5" s="1413"/>
      <c r="H5" s="1413"/>
      <c r="I5" s="1413"/>
      <c r="J5" s="1413"/>
      <c r="K5" s="1413"/>
      <c r="L5" s="1413"/>
      <c r="M5" s="1413"/>
      <c r="N5" s="1413"/>
      <c r="O5" s="1413"/>
      <c r="P5" s="1414"/>
    </row>
    <row r="7" spans="2:24" ht="13.5" thickBot="1"/>
    <row r="8" spans="2:24">
      <c r="B8" s="1353"/>
      <c r="C8" s="1280"/>
      <c r="D8" s="1280"/>
      <c r="E8" s="1280"/>
      <c r="F8" s="1280"/>
      <c r="G8" s="1280"/>
      <c r="H8" s="1280"/>
      <c r="I8" s="1280"/>
      <c r="J8" s="1280"/>
      <c r="K8" s="1280"/>
      <c r="L8" s="1280"/>
      <c r="M8" s="1280"/>
      <c r="N8" s="1280"/>
      <c r="O8" s="1280"/>
      <c r="P8" s="1280"/>
      <c r="Q8" s="1280"/>
      <c r="R8" s="1280"/>
      <c r="S8" s="1280"/>
      <c r="T8" s="1280"/>
      <c r="U8" s="1280"/>
      <c r="V8" s="1280"/>
      <c r="W8" s="1280"/>
      <c r="X8" s="1281"/>
    </row>
    <row r="9" spans="2:24">
      <c r="B9" s="1354"/>
      <c r="C9" s="404"/>
      <c r="D9" s="404"/>
      <c r="E9" s="404"/>
      <c r="F9" s="404"/>
      <c r="G9" s="404"/>
      <c r="H9" s="404"/>
      <c r="I9" s="404"/>
      <c r="J9" s="404"/>
      <c r="K9" s="404"/>
      <c r="L9" s="404"/>
      <c r="M9" s="404"/>
      <c r="N9" s="404"/>
      <c r="O9" s="404"/>
      <c r="P9" s="404"/>
      <c r="Q9" s="404"/>
      <c r="R9" s="404"/>
      <c r="S9" s="404"/>
      <c r="T9" s="404"/>
      <c r="U9" s="404"/>
      <c r="V9" s="404"/>
      <c r="W9" s="404"/>
      <c r="X9" s="1355"/>
    </row>
    <row r="10" spans="2:24">
      <c r="B10" s="1354"/>
      <c r="C10" s="404"/>
      <c r="D10" s="404"/>
      <c r="E10" s="404"/>
      <c r="F10" s="404"/>
      <c r="G10" s="404"/>
      <c r="H10" s="404"/>
      <c r="I10" s="404"/>
      <c r="J10" s="404"/>
      <c r="K10" s="404"/>
      <c r="L10" s="404"/>
      <c r="M10" s="404"/>
      <c r="N10" s="404"/>
      <c r="O10" s="404"/>
      <c r="P10" s="404"/>
      <c r="Q10" s="404"/>
      <c r="R10" s="404"/>
      <c r="S10" s="404"/>
      <c r="T10" s="404"/>
      <c r="U10" s="404"/>
      <c r="V10" s="404"/>
      <c r="W10" s="404"/>
      <c r="X10" s="1355"/>
    </row>
    <row r="11" spans="2:24">
      <c r="B11" s="1354"/>
      <c r="C11" s="404"/>
      <c r="D11" s="404"/>
      <c r="E11" s="404"/>
      <c r="F11" s="404"/>
      <c r="G11" s="404"/>
      <c r="H11" s="404"/>
      <c r="I11" s="404"/>
      <c r="J11" s="404"/>
      <c r="K11" s="404"/>
      <c r="L11" s="404"/>
      <c r="M11" s="404"/>
      <c r="N11" s="404"/>
      <c r="O11" s="404"/>
      <c r="P11" s="404"/>
      <c r="Q11" s="404"/>
      <c r="R11" s="404"/>
      <c r="S11" s="404"/>
      <c r="T11" s="404"/>
      <c r="U11" s="404"/>
      <c r="V11" s="404"/>
      <c r="W11" s="404"/>
      <c r="X11" s="1355"/>
    </row>
    <row r="12" spans="2:24">
      <c r="B12" s="1354"/>
      <c r="C12" s="404"/>
      <c r="D12" s="404"/>
      <c r="E12" s="404"/>
      <c r="F12" s="404"/>
      <c r="G12" s="404"/>
      <c r="H12" s="404"/>
      <c r="I12" s="404"/>
      <c r="J12" s="404"/>
      <c r="K12" s="404"/>
      <c r="L12" s="404"/>
      <c r="M12" s="404"/>
      <c r="N12" s="404"/>
      <c r="O12" s="404"/>
      <c r="P12" s="404"/>
      <c r="Q12" s="404"/>
      <c r="R12" s="404"/>
      <c r="S12" s="404"/>
      <c r="T12" s="404"/>
      <c r="U12" s="404"/>
      <c r="V12" s="404"/>
      <c r="W12" s="404"/>
      <c r="X12" s="1355"/>
    </row>
    <row r="13" spans="2:24">
      <c r="B13" s="1354"/>
      <c r="C13" s="404"/>
      <c r="D13" s="404"/>
      <c r="E13" s="404"/>
      <c r="F13" s="404"/>
      <c r="G13" s="404"/>
      <c r="H13" s="404"/>
      <c r="I13" s="404"/>
      <c r="J13" s="404"/>
      <c r="K13" s="404"/>
      <c r="L13" s="404"/>
      <c r="M13" s="404"/>
      <c r="N13" s="404"/>
      <c r="O13" s="404"/>
      <c r="P13" s="404"/>
      <c r="Q13" s="404"/>
      <c r="R13" s="404"/>
      <c r="S13" s="404"/>
      <c r="T13" s="404"/>
      <c r="U13" s="404"/>
      <c r="V13" s="404"/>
      <c r="W13" s="404"/>
      <c r="X13" s="1355"/>
    </row>
    <row r="14" spans="2:24">
      <c r="B14" s="1354"/>
      <c r="C14" s="404"/>
      <c r="D14" s="404"/>
      <c r="E14" s="404"/>
      <c r="F14" s="404"/>
      <c r="G14" s="404"/>
      <c r="H14" s="404"/>
      <c r="I14" s="404"/>
      <c r="J14" s="404"/>
      <c r="K14" s="404"/>
      <c r="L14" s="404"/>
      <c r="M14" s="404"/>
      <c r="N14" s="404"/>
      <c r="O14" s="404"/>
      <c r="P14" s="404"/>
      <c r="Q14" s="404"/>
      <c r="R14" s="404"/>
      <c r="S14" s="404"/>
      <c r="T14" s="404"/>
      <c r="U14" s="404"/>
      <c r="V14" s="404"/>
      <c r="W14" s="404"/>
      <c r="X14" s="1355"/>
    </row>
    <row r="15" spans="2:24">
      <c r="B15" s="1354"/>
      <c r="C15" s="404"/>
      <c r="D15" s="404"/>
      <c r="E15" s="404"/>
      <c r="F15" s="404"/>
      <c r="G15" s="404"/>
      <c r="H15" s="404"/>
      <c r="I15" s="404"/>
      <c r="J15" s="404"/>
      <c r="K15" s="404"/>
      <c r="L15" s="404"/>
      <c r="M15" s="404"/>
      <c r="N15" s="404"/>
      <c r="O15" s="404"/>
      <c r="P15" s="404"/>
      <c r="Q15" s="404"/>
      <c r="R15" s="404"/>
      <c r="S15" s="404"/>
      <c r="T15" s="404"/>
      <c r="U15" s="404"/>
      <c r="V15" s="404"/>
      <c r="W15" s="404"/>
      <c r="X15" s="1355"/>
    </row>
    <row r="16" spans="2:24">
      <c r="B16" s="1354"/>
      <c r="C16" s="404"/>
      <c r="D16" s="404"/>
      <c r="E16" s="404"/>
      <c r="F16" s="404"/>
      <c r="G16" s="404"/>
      <c r="H16" s="404"/>
      <c r="I16" s="404"/>
      <c r="J16" s="404"/>
      <c r="K16" s="404"/>
      <c r="L16" s="404"/>
      <c r="M16" s="404"/>
      <c r="N16" s="404"/>
      <c r="O16" s="404"/>
      <c r="P16" s="404"/>
      <c r="Q16" s="404"/>
      <c r="R16" s="404"/>
      <c r="S16" s="404"/>
      <c r="T16" s="404"/>
      <c r="U16" s="404"/>
      <c r="V16" s="404"/>
      <c r="W16" s="404"/>
      <c r="X16" s="1355"/>
    </row>
    <row r="17" spans="2:24">
      <c r="B17" s="1354"/>
      <c r="C17" s="404"/>
      <c r="D17" s="404"/>
      <c r="E17" s="404"/>
      <c r="F17" s="404"/>
      <c r="G17" s="404"/>
      <c r="H17" s="404"/>
      <c r="I17" s="404"/>
      <c r="J17" s="404"/>
      <c r="K17" s="404"/>
      <c r="L17" s="404"/>
      <c r="M17" s="404"/>
      <c r="N17" s="404"/>
      <c r="O17" s="404"/>
      <c r="P17" s="404"/>
      <c r="Q17" s="404"/>
      <c r="R17" s="404"/>
      <c r="S17" s="404"/>
      <c r="T17" s="404"/>
      <c r="U17" s="404"/>
      <c r="V17" s="404"/>
      <c r="W17" s="404"/>
      <c r="X17" s="1355"/>
    </row>
    <row r="18" spans="2:24">
      <c r="B18" s="1354"/>
      <c r="C18" s="404"/>
      <c r="D18" s="404"/>
      <c r="E18" s="404"/>
      <c r="F18" s="404"/>
      <c r="G18" s="404"/>
      <c r="H18" s="404"/>
      <c r="I18" s="404"/>
      <c r="J18" s="404"/>
      <c r="K18" s="404"/>
      <c r="L18" s="404"/>
      <c r="M18" s="404"/>
      <c r="N18" s="404"/>
      <c r="O18" s="404"/>
      <c r="P18" s="404"/>
      <c r="Q18" s="404"/>
      <c r="R18" s="404"/>
      <c r="S18" s="404"/>
      <c r="T18" s="404"/>
      <c r="U18" s="404"/>
      <c r="V18" s="404"/>
      <c r="W18" s="404"/>
      <c r="X18" s="1355"/>
    </row>
    <row r="19" spans="2:24">
      <c r="B19" s="1354"/>
      <c r="C19" s="404"/>
      <c r="D19" s="404"/>
      <c r="E19" s="404"/>
      <c r="F19" s="404"/>
      <c r="G19" s="404"/>
      <c r="H19" s="404"/>
      <c r="I19" s="404"/>
      <c r="J19" s="404"/>
      <c r="K19" s="404"/>
      <c r="L19" s="404"/>
      <c r="M19" s="404"/>
      <c r="N19" s="404"/>
      <c r="O19" s="404"/>
      <c r="P19" s="404"/>
      <c r="Q19" s="404"/>
      <c r="R19" s="404"/>
      <c r="S19" s="404"/>
      <c r="T19" s="404"/>
      <c r="U19" s="404"/>
      <c r="V19" s="404"/>
      <c r="W19" s="404"/>
      <c r="X19" s="1355"/>
    </row>
    <row r="20" spans="2:24">
      <c r="B20" s="1354"/>
      <c r="C20" s="404"/>
      <c r="D20" s="404"/>
      <c r="E20" s="404"/>
      <c r="F20" s="404"/>
      <c r="G20" s="404"/>
      <c r="H20" s="404"/>
      <c r="I20" s="404"/>
      <c r="J20" s="404"/>
      <c r="K20" s="404"/>
      <c r="L20" s="404"/>
      <c r="M20" s="404"/>
      <c r="N20" s="404"/>
      <c r="O20" s="404"/>
      <c r="P20" s="404"/>
      <c r="Q20" s="404"/>
      <c r="R20" s="404"/>
      <c r="S20" s="404"/>
      <c r="T20" s="404"/>
      <c r="U20" s="404"/>
      <c r="V20" s="404"/>
      <c r="W20" s="404"/>
      <c r="X20" s="1355"/>
    </row>
    <row r="21" spans="2:24">
      <c r="B21" s="1354"/>
      <c r="C21" s="404"/>
      <c r="D21" s="404"/>
      <c r="E21" s="404"/>
      <c r="F21" s="404"/>
      <c r="G21" s="404"/>
      <c r="H21" s="404"/>
      <c r="I21" s="404"/>
      <c r="J21" s="404"/>
      <c r="K21" s="404"/>
      <c r="L21" s="404"/>
      <c r="M21" s="404"/>
      <c r="N21" s="404"/>
      <c r="O21" s="404"/>
      <c r="P21" s="404"/>
      <c r="Q21" s="404"/>
      <c r="R21" s="404"/>
      <c r="S21" s="404"/>
      <c r="T21" s="404"/>
      <c r="U21" s="404"/>
      <c r="V21" s="404"/>
      <c r="W21" s="404"/>
      <c r="X21" s="1355"/>
    </row>
    <row r="22" spans="2:24">
      <c r="B22" s="1354"/>
      <c r="C22" s="404"/>
      <c r="D22" s="404"/>
      <c r="E22" s="404"/>
      <c r="F22" s="404"/>
      <c r="G22" s="404"/>
      <c r="H22" s="404"/>
      <c r="I22" s="404"/>
      <c r="J22" s="404"/>
      <c r="K22" s="404"/>
      <c r="L22" s="404"/>
      <c r="M22" s="404"/>
      <c r="N22" s="404"/>
      <c r="O22" s="404"/>
      <c r="P22" s="404"/>
      <c r="Q22" s="404"/>
      <c r="R22" s="404"/>
      <c r="S22" s="404"/>
      <c r="T22" s="404"/>
      <c r="U22" s="404"/>
      <c r="V22" s="404"/>
      <c r="W22" s="404"/>
      <c r="X22" s="1355"/>
    </row>
    <row r="23" spans="2:24">
      <c r="B23" s="1354"/>
      <c r="C23" s="404"/>
      <c r="D23" s="404"/>
      <c r="E23" s="404"/>
      <c r="F23" s="404"/>
      <c r="G23" s="404"/>
      <c r="H23" s="404"/>
      <c r="I23" s="404"/>
      <c r="J23" s="404"/>
      <c r="K23" s="404"/>
      <c r="L23" s="404"/>
      <c r="M23" s="404"/>
      <c r="N23" s="404"/>
      <c r="O23" s="404"/>
      <c r="P23" s="404"/>
      <c r="Q23" s="404"/>
      <c r="R23" s="404"/>
      <c r="S23" s="404"/>
      <c r="T23" s="404"/>
      <c r="U23" s="404"/>
      <c r="V23" s="404"/>
      <c r="W23" s="404"/>
      <c r="X23" s="1355"/>
    </row>
    <row r="24" spans="2:24">
      <c r="B24" s="1354"/>
      <c r="C24" s="404"/>
      <c r="D24" s="404"/>
      <c r="E24" s="404"/>
      <c r="F24" s="404"/>
      <c r="G24" s="404"/>
      <c r="H24" s="404"/>
      <c r="I24" s="404"/>
      <c r="J24" s="404"/>
      <c r="K24" s="404"/>
      <c r="L24" s="404"/>
      <c r="M24" s="404"/>
      <c r="N24" s="404"/>
      <c r="O24" s="404"/>
      <c r="P24" s="404"/>
      <c r="Q24" s="404"/>
      <c r="R24" s="404"/>
      <c r="S24" s="404"/>
      <c r="T24" s="404"/>
      <c r="U24" s="404"/>
      <c r="V24" s="404"/>
      <c r="W24" s="404"/>
      <c r="X24" s="1355"/>
    </row>
    <row r="25" spans="2:24">
      <c r="B25" s="1354"/>
      <c r="C25" s="404"/>
      <c r="D25" s="404"/>
      <c r="E25" s="404"/>
      <c r="F25" s="404"/>
      <c r="G25" s="404"/>
      <c r="H25" s="404"/>
      <c r="I25" s="404"/>
      <c r="J25" s="404"/>
      <c r="K25" s="404"/>
      <c r="L25" s="404"/>
      <c r="M25" s="404"/>
      <c r="N25" s="404"/>
      <c r="O25" s="404"/>
      <c r="P25" s="404"/>
      <c r="Q25" s="404"/>
      <c r="R25" s="404"/>
      <c r="S25" s="404"/>
      <c r="T25" s="404"/>
      <c r="U25" s="404"/>
      <c r="V25" s="404"/>
      <c r="W25" s="404"/>
      <c r="X25" s="1355"/>
    </row>
    <row r="26" spans="2:24">
      <c r="B26" s="1354"/>
      <c r="C26" s="404"/>
      <c r="D26" s="404"/>
      <c r="E26" s="404"/>
      <c r="F26" s="404"/>
      <c r="G26" s="404"/>
      <c r="H26" s="404"/>
      <c r="I26" s="404"/>
      <c r="J26" s="404"/>
      <c r="K26" s="404"/>
      <c r="L26" s="404"/>
      <c r="M26" s="404"/>
      <c r="N26" s="404"/>
      <c r="O26" s="404"/>
      <c r="P26" s="404"/>
      <c r="Q26" s="404"/>
      <c r="R26" s="404"/>
      <c r="S26" s="404"/>
      <c r="T26" s="404"/>
      <c r="U26" s="404"/>
      <c r="V26" s="404"/>
      <c r="W26" s="404"/>
      <c r="X26" s="1355"/>
    </row>
    <row r="27" spans="2:24">
      <c r="B27" s="1354"/>
      <c r="C27" s="404"/>
      <c r="D27" s="404"/>
      <c r="E27" s="404"/>
      <c r="F27" s="404"/>
      <c r="G27" s="404"/>
      <c r="H27" s="404"/>
      <c r="I27" s="404"/>
      <c r="J27" s="404"/>
      <c r="K27" s="404"/>
      <c r="L27" s="404"/>
      <c r="M27" s="404"/>
      <c r="N27" s="404"/>
      <c r="O27" s="404"/>
      <c r="P27" s="404"/>
      <c r="Q27" s="404"/>
      <c r="R27" s="404"/>
      <c r="S27" s="404"/>
      <c r="T27" s="404"/>
      <c r="U27" s="404"/>
      <c r="V27" s="404"/>
      <c r="W27" s="404"/>
      <c r="X27" s="1355"/>
    </row>
    <row r="28" spans="2:24">
      <c r="B28" s="1354"/>
      <c r="C28" s="404"/>
      <c r="D28" s="404"/>
      <c r="E28" s="404"/>
      <c r="F28" s="404"/>
      <c r="G28" s="404"/>
      <c r="H28" s="404"/>
      <c r="I28" s="404"/>
      <c r="J28" s="404"/>
      <c r="K28" s="404"/>
      <c r="L28" s="404"/>
      <c r="M28" s="404"/>
      <c r="N28" s="404"/>
      <c r="O28" s="404"/>
      <c r="P28" s="404"/>
      <c r="Q28" s="404"/>
      <c r="R28" s="404"/>
      <c r="S28" s="404"/>
      <c r="T28" s="404"/>
      <c r="U28" s="404"/>
      <c r="V28" s="404"/>
      <c r="W28" s="404"/>
      <c r="X28" s="1355"/>
    </row>
    <row r="29" spans="2:24">
      <c r="B29" s="1354"/>
      <c r="C29" s="404"/>
      <c r="D29" s="404"/>
      <c r="E29" s="404"/>
      <c r="F29" s="404"/>
      <c r="G29" s="404"/>
      <c r="H29" s="404"/>
      <c r="I29" s="404"/>
      <c r="J29" s="404"/>
      <c r="K29" s="404"/>
      <c r="L29" s="404"/>
      <c r="M29" s="404"/>
      <c r="N29" s="404"/>
      <c r="O29" s="404"/>
      <c r="P29" s="404"/>
      <c r="Q29" s="404"/>
      <c r="R29" s="404"/>
      <c r="S29" s="404"/>
      <c r="T29" s="404"/>
      <c r="U29" s="404"/>
      <c r="V29" s="404"/>
      <c r="W29" s="404"/>
      <c r="X29" s="1355"/>
    </row>
    <row r="30" spans="2:24">
      <c r="B30" s="1354"/>
      <c r="C30" s="404"/>
      <c r="D30" s="404"/>
      <c r="E30" s="404"/>
      <c r="F30" s="404"/>
      <c r="G30" s="404"/>
      <c r="H30" s="404"/>
      <c r="I30" s="404"/>
      <c r="J30" s="404"/>
      <c r="K30" s="404"/>
      <c r="L30" s="404"/>
      <c r="M30" s="404"/>
      <c r="N30" s="404"/>
      <c r="O30" s="404"/>
      <c r="P30" s="404"/>
      <c r="Q30" s="404"/>
      <c r="R30" s="404"/>
      <c r="S30" s="404"/>
      <c r="T30" s="404"/>
      <c r="U30" s="404"/>
      <c r="V30" s="404"/>
      <c r="W30" s="404"/>
      <c r="X30" s="1355"/>
    </row>
    <row r="31" spans="2:24">
      <c r="B31" s="1354"/>
      <c r="C31" s="404"/>
      <c r="D31" s="404"/>
      <c r="E31" s="404"/>
      <c r="F31" s="404"/>
      <c r="G31" s="404"/>
      <c r="H31" s="404"/>
      <c r="I31" s="404"/>
      <c r="J31" s="404"/>
      <c r="K31" s="404"/>
      <c r="L31" s="404"/>
      <c r="M31" s="404"/>
      <c r="N31" s="404"/>
      <c r="O31" s="404"/>
      <c r="P31" s="404"/>
      <c r="Q31" s="404"/>
      <c r="R31" s="404"/>
      <c r="S31" s="404"/>
      <c r="T31" s="404"/>
      <c r="U31" s="404"/>
      <c r="V31" s="404"/>
      <c r="W31" s="404"/>
      <c r="X31" s="1355"/>
    </row>
    <row r="32" spans="2:24">
      <c r="B32" s="1354"/>
      <c r="C32" s="404"/>
      <c r="D32" s="404"/>
      <c r="E32" s="404"/>
      <c r="F32" s="404"/>
      <c r="G32" s="404"/>
      <c r="H32" s="404"/>
      <c r="I32" s="404"/>
      <c r="J32" s="404"/>
      <c r="K32" s="404"/>
      <c r="L32" s="404"/>
      <c r="M32" s="404"/>
      <c r="N32" s="404"/>
      <c r="O32" s="404"/>
      <c r="P32" s="404"/>
      <c r="Q32" s="404"/>
      <c r="R32" s="404"/>
      <c r="S32" s="404"/>
      <c r="T32" s="404"/>
      <c r="U32" s="404"/>
      <c r="V32" s="404"/>
      <c r="W32" s="404"/>
      <c r="X32" s="1355"/>
    </row>
    <row r="33" spans="2:24">
      <c r="B33" s="1354"/>
      <c r="C33" s="404"/>
      <c r="D33" s="404"/>
      <c r="E33" s="404"/>
      <c r="F33" s="404"/>
      <c r="G33" s="404"/>
      <c r="H33" s="404"/>
      <c r="I33" s="404"/>
      <c r="J33" s="404"/>
      <c r="K33" s="404"/>
      <c r="L33" s="404"/>
      <c r="M33" s="404"/>
      <c r="N33" s="404"/>
      <c r="O33" s="404"/>
      <c r="P33" s="404"/>
      <c r="Q33" s="404"/>
      <c r="R33" s="404"/>
      <c r="S33" s="404"/>
      <c r="T33" s="404"/>
      <c r="U33" s="404"/>
      <c r="V33" s="404"/>
      <c r="W33" s="404"/>
      <c r="X33" s="1355"/>
    </row>
    <row r="34" spans="2:24">
      <c r="B34" s="1354"/>
      <c r="C34" s="404"/>
      <c r="D34" s="404"/>
      <c r="E34" s="404"/>
      <c r="F34" s="404"/>
      <c r="G34" s="404"/>
      <c r="H34" s="404"/>
      <c r="I34" s="404"/>
      <c r="J34" s="404"/>
      <c r="K34" s="404"/>
      <c r="L34" s="404"/>
      <c r="M34" s="404"/>
      <c r="N34" s="404"/>
      <c r="O34" s="404"/>
      <c r="P34" s="404"/>
      <c r="Q34" s="404"/>
      <c r="R34" s="404"/>
      <c r="S34" s="404"/>
      <c r="T34" s="404"/>
      <c r="U34" s="404"/>
      <c r="V34" s="404"/>
      <c r="W34" s="404"/>
      <c r="X34" s="1355"/>
    </row>
    <row r="35" spans="2:24">
      <c r="B35" s="1354"/>
      <c r="C35" s="404"/>
      <c r="D35" s="404"/>
      <c r="E35" s="404"/>
      <c r="F35" s="404"/>
      <c r="G35" s="404"/>
      <c r="H35" s="404"/>
      <c r="I35" s="404"/>
      <c r="J35" s="404"/>
      <c r="K35" s="404"/>
      <c r="L35" s="404"/>
      <c r="M35" s="404"/>
      <c r="N35" s="404"/>
      <c r="O35" s="404"/>
      <c r="P35" s="404"/>
      <c r="Q35" s="404"/>
      <c r="R35" s="404"/>
      <c r="S35" s="404"/>
      <c r="T35" s="404"/>
      <c r="U35" s="404"/>
      <c r="V35" s="404"/>
      <c r="W35" s="404"/>
      <c r="X35" s="1355"/>
    </row>
    <row r="36" spans="2:24">
      <c r="B36" s="1354"/>
      <c r="C36" s="404"/>
      <c r="D36" s="404"/>
      <c r="E36" s="404"/>
      <c r="F36" s="404"/>
      <c r="G36" s="404"/>
      <c r="H36" s="404"/>
      <c r="I36" s="404"/>
      <c r="J36" s="404"/>
      <c r="K36" s="404"/>
      <c r="L36" s="404"/>
      <c r="M36" s="404"/>
      <c r="N36" s="404"/>
      <c r="O36" s="404"/>
      <c r="P36" s="404"/>
      <c r="Q36" s="404"/>
      <c r="R36" s="404"/>
      <c r="S36" s="404"/>
      <c r="T36" s="404"/>
      <c r="U36" s="404"/>
      <c r="V36" s="404"/>
      <c r="W36" s="404"/>
      <c r="X36" s="1355"/>
    </row>
    <row r="37" spans="2:24">
      <c r="B37" s="1354"/>
      <c r="C37" s="404"/>
      <c r="D37" s="404"/>
      <c r="E37" s="404"/>
      <c r="F37" s="404"/>
      <c r="G37" s="404"/>
      <c r="H37" s="404"/>
      <c r="I37" s="404"/>
      <c r="J37" s="404"/>
      <c r="K37" s="404"/>
      <c r="L37" s="404"/>
      <c r="M37" s="404"/>
      <c r="N37" s="404"/>
      <c r="O37" s="404"/>
      <c r="P37" s="404"/>
      <c r="Q37" s="404"/>
      <c r="R37" s="404"/>
      <c r="S37" s="404"/>
      <c r="T37" s="404"/>
      <c r="U37" s="404"/>
      <c r="V37" s="404"/>
      <c r="W37" s="404"/>
      <c r="X37" s="1355"/>
    </row>
    <row r="38" spans="2:24">
      <c r="B38" s="1354"/>
      <c r="C38" s="404"/>
      <c r="D38" s="404"/>
      <c r="E38" s="404"/>
      <c r="F38" s="404"/>
      <c r="G38" s="404"/>
      <c r="H38" s="404"/>
      <c r="I38" s="404"/>
      <c r="J38" s="404"/>
      <c r="K38" s="404"/>
      <c r="L38" s="404"/>
      <c r="M38" s="404"/>
      <c r="N38" s="404"/>
      <c r="O38" s="404"/>
      <c r="P38" s="404"/>
      <c r="Q38" s="404"/>
      <c r="R38" s="404"/>
      <c r="S38" s="404"/>
      <c r="T38" s="404"/>
      <c r="U38" s="404"/>
      <c r="V38" s="404"/>
      <c r="W38" s="404"/>
      <c r="X38" s="1355"/>
    </row>
    <row r="39" spans="2:24">
      <c r="B39" s="1354"/>
      <c r="C39" s="404"/>
      <c r="D39" s="404"/>
      <c r="E39" s="404"/>
      <c r="F39" s="404"/>
      <c r="G39" s="404"/>
      <c r="H39" s="404"/>
      <c r="I39" s="404"/>
      <c r="J39" s="404"/>
      <c r="K39" s="404"/>
      <c r="L39" s="404"/>
      <c r="M39" s="404"/>
      <c r="N39" s="404"/>
      <c r="O39" s="404"/>
      <c r="P39" s="404"/>
      <c r="Q39" s="404"/>
      <c r="R39" s="404"/>
      <c r="S39" s="404"/>
      <c r="T39" s="404"/>
      <c r="U39" s="404"/>
      <c r="V39" s="404"/>
      <c r="W39" s="404"/>
      <c r="X39" s="1355"/>
    </row>
    <row r="40" spans="2:24">
      <c r="B40" s="1354"/>
      <c r="C40" s="404"/>
      <c r="D40" s="404"/>
      <c r="E40" s="404"/>
      <c r="F40" s="404"/>
      <c r="G40" s="404"/>
      <c r="H40" s="404"/>
      <c r="I40" s="404"/>
      <c r="J40" s="404"/>
      <c r="K40" s="404"/>
      <c r="L40" s="404"/>
      <c r="M40" s="404"/>
      <c r="N40" s="404"/>
      <c r="O40" s="404"/>
      <c r="P40" s="404"/>
      <c r="Q40" s="404"/>
      <c r="R40" s="404"/>
      <c r="S40" s="404"/>
      <c r="T40" s="404"/>
      <c r="U40" s="404"/>
      <c r="V40" s="404"/>
      <c r="W40" s="404"/>
      <c r="X40" s="1355"/>
    </row>
    <row r="41" spans="2:24">
      <c r="B41" s="1354"/>
      <c r="C41" s="404"/>
      <c r="D41" s="404"/>
      <c r="E41" s="404"/>
      <c r="F41" s="404"/>
      <c r="G41" s="404"/>
      <c r="H41" s="404"/>
      <c r="I41" s="404"/>
      <c r="J41" s="404"/>
      <c r="K41" s="404"/>
      <c r="L41" s="404"/>
      <c r="M41" s="404"/>
      <c r="N41" s="404"/>
      <c r="O41" s="404"/>
      <c r="P41" s="404"/>
      <c r="Q41" s="404"/>
      <c r="R41" s="404"/>
      <c r="S41" s="404"/>
      <c r="T41" s="404"/>
      <c r="U41" s="404"/>
      <c r="V41" s="404"/>
      <c r="W41" s="404"/>
      <c r="X41" s="1355"/>
    </row>
    <row r="42" spans="2:24">
      <c r="B42" s="1354"/>
      <c r="C42" s="404"/>
      <c r="D42" s="404"/>
      <c r="E42" s="404"/>
      <c r="F42" s="404"/>
      <c r="G42" s="404"/>
      <c r="H42" s="404"/>
      <c r="I42" s="404"/>
      <c r="J42" s="404"/>
      <c r="K42" s="404"/>
      <c r="L42" s="404"/>
      <c r="M42" s="404"/>
      <c r="N42" s="404"/>
      <c r="O42" s="404"/>
      <c r="P42" s="404"/>
      <c r="Q42" s="404"/>
      <c r="R42" s="404"/>
      <c r="S42" s="404"/>
      <c r="T42" s="404"/>
      <c r="U42" s="404"/>
      <c r="V42" s="404"/>
      <c r="W42" s="404"/>
      <c r="X42" s="1355"/>
    </row>
    <row r="43" spans="2:24">
      <c r="B43" s="1354"/>
      <c r="C43" s="404"/>
      <c r="D43" s="404"/>
      <c r="E43" s="404"/>
      <c r="F43" s="404"/>
      <c r="G43" s="404"/>
      <c r="H43" s="404"/>
      <c r="I43" s="404"/>
      <c r="J43" s="404"/>
      <c r="K43" s="404"/>
      <c r="L43" s="404"/>
      <c r="M43" s="404"/>
      <c r="N43" s="404"/>
      <c r="O43" s="404"/>
      <c r="P43" s="404"/>
      <c r="Q43" s="404"/>
      <c r="R43" s="404"/>
      <c r="S43" s="404"/>
      <c r="T43" s="404"/>
      <c r="U43" s="404"/>
      <c r="V43" s="404"/>
      <c r="W43" s="404"/>
      <c r="X43" s="1355"/>
    </row>
    <row r="44" spans="2:24">
      <c r="B44" s="1354"/>
      <c r="C44" s="404"/>
      <c r="D44" s="404"/>
      <c r="E44" s="404"/>
      <c r="F44" s="404"/>
      <c r="G44" s="404"/>
      <c r="H44" s="404"/>
      <c r="I44" s="404"/>
      <c r="J44" s="404"/>
      <c r="K44" s="404"/>
      <c r="L44" s="404"/>
      <c r="M44" s="404"/>
      <c r="N44" s="404"/>
      <c r="O44" s="404"/>
      <c r="P44" s="404"/>
      <c r="Q44" s="404"/>
      <c r="R44" s="404"/>
      <c r="S44" s="404"/>
      <c r="T44" s="404"/>
      <c r="U44" s="404"/>
      <c r="V44" s="404"/>
      <c r="W44" s="404"/>
      <c r="X44" s="1355"/>
    </row>
    <row r="45" spans="2:24">
      <c r="B45" s="1354"/>
      <c r="C45" s="404"/>
      <c r="D45" s="404"/>
      <c r="E45" s="404"/>
      <c r="F45" s="404"/>
      <c r="G45" s="404"/>
      <c r="H45" s="404"/>
      <c r="I45" s="404"/>
      <c r="J45" s="404"/>
      <c r="K45" s="404"/>
      <c r="L45" s="404"/>
      <c r="M45" s="404"/>
      <c r="N45" s="404"/>
      <c r="O45" s="404"/>
      <c r="P45" s="404"/>
      <c r="Q45" s="404"/>
      <c r="R45" s="404"/>
      <c r="S45" s="404"/>
      <c r="T45" s="404"/>
      <c r="U45" s="404"/>
      <c r="V45" s="404"/>
      <c r="W45" s="404"/>
      <c r="X45" s="1355"/>
    </row>
    <row r="46" spans="2:24">
      <c r="B46" s="1354"/>
      <c r="C46" s="404"/>
      <c r="D46" s="404"/>
      <c r="E46" s="404"/>
      <c r="F46" s="404"/>
      <c r="G46" s="404"/>
      <c r="H46" s="404"/>
      <c r="I46" s="404"/>
      <c r="J46" s="404"/>
      <c r="K46" s="404"/>
      <c r="L46" s="404"/>
      <c r="M46" s="404"/>
      <c r="N46" s="404"/>
      <c r="O46" s="404"/>
      <c r="P46" s="404"/>
      <c r="Q46" s="404"/>
      <c r="R46" s="404"/>
      <c r="S46" s="404"/>
      <c r="T46" s="404"/>
      <c r="U46" s="404"/>
      <c r="V46" s="404"/>
      <c r="W46" s="404"/>
      <c r="X46" s="1355"/>
    </row>
    <row r="47" spans="2:24">
      <c r="B47" s="1354"/>
      <c r="C47" s="404"/>
      <c r="D47" s="404"/>
      <c r="E47" s="404"/>
      <c r="F47" s="404"/>
      <c r="G47" s="404"/>
      <c r="H47" s="404"/>
      <c r="I47" s="404"/>
      <c r="J47" s="404"/>
      <c r="K47" s="404"/>
      <c r="L47" s="404"/>
      <c r="M47" s="404"/>
      <c r="N47" s="404"/>
      <c r="O47" s="404"/>
      <c r="P47" s="404"/>
      <c r="Q47" s="404"/>
      <c r="R47" s="404"/>
      <c r="S47" s="404"/>
      <c r="T47" s="404"/>
      <c r="U47" s="404"/>
      <c r="V47" s="404"/>
      <c r="W47" s="404"/>
      <c r="X47" s="1355"/>
    </row>
    <row r="48" spans="2:24">
      <c r="B48" s="1354"/>
      <c r="C48" s="404"/>
      <c r="D48" s="404"/>
      <c r="E48" s="404"/>
      <c r="F48" s="404"/>
      <c r="G48" s="404"/>
      <c r="H48" s="404"/>
      <c r="I48" s="404"/>
      <c r="J48" s="404"/>
      <c r="K48" s="404"/>
      <c r="L48" s="404"/>
      <c r="M48" s="404"/>
      <c r="N48" s="404"/>
      <c r="O48" s="404"/>
      <c r="P48" s="404"/>
      <c r="Q48" s="404"/>
      <c r="R48" s="404"/>
      <c r="S48" s="404"/>
      <c r="T48" s="404"/>
      <c r="U48" s="404"/>
      <c r="V48" s="404"/>
      <c r="W48" s="404"/>
      <c r="X48" s="1355"/>
    </row>
    <row r="49" spans="2:24">
      <c r="B49" s="1354"/>
      <c r="C49" s="404"/>
      <c r="D49" s="404"/>
      <c r="E49" s="404"/>
      <c r="F49" s="404"/>
      <c r="G49" s="404"/>
      <c r="H49" s="404"/>
      <c r="I49" s="404"/>
      <c r="J49" s="404"/>
      <c r="K49" s="404"/>
      <c r="L49" s="404"/>
      <c r="M49" s="404"/>
      <c r="N49" s="404"/>
      <c r="O49" s="404"/>
      <c r="P49" s="404"/>
      <c r="Q49" s="404"/>
      <c r="R49" s="404"/>
      <c r="S49" s="404"/>
      <c r="T49" s="404"/>
      <c r="U49" s="404"/>
      <c r="V49" s="404"/>
      <c r="W49" s="404"/>
      <c r="X49" s="1355"/>
    </row>
    <row r="50" spans="2:24">
      <c r="B50" s="1354"/>
      <c r="C50" s="404"/>
      <c r="D50" s="404"/>
      <c r="E50" s="404"/>
      <c r="F50" s="404"/>
      <c r="G50" s="404"/>
      <c r="H50" s="404"/>
      <c r="I50" s="404"/>
      <c r="J50" s="404"/>
      <c r="K50" s="404"/>
      <c r="L50" s="404"/>
      <c r="M50" s="404"/>
      <c r="N50" s="404"/>
      <c r="O50" s="404"/>
      <c r="P50" s="404"/>
      <c r="Q50" s="404"/>
      <c r="R50" s="404"/>
      <c r="S50" s="404"/>
      <c r="T50" s="404"/>
      <c r="U50" s="404"/>
      <c r="V50" s="404"/>
      <c r="W50" s="404"/>
      <c r="X50" s="1355"/>
    </row>
    <row r="51" spans="2:24">
      <c r="B51" s="1354"/>
      <c r="C51" s="404"/>
      <c r="D51" s="404"/>
      <c r="E51" s="404"/>
      <c r="F51" s="404"/>
      <c r="G51" s="404"/>
      <c r="H51" s="404"/>
      <c r="I51" s="404"/>
      <c r="J51" s="404"/>
      <c r="K51" s="404"/>
      <c r="L51" s="404"/>
      <c r="M51" s="404"/>
      <c r="N51" s="404"/>
      <c r="O51" s="404"/>
      <c r="P51" s="404"/>
      <c r="Q51" s="404"/>
      <c r="R51" s="404"/>
      <c r="S51" s="404"/>
      <c r="T51" s="404"/>
      <c r="U51" s="404"/>
      <c r="V51" s="404"/>
      <c r="W51" s="404"/>
      <c r="X51" s="1355"/>
    </row>
    <row r="52" spans="2:24">
      <c r="B52" s="1354"/>
      <c r="C52" s="404"/>
      <c r="D52" s="404"/>
      <c r="E52" s="404"/>
      <c r="F52" s="404"/>
      <c r="G52" s="404"/>
      <c r="H52" s="404"/>
      <c r="I52" s="404"/>
      <c r="J52" s="404"/>
      <c r="K52" s="404"/>
      <c r="L52" s="404"/>
      <c r="M52" s="404"/>
      <c r="N52" s="404"/>
      <c r="O52" s="404"/>
      <c r="P52" s="404"/>
      <c r="Q52" s="404"/>
      <c r="R52" s="404"/>
      <c r="S52" s="404"/>
      <c r="T52" s="404"/>
      <c r="U52" s="404"/>
      <c r="V52" s="404"/>
      <c r="W52" s="404"/>
      <c r="X52" s="1355"/>
    </row>
    <row r="53" spans="2:24">
      <c r="B53" s="1354"/>
      <c r="C53" s="404"/>
      <c r="D53" s="404"/>
      <c r="E53" s="404"/>
      <c r="F53" s="404"/>
      <c r="G53" s="404"/>
      <c r="H53" s="404"/>
      <c r="I53" s="404"/>
      <c r="J53" s="404"/>
      <c r="K53" s="404"/>
      <c r="L53" s="404"/>
      <c r="M53" s="404"/>
      <c r="N53" s="404"/>
      <c r="O53" s="404"/>
      <c r="P53" s="404"/>
      <c r="Q53" s="404"/>
      <c r="R53" s="404"/>
      <c r="S53" s="404"/>
      <c r="T53" s="404"/>
      <c r="U53" s="404"/>
      <c r="V53" s="404"/>
      <c r="W53" s="404"/>
      <c r="X53" s="1355"/>
    </row>
    <row r="54" spans="2:24">
      <c r="B54" s="1354"/>
      <c r="C54" s="404"/>
      <c r="D54" s="404"/>
      <c r="E54" s="404"/>
      <c r="F54" s="404"/>
      <c r="G54" s="404"/>
      <c r="H54" s="404"/>
      <c r="I54" s="404"/>
      <c r="J54" s="404"/>
      <c r="K54" s="404"/>
      <c r="L54" s="404"/>
      <c r="M54" s="404"/>
      <c r="N54" s="404"/>
      <c r="O54" s="404"/>
      <c r="P54" s="404"/>
      <c r="Q54" s="404"/>
      <c r="R54" s="404"/>
      <c r="S54" s="404"/>
      <c r="T54" s="404"/>
      <c r="U54" s="404"/>
      <c r="V54" s="404"/>
      <c r="W54" s="404"/>
      <c r="X54" s="1355"/>
    </row>
    <row r="55" spans="2:24">
      <c r="B55" s="1354"/>
      <c r="C55" s="404"/>
      <c r="D55" s="404"/>
      <c r="E55" s="404"/>
      <c r="F55" s="404"/>
      <c r="G55" s="404"/>
      <c r="H55" s="404"/>
      <c r="I55" s="404"/>
      <c r="J55" s="404"/>
      <c r="K55" s="404"/>
      <c r="L55" s="404"/>
      <c r="M55" s="404"/>
      <c r="N55" s="404"/>
      <c r="O55" s="404"/>
      <c r="P55" s="404"/>
      <c r="Q55" s="404"/>
      <c r="R55" s="404"/>
      <c r="S55" s="404"/>
      <c r="T55" s="404"/>
      <c r="U55" s="404"/>
      <c r="V55" s="404"/>
      <c r="W55" s="404"/>
      <c r="X55" s="1355"/>
    </row>
    <row r="56" spans="2:24">
      <c r="B56" s="1354"/>
      <c r="C56" s="404"/>
      <c r="D56" s="404"/>
      <c r="E56" s="404"/>
      <c r="F56" s="404"/>
      <c r="G56" s="404"/>
      <c r="H56" s="404"/>
      <c r="I56" s="404"/>
      <c r="J56" s="404"/>
      <c r="K56" s="404"/>
      <c r="L56" s="404"/>
      <c r="M56" s="404"/>
      <c r="N56" s="404"/>
      <c r="O56" s="404"/>
      <c r="P56" s="404"/>
      <c r="Q56" s="404"/>
      <c r="R56" s="404"/>
      <c r="S56" s="404"/>
      <c r="T56" s="404"/>
      <c r="U56" s="404"/>
      <c r="V56" s="404"/>
      <c r="W56" s="404"/>
      <c r="X56" s="1355"/>
    </row>
    <row r="57" spans="2:24">
      <c r="B57" s="1354"/>
      <c r="C57" s="404"/>
      <c r="D57" s="404"/>
      <c r="E57" s="404"/>
      <c r="F57" s="404"/>
      <c r="G57" s="404"/>
      <c r="H57" s="404"/>
      <c r="I57" s="404"/>
      <c r="J57" s="404"/>
      <c r="K57" s="404"/>
      <c r="L57" s="404"/>
      <c r="M57" s="404"/>
      <c r="N57" s="404"/>
      <c r="O57" s="404"/>
      <c r="P57" s="404"/>
      <c r="Q57" s="404"/>
      <c r="R57" s="404"/>
      <c r="S57" s="404"/>
      <c r="T57" s="404"/>
      <c r="U57" s="404"/>
      <c r="V57" s="404"/>
      <c r="W57" s="404"/>
      <c r="X57" s="1355"/>
    </row>
    <row r="58" spans="2:24">
      <c r="B58" s="1354"/>
      <c r="C58" s="404"/>
      <c r="D58" s="404"/>
      <c r="E58" s="404"/>
      <c r="F58" s="404"/>
      <c r="G58" s="404"/>
      <c r="H58" s="404"/>
      <c r="I58" s="404"/>
      <c r="J58" s="404"/>
      <c r="K58" s="404"/>
      <c r="L58" s="404"/>
      <c r="M58" s="404"/>
      <c r="N58" s="404"/>
      <c r="O58" s="404"/>
      <c r="P58" s="404"/>
      <c r="Q58" s="404"/>
      <c r="R58" s="404"/>
      <c r="S58" s="404"/>
      <c r="T58" s="404"/>
      <c r="U58" s="404"/>
      <c r="V58" s="404"/>
      <c r="W58" s="404"/>
      <c r="X58" s="1355"/>
    </row>
    <row r="59" spans="2:24">
      <c r="B59" s="1354"/>
      <c r="C59" s="404"/>
      <c r="D59" s="404"/>
      <c r="E59" s="404"/>
      <c r="F59" s="404"/>
      <c r="G59" s="404"/>
      <c r="H59" s="404"/>
      <c r="I59" s="404"/>
      <c r="J59" s="404"/>
      <c r="K59" s="404"/>
      <c r="L59" s="404"/>
      <c r="M59" s="404"/>
      <c r="N59" s="404"/>
      <c r="O59" s="404"/>
      <c r="P59" s="404"/>
      <c r="Q59" s="404"/>
      <c r="R59" s="404"/>
      <c r="S59" s="404"/>
      <c r="T59" s="404"/>
      <c r="U59" s="404"/>
      <c r="V59" s="404"/>
      <c r="W59" s="404"/>
      <c r="X59" s="1355"/>
    </row>
    <row r="60" spans="2:24">
      <c r="B60" s="1354"/>
      <c r="C60" s="404"/>
      <c r="D60" s="404"/>
      <c r="E60" s="404"/>
      <c r="F60" s="404"/>
      <c r="G60" s="404"/>
      <c r="H60" s="404"/>
      <c r="I60" s="404"/>
      <c r="J60" s="404"/>
      <c r="K60" s="404"/>
      <c r="L60" s="404"/>
      <c r="M60" s="404"/>
      <c r="N60" s="404"/>
      <c r="O60" s="404"/>
      <c r="P60" s="404"/>
      <c r="Q60" s="404"/>
      <c r="R60" s="404"/>
      <c r="S60" s="404"/>
      <c r="T60" s="404"/>
      <c r="U60" s="404"/>
      <c r="V60" s="404"/>
      <c r="W60" s="404"/>
      <c r="X60" s="1355"/>
    </row>
    <row r="61" spans="2:24">
      <c r="B61" s="1354"/>
      <c r="C61" s="404"/>
      <c r="D61" s="404"/>
      <c r="E61" s="404"/>
      <c r="F61" s="404"/>
      <c r="G61" s="404"/>
      <c r="H61" s="404"/>
      <c r="I61" s="404"/>
      <c r="J61" s="404"/>
      <c r="K61" s="404"/>
      <c r="L61" s="404"/>
      <c r="M61" s="404"/>
      <c r="N61" s="404"/>
      <c r="O61" s="404"/>
      <c r="P61" s="404"/>
      <c r="Q61" s="404"/>
      <c r="R61" s="404"/>
      <c r="S61" s="404"/>
      <c r="T61" s="404"/>
      <c r="U61" s="404"/>
      <c r="V61" s="404"/>
      <c r="W61" s="404"/>
      <c r="X61" s="1355"/>
    </row>
    <row r="62" spans="2:24">
      <c r="B62" s="1354"/>
      <c r="C62" s="404"/>
      <c r="D62" s="404"/>
      <c r="E62" s="404"/>
      <c r="F62" s="404"/>
      <c r="G62" s="404"/>
      <c r="H62" s="404"/>
      <c r="I62" s="404"/>
      <c r="J62" s="404"/>
      <c r="K62" s="404"/>
      <c r="L62" s="404"/>
      <c r="M62" s="404"/>
      <c r="N62" s="404"/>
      <c r="O62" s="404"/>
      <c r="P62" s="404"/>
      <c r="Q62" s="404"/>
      <c r="R62" s="404"/>
      <c r="S62" s="404"/>
      <c r="T62" s="404"/>
      <c r="U62" s="404"/>
      <c r="V62" s="404"/>
      <c r="W62" s="404"/>
      <c r="X62" s="1355"/>
    </row>
    <row r="63" spans="2:24">
      <c r="B63" s="1354"/>
      <c r="C63" s="404"/>
      <c r="D63" s="404"/>
      <c r="E63" s="404"/>
      <c r="F63" s="404"/>
      <c r="G63" s="404"/>
      <c r="H63" s="404"/>
      <c r="I63" s="404"/>
      <c r="J63" s="404"/>
      <c r="K63" s="404"/>
      <c r="L63" s="404"/>
      <c r="M63" s="404"/>
      <c r="N63" s="404"/>
      <c r="O63" s="404"/>
      <c r="P63" s="404"/>
      <c r="Q63" s="404"/>
      <c r="R63" s="404"/>
      <c r="S63" s="404"/>
      <c r="T63" s="404"/>
      <c r="U63" s="404"/>
      <c r="V63" s="404"/>
      <c r="W63" s="404"/>
      <c r="X63" s="1355"/>
    </row>
    <row r="64" spans="2:24">
      <c r="B64" s="1354"/>
      <c r="C64" s="404"/>
      <c r="D64" s="404"/>
      <c r="E64" s="404"/>
      <c r="F64" s="404"/>
      <c r="G64" s="404"/>
      <c r="H64" s="404"/>
      <c r="I64" s="404"/>
      <c r="J64" s="404"/>
      <c r="K64" s="404"/>
      <c r="L64" s="404"/>
      <c r="M64" s="404"/>
      <c r="N64" s="404"/>
      <c r="O64" s="404"/>
      <c r="P64" s="404"/>
      <c r="Q64" s="404"/>
      <c r="R64" s="404"/>
      <c r="S64" s="404"/>
      <c r="T64" s="404"/>
      <c r="U64" s="404"/>
      <c r="V64" s="404"/>
      <c r="W64" s="404"/>
      <c r="X64" s="1355"/>
    </row>
    <row r="65" spans="2:24">
      <c r="B65" s="1354"/>
      <c r="C65" s="404"/>
      <c r="D65" s="404"/>
      <c r="E65" s="404"/>
      <c r="F65" s="404"/>
      <c r="G65" s="404"/>
      <c r="H65" s="404"/>
      <c r="I65" s="404"/>
      <c r="J65" s="404"/>
      <c r="K65" s="404"/>
      <c r="L65" s="404"/>
      <c r="M65" s="404"/>
      <c r="N65" s="404"/>
      <c r="O65" s="404"/>
      <c r="P65" s="404"/>
      <c r="Q65" s="404"/>
      <c r="R65" s="404"/>
      <c r="S65" s="404"/>
      <c r="T65" s="404"/>
      <c r="U65" s="404"/>
      <c r="V65" s="404"/>
      <c r="W65" s="404"/>
      <c r="X65" s="1355"/>
    </row>
    <row r="66" spans="2:24">
      <c r="B66" s="1354"/>
      <c r="C66" s="404"/>
      <c r="D66" s="404"/>
      <c r="E66" s="404"/>
      <c r="F66" s="404"/>
      <c r="G66" s="404"/>
      <c r="H66" s="404"/>
      <c r="I66" s="404"/>
      <c r="J66" s="404"/>
      <c r="K66" s="404"/>
      <c r="L66" s="404"/>
      <c r="M66" s="404"/>
      <c r="N66" s="404"/>
      <c r="O66" s="404"/>
      <c r="P66" s="404"/>
      <c r="Q66" s="404"/>
      <c r="R66" s="404"/>
      <c r="S66" s="404"/>
      <c r="T66" s="404"/>
      <c r="U66" s="404"/>
      <c r="V66" s="404"/>
      <c r="W66" s="404"/>
      <c r="X66" s="1355"/>
    </row>
    <row r="67" spans="2:24">
      <c r="B67" s="1354"/>
      <c r="C67" s="404"/>
      <c r="D67" s="404"/>
      <c r="E67" s="404"/>
      <c r="F67" s="404"/>
      <c r="G67" s="404"/>
      <c r="H67" s="404"/>
      <c r="I67" s="404"/>
      <c r="J67" s="404"/>
      <c r="K67" s="404"/>
      <c r="L67" s="404"/>
      <c r="M67" s="404"/>
      <c r="N67" s="404"/>
      <c r="O67" s="404"/>
      <c r="P67" s="404"/>
      <c r="Q67" s="404"/>
      <c r="R67" s="404"/>
      <c r="S67" s="404"/>
      <c r="T67" s="404"/>
      <c r="U67" s="404"/>
      <c r="V67" s="404"/>
      <c r="W67" s="404"/>
      <c r="X67" s="1355"/>
    </row>
    <row r="68" spans="2:24">
      <c r="B68" s="1354"/>
      <c r="C68" s="404"/>
      <c r="D68" s="404"/>
      <c r="E68" s="404"/>
      <c r="F68" s="404"/>
      <c r="G68" s="404"/>
      <c r="H68" s="404"/>
      <c r="I68" s="404"/>
      <c r="J68" s="404"/>
      <c r="K68" s="404"/>
      <c r="L68" s="404"/>
      <c r="M68" s="404"/>
      <c r="N68" s="404"/>
      <c r="O68" s="404"/>
      <c r="P68" s="404"/>
      <c r="Q68" s="404"/>
      <c r="R68" s="404"/>
      <c r="S68" s="404"/>
      <c r="T68" s="404"/>
      <c r="U68" s="404"/>
      <c r="V68" s="404"/>
      <c r="W68" s="404"/>
      <c r="X68" s="1355"/>
    </row>
    <row r="69" spans="2:24">
      <c r="B69" s="1354"/>
      <c r="C69" s="404"/>
      <c r="D69" s="404"/>
      <c r="E69" s="404"/>
      <c r="F69" s="404"/>
      <c r="G69" s="404"/>
      <c r="H69" s="404"/>
      <c r="I69" s="404"/>
      <c r="J69" s="404"/>
      <c r="K69" s="404"/>
      <c r="L69" s="404"/>
      <c r="M69" s="404"/>
      <c r="N69" s="404"/>
      <c r="O69" s="404"/>
      <c r="P69" s="404"/>
      <c r="Q69" s="404"/>
      <c r="R69" s="404"/>
      <c r="S69" s="404"/>
      <c r="T69" s="404"/>
      <c r="U69" s="404"/>
      <c r="V69" s="404"/>
      <c r="W69" s="404"/>
      <c r="X69" s="1355"/>
    </row>
    <row r="70" spans="2:24">
      <c r="B70" s="1354"/>
      <c r="C70" s="404"/>
      <c r="D70" s="404"/>
      <c r="E70" s="404"/>
      <c r="F70" s="404"/>
      <c r="G70" s="404"/>
      <c r="H70" s="404"/>
      <c r="I70" s="404"/>
      <c r="J70" s="404"/>
      <c r="K70" s="404"/>
      <c r="L70" s="404"/>
      <c r="M70" s="404"/>
      <c r="N70" s="404"/>
      <c r="O70" s="404"/>
      <c r="P70" s="404"/>
      <c r="Q70" s="404"/>
      <c r="R70" s="404"/>
      <c r="S70" s="404"/>
      <c r="T70" s="404"/>
      <c r="U70" s="404"/>
      <c r="V70" s="404"/>
      <c r="W70" s="404"/>
      <c r="X70" s="1355"/>
    </row>
    <row r="71" spans="2:24">
      <c r="B71" s="1354"/>
      <c r="C71" s="404"/>
      <c r="D71" s="404"/>
      <c r="E71" s="404"/>
      <c r="F71" s="404"/>
      <c r="G71" s="404"/>
      <c r="H71" s="404"/>
      <c r="I71" s="404"/>
      <c r="J71" s="404"/>
      <c r="K71" s="404"/>
      <c r="L71" s="404"/>
      <c r="M71" s="404"/>
      <c r="N71" s="404"/>
      <c r="O71" s="404"/>
      <c r="P71" s="404"/>
      <c r="Q71" s="404"/>
      <c r="R71" s="404"/>
      <c r="S71" s="404"/>
      <c r="T71" s="404"/>
      <c r="U71" s="404"/>
      <c r="V71" s="404"/>
      <c r="W71" s="404"/>
      <c r="X71" s="1355"/>
    </row>
    <row r="72" spans="2:24">
      <c r="B72" s="1354"/>
      <c r="C72" s="404"/>
      <c r="D72" s="404"/>
      <c r="E72" s="404"/>
      <c r="F72" s="404"/>
      <c r="G72" s="404"/>
      <c r="H72" s="404"/>
      <c r="I72" s="404"/>
      <c r="J72" s="404"/>
      <c r="K72" s="404"/>
      <c r="L72" s="404"/>
      <c r="M72" s="404"/>
      <c r="N72" s="404"/>
      <c r="O72" s="404"/>
      <c r="P72" s="404"/>
      <c r="Q72" s="404"/>
      <c r="R72" s="404"/>
      <c r="S72" s="404"/>
      <c r="T72" s="404"/>
      <c r="U72" s="404"/>
      <c r="V72" s="404"/>
      <c r="W72" s="404"/>
      <c r="X72" s="1355"/>
    </row>
    <row r="73" spans="2:24">
      <c r="B73" s="1354"/>
      <c r="C73" s="404"/>
      <c r="D73" s="404"/>
      <c r="E73" s="404"/>
      <c r="F73" s="404"/>
      <c r="G73" s="404"/>
      <c r="H73" s="404"/>
      <c r="I73" s="404"/>
      <c r="J73" s="404"/>
      <c r="K73" s="404"/>
      <c r="L73" s="404"/>
      <c r="M73" s="404"/>
      <c r="N73" s="404"/>
      <c r="O73" s="404"/>
      <c r="P73" s="404"/>
      <c r="Q73" s="404"/>
      <c r="R73" s="404"/>
      <c r="S73" s="404"/>
      <c r="T73" s="404"/>
      <c r="U73" s="404"/>
      <c r="V73" s="404"/>
      <c r="W73" s="404"/>
      <c r="X73" s="1355"/>
    </row>
    <row r="74" spans="2:24">
      <c r="B74" s="1354"/>
      <c r="C74" s="404"/>
      <c r="D74" s="404"/>
      <c r="E74" s="404"/>
      <c r="F74" s="404"/>
      <c r="G74" s="404"/>
      <c r="H74" s="404"/>
      <c r="I74" s="404"/>
      <c r="J74" s="404"/>
      <c r="K74" s="404"/>
      <c r="L74" s="404"/>
      <c r="M74" s="404"/>
      <c r="N74" s="404"/>
      <c r="O74" s="404"/>
      <c r="P74" s="404"/>
      <c r="Q74" s="404"/>
      <c r="R74" s="404"/>
      <c r="S74" s="404"/>
      <c r="T74" s="404"/>
      <c r="U74" s="404"/>
      <c r="V74" s="404"/>
      <c r="W74" s="404"/>
      <c r="X74" s="1355"/>
    </row>
    <row r="75" spans="2:24">
      <c r="B75" s="1354"/>
      <c r="C75" s="404"/>
      <c r="D75" s="404"/>
      <c r="E75" s="404"/>
      <c r="F75" s="404"/>
      <c r="G75" s="404"/>
      <c r="H75" s="404"/>
      <c r="I75" s="404"/>
      <c r="J75" s="404"/>
      <c r="K75" s="404"/>
      <c r="L75" s="404"/>
      <c r="M75" s="404"/>
      <c r="N75" s="404"/>
      <c r="O75" s="404"/>
      <c r="P75" s="404"/>
      <c r="Q75" s="404"/>
      <c r="R75" s="404"/>
      <c r="S75" s="404"/>
      <c r="T75" s="404"/>
      <c r="U75" s="404"/>
      <c r="V75" s="404"/>
      <c r="W75" s="404"/>
      <c r="X75" s="1355"/>
    </row>
    <row r="76" spans="2:24">
      <c r="B76" s="1354"/>
      <c r="C76" s="404"/>
      <c r="D76" s="404"/>
      <c r="E76" s="404"/>
      <c r="F76" s="404"/>
      <c r="G76" s="404"/>
      <c r="H76" s="404"/>
      <c r="I76" s="404"/>
      <c r="J76" s="404"/>
      <c r="K76" s="404"/>
      <c r="L76" s="404"/>
      <c r="M76" s="404"/>
      <c r="N76" s="404"/>
      <c r="O76" s="404"/>
      <c r="P76" s="404"/>
      <c r="Q76" s="404"/>
      <c r="R76" s="404"/>
      <c r="S76" s="404"/>
      <c r="T76" s="404"/>
      <c r="U76" s="404"/>
      <c r="V76" s="404"/>
      <c r="W76" s="404"/>
      <c r="X76" s="1355"/>
    </row>
    <row r="77" spans="2:24">
      <c r="B77" s="1354"/>
      <c r="C77" s="404"/>
      <c r="D77" s="404"/>
      <c r="E77" s="404"/>
      <c r="F77" s="404"/>
      <c r="G77" s="404"/>
      <c r="H77" s="404"/>
      <c r="I77" s="404"/>
      <c r="J77" s="404"/>
      <c r="K77" s="404"/>
      <c r="L77" s="404"/>
      <c r="M77" s="404"/>
      <c r="N77" s="404"/>
      <c r="O77" s="404"/>
      <c r="P77" s="404"/>
      <c r="Q77" s="404"/>
      <c r="R77" s="404"/>
      <c r="S77" s="404"/>
      <c r="T77" s="404"/>
      <c r="U77" s="404"/>
      <c r="V77" s="404"/>
      <c r="W77" s="404"/>
      <c r="X77" s="1355"/>
    </row>
    <row r="78" spans="2:24" ht="13.5" thickBot="1">
      <c r="B78" s="1356"/>
      <c r="C78" s="1357"/>
      <c r="D78" s="1357"/>
      <c r="E78" s="1357"/>
      <c r="F78" s="1357"/>
      <c r="G78" s="1357"/>
      <c r="H78" s="1357"/>
      <c r="I78" s="1357"/>
      <c r="J78" s="1357"/>
      <c r="K78" s="1357"/>
      <c r="L78" s="1357"/>
      <c r="M78" s="1357"/>
      <c r="N78" s="1357"/>
      <c r="O78" s="1357"/>
      <c r="P78" s="1357"/>
      <c r="Q78" s="1357"/>
      <c r="R78" s="1357"/>
      <c r="S78" s="1357"/>
      <c r="T78" s="1357"/>
      <c r="U78" s="1357"/>
      <c r="V78" s="1357"/>
      <c r="W78" s="1357"/>
      <c r="X78" s="1358"/>
    </row>
    <row r="79" spans="2:24">
      <c r="C79" t="s">
        <v>819</v>
      </c>
    </row>
  </sheetData>
  <mergeCells count="1">
    <mergeCell ref="B5:P5"/>
  </mergeCells>
  <phoneticPr fontId="50" type="noConversion"/>
  <hyperlinks>
    <hyperlink ref="O3" location="INDICE!A1" display="VOLVER A INDICE"/>
  </hyperlinks>
  <pageMargins left="0.75" right="0.75" top="1" bottom="1" header="0" footer="0"/>
  <headerFooter alignWithMargins="0"/>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R80"/>
  <sheetViews>
    <sheetView workbookViewId="0">
      <selection activeCell="I17" sqref="I17"/>
    </sheetView>
  </sheetViews>
  <sheetFormatPr baseColWidth="10" defaultRowHeight="12.75"/>
  <cols>
    <col min="1" max="1" width="1.42578125" style="260" customWidth="1"/>
    <col min="2" max="2" width="44.5703125" style="260" customWidth="1"/>
    <col min="3" max="6" width="13.28515625" style="260" customWidth="1"/>
    <col min="7" max="7" width="15.42578125" style="260" customWidth="1"/>
    <col min="8" max="16" width="11.42578125" style="3"/>
    <col min="17" max="16384" width="11.42578125" style="260"/>
  </cols>
  <sheetData>
    <row r="1" spans="1:18" ht="6.75" customHeight="1" thickBot="1">
      <c r="A1" s="459"/>
      <c r="B1" s="459"/>
      <c r="C1" s="459"/>
      <c r="D1" s="459"/>
      <c r="E1" s="459"/>
      <c r="F1" s="459"/>
      <c r="G1" s="459"/>
      <c r="H1" s="62"/>
      <c r="I1" s="62"/>
      <c r="J1" s="62"/>
    </row>
    <row r="2" spans="1:18" ht="13.5" thickBot="1">
      <c r="A2" s="459"/>
      <c r="B2" s="635"/>
      <c r="C2" s="636"/>
      <c r="D2" s="636"/>
      <c r="E2" s="636"/>
      <c r="F2" s="636"/>
      <c r="G2" s="637"/>
      <c r="H2" s="464" t="s">
        <v>606</v>
      </c>
      <c r="I2" s="663"/>
      <c r="J2" s="62"/>
    </row>
    <row r="3" spans="1:18" ht="15.75">
      <c r="A3" s="459"/>
      <c r="B3" s="638" t="s">
        <v>148</v>
      </c>
      <c r="C3" s="639"/>
      <c r="D3" s="640"/>
      <c r="E3" s="640"/>
      <c r="F3" s="640"/>
      <c r="G3" s="641"/>
      <c r="H3" s="663"/>
      <c r="I3" s="663"/>
      <c r="J3" s="62"/>
    </row>
    <row r="4" spans="1:18" ht="15.75">
      <c r="A4" s="459"/>
      <c r="B4" s="642" t="s">
        <v>149</v>
      </c>
      <c r="C4" s="643"/>
      <c r="D4" s="644"/>
      <c r="E4" s="644"/>
      <c r="F4" s="644"/>
      <c r="G4" s="645"/>
      <c r="H4" s="663"/>
      <c r="I4" s="663"/>
      <c r="J4" s="62"/>
    </row>
    <row r="5" spans="1:18" ht="15.75">
      <c r="A5" s="459"/>
      <c r="B5" s="642"/>
      <c r="C5" s="643">
        <v>2009</v>
      </c>
      <c r="D5" s="644"/>
      <c r="E5" s="644"/>
      <c r="F5" s="644"/>
      <c r="G5" s="645"/>
      <c r="H5" s="663"/>
      <c r="I5" s="663"/>
      <c r="J5" s="62"/>
    </row>
    <row r="6" spans="1:18" ht="15.75">
      <c r="A6" s="459"/>
      <c r="B6" s="642"/>
      <c r="C6" s="644"/>
      <c r="D6" s="644"/>
      <c r="E6" s="644"/>
      <c r="F6" s="644"/>
      <c r="G6" s="645"/>
      <c r="H6" s="663"/>
      <c r="I6" s="663"/>
      <c r="J6" s="62"/>
    </row>
    <row r="7" spans="1:18" ht="15.75">
      <c r="A7" s="459"/>
      <c r="B7" s="642"/>
      <c r="C7" s="644"/>
      <c r="D7" s="644"/>
      <c r="E7" s="644"/>
      <c r="F7" s="644"/>
      <c r="G7" s="645"/>
      <c r="H7" s="663"/>
      <c r="I7" s="663"/>
      <c r="J7" s="62"/>
    </row>
    <row r="8" spans="1:18" ht="15.75">
      <c r="A8" s="459"/>
      <c r="B8" s="642"/>
      <c r="C8" s="646" t="s">
        <v>42</v>
      </c>
      <c r="D8" s="646" t="s">
        <v>43</v>
      </c>
      <c r="E8" s="646" t="s">
        <v>44</v>
      </c>
      <c r="F8" s="646" t="s">
        <v>150</v>
      </c>
      <c r="G8" s="647" t="s">
        <v>46</v>
      </c>
      <c r="H8" s="663"/>
      <c r="I8" s="663"/>
      <c r="J8" s="62"/>
    </row>
    <row r="9" spans="1:18" ht="16.5" thickBot="1">
      <c r="A9" s="459"/>
      <c r="B9" s="648" t="s">
        <v>20</v>
      </c>
      <c r="C9" s="649" t="s">
        <v>47</v>
      </c>
      <c r="D9" s="649"/>
      <c r="E9" s="649"/>
      <c r="F9" s="649" t="s">
        <v>151</v>
      </c>
      <c r="G9" s="650" t="s">
        <v>49</v>
      </c>
      <c r="H9" s="663"/>
      <c r="I9" s="663"/>
      <c r="J9" s="62"/>
    </row>
    <row r="10" spans="1:18" ht="16.5" customHeight="1">
      <c r="A10" s="459"/>
      <c r="B10" s="651" t="s">
        <v>747</v>
      </c>
      <c r="C10" s="633">
        <v>216.37542999999999</v>
      </c>
      <c r="D10" s="633">
        <v>11159.510503999998</v>
      </c>
      <c r="E10" s="633">
        <v>0</v>
      </c>
      <c r="F10" s="633">
        <v>-98.201948000001721</v>
      </c>
      <c r="G10" s="634">
        <v>11474.087882</v>
      </c>
      <c r="H10" s="742"/>
      <c r="I10" s="664"/>
      <c r="J10" s="62"/>
      <c r="Q10" s="3"/>
      <c r="R10" s="3"/>
    </row>
    <row r="11" spans="1:18" ht="16.5" customHeight="1">
      <c r="A11" s="459"/>
      <c r="B11" s="652" t="s">
        <v>744</v>
      </c>
      <c r="C11" s="653">
        <v>2523.0939102044658</v>
      </c>
      <c r="D11" s="653">
        <v>884.66440685503358</v>
      </c>
      <c r="E11" s="653">
        <v>0</v>
      </c>
      <c r="F11" s="653">
        <v>188.91</v>
      </c>
      <c r="G11" s="654">
        <v>3218.8483170594995</v>
      </c>
      <c r="H11" s="742"/>
      <c r="I11" s="664"/>
      <c r="J11" s="62"/>
      <c r="Q11" s="3"/>
      <c r="R11" s="3"/>
    </row>
    <row r="12" spans="1:18" ht="16.5" customHeight="1">
      <c r="A12" s="459"/>
      <c r="B12" s="652" t="s">
        <v>748</v>
      </c>
      <c r="C12" s="653">
        <v>529.71888071428566</v>
      </c>
      <c r="D12" s="653">
        <v>5450.9427119892134</v>
      </c>
      <c r="E12" s="653">
        <v>0</v>
      </c>
      <c r="F12" s="653">
        <v>274.04376624004817</v>
      </c>
      <c r="G12" s="654">
        <v>5706.6178264634509</v>
      </c>
      <c r="H12" s="742"/>
      <c r="I12" s="664"/>
      <c r="J12" s="62"/>
      <c r="Q12" s="3"/>
      <c r="R12" s="3"/>
    </row>
    <row r="13" spans="1:18" ht="16.5" customHeight="1">
      <c r="A13" s="459"/>
      <c r="B13" s="652" t="s">
        <v>745</v>
      </c>
      <c r="C13" s="653">
        <v>25989.634154433021</v>
      </c>
      <c r="D13" s="653">
        <v>0</v>
      </c>
      <c r="E13" s="653">
        <v>0</v>
      </c>
      <c r="F13" s="653">
        <v>735.84957630865176</v>
      </c>
      <c r="G13" s="654">
        <v>25253.78457812437</v>
      </c>
      <c r="H13" s="742"/>
      <c r="I13" s="664"/>
      <c r="J13" s="62"/>
      <c r="Q13" s="3"/>
      <c r="R13" s="3"/>
    </row>
    <row r="14" spans="1:18" ht="16.5" customHeight="1">
      <c r="A14" s="459"/>
      <c r="B14" s="652" t="s">
        <v>749</v>
      </c>
      <c r="C14" s="653">
        <v>14651.424916927886</v>
      </c>
      <c r="D14" s="653">
        <v>0</v>
      </c>
      <c r="E14" s="653">
        <v>0</v>
      </c>
      <c r="F14" s="653">
        <v>0</v>
      </c>
      <c r="G14" s="654">
        <v>14651.424916927886</v>
      </c>
      <c r="H14" s="742"/>
      <c r="I14" s="664"/>
      <c r="J14" s="62"/>
      <c r="Q14" s="3"/>
      <c r="R14" s="3"/>
    </row>
    <row r="15" spans="1:18" ht="16.5" customHeight="1" thickBot="1">
      <c r="A15" s="459"/>
      <c r="B15" s="655" t="s">
        <v>746</v>
      </c>
      <c r="C15" s="656">
        <v>12.285881904209313</v>
      </c>
      <c r="D15" s="656">
        <v>0</v>
      </c>
      <c r="E15" s="656">
        <v>0</v>
      </c>
      <c r="F15" s="656">
        <v>0</v>
      </c>
      <c r="G15" s="657">
        <v>12.285881904209313</v>
      </c>
      <c r="H15" s="742"/>
      <c r="I15" s="664"/>
      <c r="J15" s="62"/>
      <c r="Q15" s="3"/>
      <c r="R15" s="3"/>
    </row>
    <row r="16" spans="1:18" s="3" customFormat="1">
      <c r="A16" s="62"/>
      <c r="B16" s="479" t="s">
        <v>152</v>
      </c>
      <c r="C16" s="658" t="s">
        <v>153</v>
      </c>
      <c r="D16" s="486">
        <v>129.8168</v>
      </c>
      <c r="E16" s="479" t="s">
        <v>154</v>
      </c>
      <c r="F16" s="486">
        <v>30.65663</v>
      </c>
      <c r="G16" s="479" t="s">
        <v>155</v>
      </c>
      <c r="H16" s="486">
        <v>55.902000000000001</v>
      </c>
      <c r="I16" s="663"/>
      <c r="J16" s="62"/>
    </row>
    <row r="17" spans="1:18" s="3" customFormat="1">
      <c r="A17" s="62"/>
      <c r="B17" s="479" t="s">
        <v>156</v>
      </c>
      <c r="C17" s="479" t="s">
        <v>157</v>
      </c>
      <c r="D17" s="486">
        <v>2523.0939102044658</v>
      </c>
      <c r="E17" s="479" t="s">
        <v>158</v>
      </c>
      <c r="F17" s="485">
        <v>0</v>
      </c>
      <c r="G17" s="659"/>
      <c r="H17" s="659"/>
      <c r="I17" s="663"/>
      <c r="J17" s="62"/>
    </row>
    <row r="18" spans="1:18" s="3" customFormat="1">
      <c r="A18" s="62"/>
      <c r="B18" s="479" t="s">
        <v>171</v>
      </c>
      <c r="C18" s="479" t="s">
        <v>159</v>
      </c>
      <c r="D18" s="485">
        <v>34.156999999999996</v>
      </c>
      <c r="E18" s="479" t="s">
        <v>160</v>
      </c>
      <c r="F18" s="485">
        <v>154.75299999999999</v>
      </c>
      <c r="G18" s="659"/>
      <c r="H18" s="659"/>
      <c r="I18" s="663"/>
      <c r="J18" s="62"/>
    </row>
    <row r="19" spans="1:18" s="3" customFormat="1">
      <c r="A19" s="62"/>
      <c r="B19" s="479" t="s">
        <v>161</v>
      </c>
      <c r="C19" s="479" t="s">
        <v>162</v>
      </c>
      <c r="D19" s="486">
        <v>1002.35</v>
      </c>
      <c r="E19" s="479" t="s">
        <v>163</v>
      </c>
      <c r="F19" s="485">
        <f>CONS_U.FIS!R40</f>
        <v>0</v>
      </c>
      <c r="G19" s="660"/>
      <c r="H19" s="659"/>
      <c r="I19" s="663"/>
      <c r="J19" s="62"/>
    </row>
    <row r="20" spans="1:18" s="3" customFormat="1">
      <c r="A20" s="62"/>
      <c r="B20" s="479" t="s">
        <v>164</v>
      </c>
      <c r="C20" s="485" t="s">
        <v>165</v>
      </c>
      <c r="D20" s="661">
        <v>37.808331830723091</v>
      </c>
      <c r="E20" s="660"/>
      <c r="F20" s="659"/>
      <c r="G20" s="659"/>
      <c r="H20" s="659"/>
      <c r="I20" s="663"/>
      <c r="J20" s="62"/>
    </row>
    <row r="21" spans="1:18" s="3" customFormat="1">
      <c r="A21" s="62"/>
      <c r="B21" s="479" t="s">
        <v>701</v>
      </c>
      <c r="C21" s="479" t="s">
        <v>166</v>
      </c>
      <c r="D21" s="485">
        <v>575.65131428571431</v>
      </c>
      <c r="E21" s="479" t="s">
        <v>167</v>
      </c>
      <c r="F21" s="486">
        <v>4875.2913977034987</v>
      </c>
      <c r="G21" s="659"/>
      <c r="H21" s="659"/>
      <c r="I21" s="663"/>
      <c r="J21" s="62"/>
    </row>
    <row r="22" spans="1:18" s="3" customFormat="1">
      <c r="A22" s="62"/>
      <c r="B22" s="1294" t="s">
        <v>798</v>
      </c>
      <c r="C22" s="479"/>
      <c r="D22" s="485"/>
      <c r="E22" s="479"/>
      <c r="F22" s="486"/>
      <c r="G22" s="659"/>
      <c r="H22" s="659"/>
      <c r="I22" s="663"/>
      <c r="J22" s="62"/>
    </row>
    <row r="23" spans="1:18" s="3" customFormat="1">
      <c r="A23" s="62"/>
      <c r="B23" s="662" t="s">
        <v>795</v>
      </c>
      <c r="C23" s="662"/>
      <c r="D23" s="662"/>
      <c r="E23" s="662"/>
      <c r="F23" s="662"/>
      <c r="G23" s="662"/>
      <c r="H23" s="662"/>
      <c r="I23" s="415"/>
      <c r="J23" s="62"/>
    </row>
    <row r="24" spans="1:18" s="3" customFormat="1">
      <c r="A24" s="62"/>
      <c r="B24" s="455" t="s">
        <v>773</v>
      </c>
      <c r="C24" s="662"/>
      <c r="D24" s="662"/>
      <c r="E24" s="662"/>
      <c r="F24" s="662"/>
      <c r="G24" s="662"/>
      <c r="H24" s="662"/>
      <c r="I24" s="415"/>
      <c r="J24" s="62"/>
    </row>
    <row r="25" spans="1:18" s="3" customFormat="1">
      <c r="A25" s="62"/>
      <c r="C25" s="663"/>
      <c r="D25" s="664"/>
      <c r="E25" s="663"/>
      <c r="F25" s="663"/>
      <c r="G25" s="663"/>
      <c r="H25" s="663"/>
      <c r="I25" s="663"/>
      <c r="J25" s="62"/>
    </row>
    <row r="26" spans="1:18" s="3" customFormat="1">
      <c r="A26" s="62"/>
      <c r="B26" s="663"/>
      <c r="C26" s="663"/>
      <c r="D26" s="663"/>
      <c r="E26" s="663"/>
      <c r="F26" s="663"/>
      <c r="G26" s="663"/>
      <c r="H26" s="663"/>
      <c r="I26" s="663"/>
      <c r="J26" s="62"/>
    </row>
    <row r="27" spans="1:18">
      <c r="A27" s="459"/>
      <c r="B27" s="665"/>
      <c r="C27" s="666"/>
      <c r="D27" s="667"/>
      <c r="E27" s="663"/>
      <c r="F27" s="663"/>
      <c r="G27" s="663"/>
      <c r="H27" s="663"/>
      <c r="I27" s="663"/>
      <c r="J27" s="62"/>
      <c r="Q27" s="3"/>
      <c r="R27" s="3"/>
    </row>
    <row r="28" spans="1:18" ht="13.5" thickBot="1">
      <c r="A28" s="459"/>
      <c r="B28" s="668" t="s">
        <v>168</v>
      </c>
      <c r="C28" s="669"/>
      <c r="D28" s="670"/>
      <c r="E28" s="663"/>
      <c r="F28" s="663"/>
      <c r="G28" s="663"/>
      <c r="H28" s="663"/>
      <c r="I28" s="663"/>
      <c r="J28" s="62"/>
      <c r="Q28" s="3"/>
      <c r="R28" s="3"/>
    </row>
    <row r="29" spans="1:18">
      <c r="A29" s="459"/>
      <c r="B29" s="671" t="s">
        <v>169</v>
      </c>
      <c r="C29" s="672"/>
      <c r="D29" s="673"/>
      <c r="E29" s="663"/>
      <c r="F29" s="674"/>
      <c r="G29" s="663"/>
      <c r="H29" s="663"/>
      <c r="I29" s="663"/>
      <c r="J29" s="62"/>
      <c r="Q29" s="3"/>
      <c r="R29" s="3"/>
    </row>
    <row r="30" spans="1:18">
      <c r="A30" s="459"/>
      <c r="B30" s="675" t="s">
        <v>170</v>
      </c>
      <c r="C30" s="676">
        <v>0</v>
      </c>
      <c r="D30" s="677"/>
      <c r="E30" s="663"/>
      <c r="F30" s="674"/>
      <c r="G30" s="663"/>
      <c r="H30" s="663"/>
      <c r="I30" s="663"/>
      <c r="J30" s="62"/>
      <c r="Q30" s="3"/>
      <c r="R30" s="3"/>
    </row>
    <row r="31" spans="1:18" ht="13.5" thickBot="1">
      <c r="A31" s="459"/>
      <c r="B31" s="678" t="s">
        <v>649</v>
      </c>
      <c r="C31" s="679">
        <v>776</v>
      </c>
      <c r="D31" s="680"/>
      <c r="E31" s="663"/>
      <c r="F31" s="663"/>
      <c r="G31" s="663"/>
      <c r="H31" s="663"/>
      <c r="I31" s="663"/>
      <c r="J31" s="62"/>
      <c r="Q31" s="3"/>
      <c r="R31" s="3"/>
    </row>
    <row r="32" spans="1:18" s="3" customFormat="1">
      <c r="A32" s="62"/>
      <c r="B32" s="62"/>
      <c r="C32" s="62"/>
      <c r="D32" s="62"/>
      <c r="E32" s="62"/>
      <c r="F32" s="62"/>
      <c r="G32" s="62"/>
      <c r="H32" s="62"/>
      <c r="I32" s="62"/>
      <c r="J32" s="62"/>
    </row>
    <row r="33" spans="1:10">
      <c r="A33" s="62"/>
      <c r="B33" s="62"/>
      <c r="C33" s="62"/>
      <c r="D33" s="62"/>
      <c r="E33" s="62"/>
      <c r="F33" s="62"/>
      <c r="G33" s="62"/>
      <c r="H33" s="62"/>
      <c r="I33" s="62"/>
      <c r="J33" s="62"/>
    </row>
    <row r="34" spans="1:10">
      <c r="A34" s="62"/>
      <c r="B34" s="62"/>
      <c r="C34" s="62"/>
      <c r="D34" s="62"/>
      <c r="E34" s="62"/>
      <c r="F34" s="62"/>
      <c r="G34" s="62"/>
      <c r="H34" s="62"/>
      <c r="I34" s="62"/>
      <c r="J34" s="62"/>
    </row>
    <row r="35" spans="1:10">
      <c r="A35" s="62"/>
      <c r="B35" s="62"/>
      <c r="C35" s="62"/>
      <c r="D35" s="62"/>
      <c r="E35" s="62"/>
      <c r="F35" s="62"/>
      <c r="G35" s="62"/>
      <c r="H35" s="62"/>
      <c r="I35" s="62"/>
      <c r="J35" s="62"/>
    </row>
    <row r="36" spans="1:10">
      <c r="A36" s="62"/>
      <c r="B36" s="62"/>
      <c r="C36" s="62"/>
      <c r="D36" s="62"/>
      <c r="E36" s="62"/>
      <c r="F36" s="62"/>
      <c r="G36" s="62"/>
      <c r="H36" s="62"/>
      <c r="I36" s="62"/>
      <c r="J36" s="62"/>
    </row>
    <row r="37" spans="1:10">
      <c r="A37" s="62"/>
      <c r="B37" s="62"/>
      <c r="C37" s="62"/>
      <c r="D37" s="62"/>
      <c r="E37" s="62"/>
      <c r="F37" s="62"/>
      <c r="G37" s="62"/>
      <c r="H37" s="62"/>
      <c r="I37" s="62"/>
      <c r="J37" s="62"/>
    </row>
    <row r="38" spans="1:10">
      <c r="A38" s="62"/>
      <c r="B38" s="62"/>
      <c r="C38" s="62"/>
      <c r="D38" s="62"/>
      <c r="E38" s="62"/>
      <c r="F38" s="62"/>
      <c r="G38" s="62"/>
      <c r="H38" s="62"/>
      <c r="I38" s="62"/>
      <c r="J38" s="62"/>
    </row>
    <row r="39" spans="1:10">
      <c r="A39" s="62"/>
      <c r="B39" s="62"/>
      <c r="C39" s="62"/>
      <c r="D39" s="62"/>
      <c r="E39" s="62"/>
      <c r="F39" s="62"/>
      <c r="G39" s="62"/>
      <c r="H39" s="62"/>
      <c r="I39" s="62"/>
      <c r="J39" s="62"/>
    </row>
    <row r="40" spans="1:10">
      <c r="A40" s="3"/>
      <c r="B40" s="3"/>
      <c r="C40" s="3"/>
      <c r="D40" s="3"/>
      <c r="E40" s="3"/>
      <c r="F40" s="3"/>
      <c r="G40" s="3"/>
    </row>
    <row r="41" spans="1:10">
      <c r="A41" s="3"/>
      <c r="B41" s="3"/>
      <c r="C41" s="3"/>
      <c r="D41" s="3"/>
      <c r="E41" s="3"/>
      <c r="F41" s="3"/>
      <c r="G41" s="3"/>
    </row>
    <row r="42" spans="1:10">
      <c r="A42" s="3"/>
      <c r="B42" s="3"/>
      <c r="C42" s="3"/>
      <c r="D42" s="3"/>
      <c r="E42" s="3"/>
      <c r="F42" s="3"/>
      <c r="G42" s="3"/>
    </row>
    <row r="43" spans="1:10">
      <c r="A43" s="3"/>
      <c r="B43" s="3"/>
      <c r="C43" s="3"/>
      <c r="D43" s="3"/>
      <c r="E43" s="3"/>
      <c r="F43" s="3"/>
      <c r="G43" s="3"/>
    </row>
    <row r="44" spans="1:10">
      <c r="A44" s="3"/>
      <c r="B44" s="3"/>
      <c r="C44" s="3"/>
      <c r="D44" s="3"/>
      <c r="E44" s="3"/>
      <c r="F44" s="3"/>
      <c r="G44" s="3"/>
    </row>
    <row r="45" spans="1:10">
      <c r="A45" s="3"/>
      <c r="B45" s="3"/>
      <c r="C45" s="3"/>
      <c r="D45" s="3"/>
      <c r="E45" s="3"/>
      <c r="F45" s="3"/>
      <c r="G45" s="3"/>
    </row>
    <row r="46" spans="1:10">
      <c r="A46" s="3"/>
      <c r="B46" s="3"/>
      <c r="C46" s="3"/>
      <c r="D46" s="3"/>
      <c r="E46" s="3"/>
      <c r="F46" s="3"/>
      <c r="G46" s="3"/>
    </row>
    <row r="47" spans="1:10">
      <c r="A47" s="3"/>
      <c r="B47" s="3"/>
      <c r="C47" s="3"/>
      <c r="D47" s="3"/>
      <c r="E47" s="3"/>
      <c r="F47" s="3"/>
      <c r="G47" s="3"/>
    </row>
    <row r="48" spans="1:10">
      <c r="A48" s="3"/>
      <c r="B48" s="3"/>
      <c r="C48" s="3"/>
      <c r="D48" s="3"/>
      <c r="E48" s="3"/>
      <c r="F48" s="3"/>
      <c r="G48" s="3"/>
    </row>
    <row r="49" spans="1:7">
      <c r="A49" s="3"/>
      <c r="B49" s="3"/>
      <c r="C49" s="3"/>
      <c r="D49" s="3"/>
      <c r="E49" s="3"/>
      <c r="F49" s="3"/>
      <c r="G49" s="3"/>
    </row>
    <row r="50" spans="1:7">
      <c r="A50" s="3"/>
      <c r="B50" s="3"/>
      <c r="C50" s="3"/>
      <c r="D50" s="3"/>
      <c r="E50" s="3"/>
      <c r="F50" s="3"/>
      <c r="G50" s="3"/>
    </row>
    <row r="51" spans="1:7">
      <c r="A51" s="3"/>
      <c r="B51" s="3"/>
      <c r="C51" s="3"/>
      <c r="D51" s="3"/>
      <c r="E51" s="3"/>
      <c r="F51" s="3"/>
      <c r="G51" s="3"/>
    </row>
    <row r="52" spans="1:7">
      <c r="A52" s="3"/>
      <c r="B52" s="3"/>
      <c r="C52" s="3"/>
      <c r="D52" s="3"/>
      <c r="E52" s="3"/>
      <c r="F52" s="3"/>
      <c r="G52" s="3"/>
    </row>
    <row r="53" spans="1:7">
      <c r="A53" s="3"/>
      <c r="B53" s="3"/>
      <c r="C53" s="3"/>
      <c r="D53" s="3"/>
      <c r="E53" s="3"/>
      <c r="F53" s="3"/>
      <c r="G53" s="3"/>
    </row>
    <row r="54" spans="1:7">
      <c r="A54" s="3"/>
      <c r="B54" s="3"/>
      <c r="C54" s="3"/>
      <c r="D54" s="3"/>
      <c r="E54" s="3"/>
      <c r="F54" s="3"/>
      <c r="G54" s="3"/>
    </row>
    <row r="55" spans="1:7">
      <c r="A55" s="3"/>
      <c r="B55" s="3"/>
      <c r="C55" s="3"/>
      <c r="D55" s="3"/>
      <c r="E55" s="3"/>
      <c r="F55" s="3"/>
      <c r="G55" s="3"/>
    </row>
    <row r="56" spans="1:7">
      <c r="A56" s="3"/>
      <c r="B56" s="3"/>
      <c r="C56" s="3"/>
      <c r="D56" s="3"/>
      <c r="E56" s="3"/>
      <c r="F56" s="3"/>
      <c r="G56" s="3"/>
    </row>
    <row r="57" spans="1:7">
      <c r="A57" s="3"/>
      <c r="B57" s="3"/>
      <c r="C57" s="3"/>
      <c r="D57" s="3"/>
      <c r="E57" s="3"/>
      <c r="F57" s="3"/>
      <c r="G57" s="3"/>
    </row>
    <row r="58" spans="1:7">
      <c r="A58" s="3"/>
      <c r="B58" s="3"/>
      <c r="C58" s="3"/>
      <c r="D58" s="3"/>
      <c r="E58" s="3"/>
      <c r="F58" s="3"/>
      <c r="G58" s="3"/>
    </row>
    <row r="59" spans="1:7">
      <c r="A59" s="3"/>
      <c r="B59" s="3"/>
      <c r="C59" s="3"/>
      <c r="D59" s="3"/>
      <c r="E59" s="3"/>
      <c r="F59" s="3"/>
      <c r="G59" s="3"/>
    </row>
    <row r="60" spans="1:7">
      <c r="A60" s="3"/>
      <c r="B60" s="3"/>
      <c r="C60" s="3"/>
      <c r="D60" s="3"/>
      <c r="E60" s="3"/>
      <c r="F60" s="3"/>
      <c r="G60" s="3"/>
    </row>
    <row r="61" spans="1:7">
      <c r="A61" s="3"/>
      <c r="B61" s="3"/>
      <c r="C61" s="3"/>
      <c r="D61" s="3"/>
      <c r="E61" s="3"/>
      <c r="F61" s="3"/>
      <c r="G61" s="3"/>
    </row>
    <row r="62" spans="1:7">
      <c r="A62" s="3"/>
      <c r="B62" s="3"/>
      <c r="C62" s="3"/>
      <c r="D62" s="3"/>
      <c r="E62" s="3"/>
      <c r="F62" s="3"/>
      <c r="G62" s="3"/>
    </row>
    <row r="63" spans="1:7">
      <c r="A63" s="3"/>
      <c r="B63" s="3"/>
      <c r="C63" s="3"/>
      <c r="D63" s="3"/>
      <c r="E63" s="3"/>
      <c r="F63" s="3"/>
      <c r="G63" s="3"/>
    </row>
    <row r="64" spans="1:7">
      <c r="A64" s="3"/>
      <c r="B64" s="3"/>
      <c r="C64" s="3"/>
      <c r="D64" s="3"/>
      <c r="E64" s="3"/>
      <c r="F64" s="3"/>
      <c r="G64" s="3"/>
    </row>
    <row r="65" spans="3:18" s="3" customFormat="1"/>
    <row r="66" spans="3:18" s="3" customFormat="1"/>
    <row r="67" spans="3:18" s="3" customFormat="1"/>
    <row r="68" spans="3:18" s="3" customFormat="1"/>
    <row r="69" spans="3:18" s="3" customFormat="1"/>
    <row r="70" spans="3:18" s="3" customFormat="1"/>
    <row r="71" spans="3:18" s="3" customFormat="1"/>
    <row r="72" spans="3:18">
      <c r="C72" s="3"/>
      <c r="D72" s="3"/>
      <c r="E72" s="3"/>
      <c r="F72" s="3"/>
      <c r="G72" s="3"/>
      <c r="Q72" s="3"/>
      <c r="R72" s="3"/>
    </row>
    <row r="73" spans="3:18">
      <c r="C73" s="3"/>
      <c r="D73" s="3"/>
      <c r="E73" s="3"/>
      <c r="F73" s="3"/>
      <c r="G73" s="3"/>
      <c r="Q73" s="3"/>
      <c r="R73" s="3"/>
    </row>
    <row r="74" spans="3:18">
      <c r="C74" s="3"/>
      <c r="D74" s="3"/>
      <c r="E74" s="3"/>
      <c r="F74" s="3"/>
      <c r="G74" s="3"/>
      <c r="Q74" s="3"/>
      <c r="R74" s="3"/>
    </row>
    <row r="75" spans="3:18">
      <c r="C75" s="3"/>
      <c r="D75" s="3"/>
      <c r="E75" s="3"/>
      <c r="F75" s="3"/>
      <c r="G75" s="3"/>
      <c r="Q75" s="3"/>
      <c r="R75" s="3"/>
    </row>
    <row r="76" spans="3:18">
      <c r="C76" s="3"/>
      <c r="D76" s="3"/>
      <c r="E76" s="3"/>
      <c r="F76" s="3"/>
      <c r="G76" s="3"/>
      <c r="Q76" s="3"/>
      <c r="R76" s="3"/>
    </row>
    <row r="77" spans="3:18">
      <c r="C77" s="3"/>
      <c r="D77" s="3"/>
      <c r="E77" s="3"/>
      <c r="F77" s="3"/>
      <c r="G77" s="3"/>
      <c r="Q77" s="3"/>
      <c r="R77" s="3"/>
    </row>
    <row r="78" spans="3:18">
      <c r="C78" s="3"/>
      <c r="D78" s="3"/>
      <c r="E78" s="3"/>
      <c r="F78" s="3"/>
      <c r="G78" s="3"/>
      <c r="Q78" s="3"/>
      <c r="R78" s="3"/>
    </row>
    <row r="79" spans="3:18">
      <c r="C79" s="3"/>
      <c r="D79" s="3"/>
      <c r="E79" s="3"/>
      <c r="F79" s="3"/>
      <c r="G79" s="3"/>
      <c r="Q79" s="3"/>
      <c r="R79" s="3"/>
    </row>
    <row r="80" spans="3:18">
      <c r="C80" s="3"/>
      <c r="D80" s="3"/>
      <c r="E80" s="3"/>
      <c r="F80" s="3"/>
      <c r="G80" s="3"/>
      <c r="Q80" s="3"/>
      <c r="R80" s="3"/>
    </row>
  </sheetData>
  <phoneticPr fontId="0" type="noConversion"/>
  <hyperlinks>
    <hyperlink ref="H2" location="INDICE!A40" display="VOLVER A INDICE"/>
  </hyperlinks>
  <pageMargins left="0.75" right="0.75" top="1" bottom="1" header="0" footer="0"/>
  <pageSetup scale="97" orientation="landscape"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S121"/>
  <sheetViews>
    <sheetView zoomScale="85" workbookViewId="0">
      <pane ySplit="8" topLeftCell="A9" activePane="bottomLeft" state="frozen"/>
      <selection pane="bottomLeft" activeCell="J22" sqref="J22"/>
    </sheetView>
  </sheetViews>
  <sheetFormatPr baseColWidth="10" defaultRowHeight="12.75"/>
  <cols>
    <col min="1" max="1" width="1.7109375" style="260" customWidth="1"/>
    <col min="2" max="2" width="36.85546875" style="260" customWidth="1"/>
    <col min="3" max="7" width="20.28515625" style="260" customWidth="1"/>
    <col min="8" max="8" width="24.140625" style="260" customWidth="1"/>
    <col min="9" max="9" width="20.28515625" style="260" customWidth="1"/>
    <col min="10" max="19" width="11.42578125" style="3"/>
    <col min="20" max="16384" width="11.42578125" style="260"/>
  </cols>
  <sheetData>
    <row r="1" spans="1:11" ht="7.5" customHeight="1" thickBot="1">
      <c r="A1" s="459"/>
      <c r="B1" s="459"/>
      <c r="C1" s="459"/>
      <c r="D1" s="459"/>
      <c r="E1" s="459"/>
      <c r="F1" s="459"/>
      <c r="G1" s="459"/>
      <c r="H1" s="459"/>
      <c r="I1" s="459"/>
      <c r="J1" s="62"/>
    </row>
    <row r="2" spans="1:11" ht="15.75" customHeight="1" thickBot="1">
      <c r="A2" s="459"/>
      <c r="B2" s="709"/>
      <c r="C2" s="710"/>
      <c r="D2" s="710"/>
      <c r="E2" s="710"/>
      <c r="F2" s="710"/>
      <c r="G2" s="710"/>
      <c r="H2" s="710"/>
      <c r="I2" s="711"/>
      <c r="J2" s="712"/>
      <c r="K2" s="26"/>
    </row>
    <row r="3" spans="1:11" ht="15.75">
      <c r="A3" s="459"/>
      <c r="B3" s="713"/>
      <c r="C3" s="714"/>
      <c r="D3" s="714"/>
      <c r="E3" s="714" t="s">
        <v>172</v>
      </c>
      <c r="F3" s="714"/>
      <c r="G3" s="715"/>
      <c r="H3" s="715"/>
      <c r="I3" s="716"/>
      <c r="J3" s="464" t="s">
        <v>606</v>
      </c>
      <c r="K3" s="28"/>
    </row>
    <row r="4" spans="1:11" ht="15.75">
      <c r="A4" s="459"/>
      <c r="B4" s="717"/>
      <c r="C4" s="718"/>
      <c r="D4" s="718"/>
      <c r="E4" s="719" t="s">
        <v>173</v>
      </c>
      <c r="F4" s="718"/>
      <c r="G4" s="720"/>
      <c r="H4" s="720"/>
      <c r="I4" s="721"/>
      <c r="J4" s="722"/>
      <c r="K4" s="28"/>
    </row>
    <row r="5" spans="1:11" ht="15.75">
      <c r="A5" s="459"/>
      <c r="B5" s="717"/>
      <c r="C5" s="718"/>
      <c r="D5" s="718"/>
      <c r="E5" s="718" t="s">
        <v>777</v>
      </c>
      <c r="F5" s="718"/>
      <c r="G5" s="720"/>
      <c r="H5" s="720"/>
      <c r="I5" s="721"/>
      <c r="J5" s="722"/>
      <c r="K5" s="28"/>
    </row>
    <row r="6" spans="1:11" ht="15.75">
      <c r="A6" s="459"/>
      <c r="B6" s="717"/>
      <c r="C6" s="723"/>
      <c r="D6" s="723"/>
      <c r="E6" s="723"/>
      <c r="F6" s="723"/>
      <c r="G6" s="723"/>
      <c r="H6" s="723"/>
      <c r="I6" s="724"/>
      <c r="J6" s="722"/>
      <c r="K6" s="28"/>
    </row>
    <row r="7" spans="1:11" ht="15.75">
      <c r="A7" s="459"/>
      <c r="B7" s="717" t="s">
        <v>20</v>
      </c>
      <c r="C7" s="723" t="s">
        <v>42</v>
      </c>
      <c r="D7" s="723" t="s">
        <v>43</v>
      </c>
      <c r="E7" s="723" t="s">
        <v>44</v>
      </c>
      <c r="F7" s="723" t="s">
        <v>174</v>
      </c>
      <c r="G7" s="723" t="s">
        <v>46</v>
      </c>
      <c r="H7" s="723" t="s">
        <v>46</v>
      </c>
      <c r="I7" s="724" t="s">
        <v>46</v>
      </c>
      <c r="J7" s="722"/>
      <c r="K7" s="28"/>
    </row>
    <row r="8" spans="1:11" ht="16.5" thickBot="1">
      <c r="A8" s="459"/>
      <c r="B8" s="725"/>
      <c r="C8" s="726" t="s">
        <v>47</v>
      </c>
      <c r="D8" s="726"/>
      <c r="E8" s="726"/>
      <c r="F8" s="726" t="s">
        <v>175</v>
      </c>
      <c r="G8" s="726" t="s">
        <v>176</v>
      </c>
      <c r="H8" s="726" t="s">
        <v>69</v>
      </c>
      <c r="I8" s="727" t="s">
        <v>28</v>
      </c>
      <c r="J8" s="728"/>
      <c r="K8" s="28"/>
    </row>
    <row r="9" spans="1:11" ht="15.75">
      <c r="A9" s="459"/>
      <c r="B9" s="729" t="s">
        <v>755</v>
      </c>
      <c r="C9" s="730">
        <v>1802.2405049999998</v>
      </c>
      <c r="D9" s="730">
        <v>472.68442552499999</v>
      </c>
      <c r="E9" s="730">
        <v>80.667759900000007</v>
      </c>
      <c r="F9" s="730">
        <v>92.033441499999867</v>
      </c>
      <c r="G9" s="730">
        <f>CONS_U.FIS!D47</f>
        <v>1857.4994675469995</v>
      </c>
      <c r="H9" s="730">
        <f>CONS_U.FIS!D57</f>
        <v>244.72426157799998</v>
      </c>
      <c r="I9" s="731">
        <f>G9+H9</f>
        <v>2102.2237291249994</v>
      </c>
      <c r="J9" s="732"/>
      <c r="K9" s="27"/>
    </row>
    <row r="10" spans="1:11" ht="15.75">
      <c r="A10" s="459"/>
      <c r="B10" s="733" t="s">
        <v>178</v>
      </c>
      <c r="C10" s="730"/>
      <c r="D10" s="730"/>
      <c r="E10" s="730"/>
      <c r="F10" s="730"/>
      <c r="G10" s="730"/>
      <c r="H10" s="730"/>
      <c r="I10" s="731"/>
      <c r="J10" s="732"/>
      <c r="K10" s="27"/>
    </row>
    <row r="11" spans="1:11" ht="15.75">
      <c r="A11" s="459"/>
      <c r="B11" s="729" t="s">
        <v>72</v>
      </c>
      <c r="C11" s="730">
        <v>4097.0519869999998</v>
      </c>
      <c r="D11" s="730">
        <v>4981.6451265418091</v>
      </c>
      <c r="E11" s="730">
        <v>564.53265299999975</v>
      </c>
      <c r="F11" s="730">
        <v>-514.98357335753462</v>
      </c>
      <c r="G11" s="730">
        <f>CONS_U.FIS!C47</f>
        <v>6834.5277913931623</v>
      </c>
      <c r="H11" s="730">
        <f>CONS_U.FIS!C57</f>
        <v>2194.6202425061811</v>
      </c>
      <c r="I11" s="731">
        <f>G11+H11</f>
        <v>9029.1480338993424</v>
      </c>
      <c r="J11" s="732"/>
      <c r="K11" s="27"/>
    </row>
    <row r="12" spans="1:11" ht="15.75">
      <c r="A12" s="459"/>
      <c r="B12" s="733" t="s">
        <v>177</v>
      </c>
      <c r="C12" s="730"/>
      <c r="D12" s="730"/>
      <c r="E12" s="730"/>
      <c r="F12" s="730"/>
      <c r="G12" s="730"/>
      <c r="H12" s="730"/>
      <c r="I12" s="731"/>
      <c r="J12" s="732"/>
      <c r="K12" s="27"/>
    </row>
    <row r="13" spans="1:11" ht="15.75">
      <c r="A13" s="459"/>
      <c r="B13" s="729" t="s">
        <v>750</v>
      </c>
      <c r="C13" s="730">
        <v>3348.8679229999989</v>
      </c>
      <c r="D13" s="730">
        <v>765.04658700000005</v>
      </c>
      <c r="E13" s="730">
        <v>825.39050600000007</v>
      </c>
      <c r="F13" s="730">
        <v>-126.28641200000038</v>
      </c>
      <c r="G13" s="730">
        <f>CONS_U.FIS!E47</f>
        <v>3414.8104159999989</v>
      </c>
      <c r="H13" s="730">
        <f>CONS_U.FIS!E57</f>
        <v>0</v>
      </c>
      <c r="I13" s="731">
        <f>G13+H13</f>
        <v>3414.8104159999989</v>
      </c>
      <c r="J13" s="732"/>
      <c r="K13" s="27"/>
    </row>
    <row r="14" spans="1:11" ht="15.75">
      <c r="A14" s="459"/>
      <c r="B14" s="733" t="s">
        <v>177</v>
      </c>
      <c r="C14" s="730"/>
      <c r="D14" s="730"/>
      <c r="E14" s="730"/>
      <c r="F14" s="730"/>
      <c r="G14" s="730"/>
      <c r="H14" s="730"/>
      <c r="I14" s="731"/>
      <c r="J14" s="732"/>
      <c r="K14" s="27"/>
    </row>
    <row r="15" spans="1:11" ht="15.75">
      <c r="A15" s="459"/>
      <c r="B15" s="729" t="s">
        <v>73</v>
      </c>
      <c r="C15" s="730">
        <v>75.493499999999997</v>
      </c>
      <c r="D15" s="730">
        <v>0</v>
      </c>
      <c r="E15" s="730">
        <v>0</v>
      </c>
      <c r="F15" s="730">
        <v>-74.18890900000001</v>
      </c>
      <c r="G15" s="730">
        <f>CONS_U.FIS!F47</f>
        <v>149.68240900000004</v>
      </c>
      <c r="H15" s="730">
        <f>CONS_U.FIS!F57</f>
        <v>0</v>
      </c>
      <c r="I15" s="731">
        <f>G15+H15</f>
        <v>149.68240900000004</v>
      </c>
      <c r="J15" s="732"/>
      <c r="K15" s="27"/>
    </row>
    <row r="16" spans="1:11" ht="15.75">
      <c r="A16" s="459"/>
      <c r="B16" s="733" t="s">
        <v>177</v>
      </c>
      <c r="C16" s="730"/>
      <c r="D16" s="730"/>
      <c r="E16" s="730"/>
      <c r="F16" s="730"/>
      <c r="G16" s="730"/>
      <c r="H16" s="730"/>
      <c r="I16" s="731"/>
      <c r="J16" s="732"/>
      <c r="K16" s="27"/>
    </row>
    <row r="17" spans="1:11" ht="15.75">
      <c r="A17" s="459"/>
      <c r="B17" s="729" t="s">
        <v>74</v>
      </c>
      <c r="C17" s="730">
        <v>751.79107799999997</v>
      </c>
      <c r="D17" s="730">
        <v>812.17196274624314</v>
      </c>
      <c r="E17" s="730">
        <v>31.561278479999995</v>
      </c>
      <c r="F17" s="730">
        <v>173.25608140298323</v>
      </c>
      <c r="G17" s="730">
        <f>CONS_U.FIS!G47</f>
        <v>1281.8960322228556</v>
      </c>
      <c r="H17" s="730">
        <f>CONS_U.FIS!G57</f>
        <v>77.249648640404288</v>
      </c>
      <c r="I17" s="731">
        <f>G17+H17</f>
        <v>1359.1456808632599</v>
      </c>
      <c r="J17" s="732"/>
      <c r="K17" s="27"/>
    </row>
    <row r="18" spans="1:11" ht="15.75">
      <c r="A18" s="459"/>
      <c r="B18" s="733" t="s">
        <v>178</v>
      </c>
      <c r="C18" s="730"/>
      <c r="D18" s="730"/>
      <c r="E18" s="730"/>
      <c r="F18" s="730"/>
      <c r="G18" s="730"/>
      <c r="H18" s="730"/>
      <c r="I18" s="731"/>
      <c r="J18" s="732"/>
      <c r="K18" s="27"/>
    </row>
    <row r="19" spans="1:11" ht="15.75">
      <c r="A19" s="459"/>
      <c r="B19" s="729" t="s">
        <v>75</v>
      </c>
      <c r="C19" s="730">
        <v>8.8513999999999999</v>
      </c>
      <c r="D19" s="730">
        <v>0</v>
      </c>
      <c r="E19" s="730">
        <v>0</v>
      </c>
      <c r="F19" s="730">
        <v>1.8003999999999998</v>
      </c>
      <c r="G19" s="730">
        <f>CONS_U.FIS!H47</f>
        <v>7.051000000000001</v>
      </c>
      <c r="H19" s="730">
        <f>CONS_U.FIS!H57</f>
        <v>0</v>
      </c>
      <c r="I19" s="731">
        <f>G19+H19</f>
        <v>7.051000000000001</v>
      </c>
      <c r="J19" s="732"/>
      <c r="K19" s="27"/>
    </row>
    <row r="20" spans="1:11" ht="15.75">
      <c r="A20" s="459"/>
      <c r="B20" s="733" t="s">
        <v>177</v>
      </c>
      <c r="C20" s="730"/>
      <c r="D20" s="730"/>
      <c r="E20" s="730"/>
      <c r="F20" s="730"/>
      <c r="G20" s="730"/>
      <c r="H20" s="730"/>
      <c r="I20" s="731"/>
      <c r="J20" s="732"/>
      <c r="K20" s="27"/>
    </row>
    <row r="21" spans="1:11" ht="15.75">
      <c r="A21" s="459"/>
      <c r="B21" s="729" t="s">
        <v>76</v>
      </c>
      <c r="C21" s="730">
        <v>762.78649999999993</v>
      </c>
      <c r="D21" s="730">
        <v>215.26826799999998</v>
      </c>
      <c r="E21" s="730">
        <v>0</v>
      </c>
      <c r="F21" s="730">
        <v>115.60304546800569</v>
      </c>
      <c r="G21" s="730">
        <f>CONS_U.FIS!I47</f>
        <v>862.45172253199428</v>
      </c>
      <c r="H21" s="730">
        <f>CONS_U.FIS!I57</f>
        <v>0</v>
      </c>
      <c r="I21" s="731">
        <f>G21+H21</f>
        <v>862.45172253199428</v>
      </c>
      <c r="J21" s="732"/>
      <c r="K21" s="27"/>
    </row>
    <row r="22" spans="1:11" ht="15.75">
      <c r="A22" s="459"/>
      <c r="B22" s="733" t="s">
        <v>177</v>
      </c>
      <c r="C22" s="730"/>
      <c r="D22" s="730"/>
      <c r="E22" s="730"/>
      <c r="F22" s="730"/>
      <c r="G22" s="730"/>
      <c r="H22" s="730"/>
      <c r="I22" s="731"/>
      <c r="J22" s="732"/>
      <c r="K22" s="27"/>
    </row>
    <row r="23" spans="1:11" ht="15.75">
      <c r="A23" s="459"/>
      <c r="B23" s="729" t="s">
        <v>77</v>
      </c>
      <c r="C23" s="730">
        <v>171.34200000000001</v>
      </c>
      <c r="D23" s="730">
        <v>4.3353999999999999</v>
      </c>
      <c r="E23" s="730">
        <v>37.482600000000005</v>
      </c>
      <c r="F23" s="730">
        <v>6.8121089999999924</v>
      </c>
      <c r="G23" s="730">
        <f>CONS_U.FIS!J47</f>
        <v>131.38269099999997</v>
      </c>
      <c r="H23" s="730">
        <f>CONS_U.FIS!J57</f>
        <v>0</v>
      </c>
      <c r="I23" s="731">
        <f>G23+H23</f>
        <v>131.38269099999997</v>
      </c>
      <c r="J23" s="732"/>
      <c r="K23" s="27"/>
    </row>
    <row r="24" spans="1:11" ht="15.75">
      <c r="A24" s="459"/>
      <c r="B24" s="733" t="s">
        <v>177</v>
      </c>
      <c r="C24" s="730"/>
      <c r="D24" s="730"/>
      <c r="E24" s="730"/>
      <c r="F24" s="730"/>
      <c r="G24" s="730"/>
      <c r="H24" s="730"/>
      <c r="I24" s="731"/>
      <c r="J24" s="732"/>
      <c r="K24" s="27"/>
    </row>
    <row r="25" spans="1:11" ht="15.75">
      <c r="A25" s="459"/>
      <c r="B25" s="729" t="s">
        <v>78</v>
      </c>
      <c r="C25" s="730">
        <v>844.84094960892025</v>
      </c>
      <c r="D25" s="730">
        <v>0</v>
      </c>
      <c r="E25" s="730">
        <v>0</v>
      </c>
      <c r="F25" s="730">
        <v>-0.78098591549291996</v>
      </c>
      <c r="G25" s="730">
        <f>CONS_U.FIS!K47</f>
        <v>801.36512391549309</v>
      </c>
      <c r="H25" s="730">
        <f>CONS_U.FIS!K57</f>
        <v>44.256811608920202</v>
      </c>
      <c r="I25" s="731">
        <f>G25+H25</f>
        <v>845.62193552441329</v>
      </c>
      <c r="J25" s="732"/>
      <c r="K25" s="27"/>
    </row>
    <row r="26" spans="1:11" ht="15.75">
      <c r="A26" s="459"/>
      <c r="B26" s="733" t="s">
        <v>177</v>
      </c>
      <c r="C26" s="730"/>
      <c r="D26" s="730"/>
      <c r="E26" s="730"/>
      <c r="F26" s="730"/>
      <c r="G26" s="730"/>
      <c r="H26" s="730"/>
      <c r="I26" s="731"/>
      <c r="J26" s="732"/>
      <c r="K26" s="27"/>
    </row>
    <row r="27" spans="1:11" ht="15.75">
      <c r="A27" s="459"/>
      <c r="B27" s="729" t="s">
        <v>35</v>
      </c>
      <c r="C27" s="730">
        <v>59690.044799724026</v>
      </c>
      <c r="D27" s="730">
        <v>1348</v>
      </c>
      <c r="E27" s="730">
        <v>0</v>
      </c>
      <c r="F27" s="730">
        <v>4990.2373738536644</v>
      </c>
      <c r="G27" s="730">
        <f>CONS_U.FIS!L47</f>
        <v>56047.807425870356</v>
      </c>
      <c r="H27" s="730">
        <f>CONS_U.FIS!L57</f>
        <v>0</v>
      </c>
      <c r="I27" s="731">
        <f>G27+H27</f>
        <v>56047.807425870356</v>
      </c>
      <c r="J27" s="732"/>
      <c r="K27" s="27"/>
    </row>
    <row r="28" spans="1:11" ht="15.75">
      <c r="A28" s="459"/>
      <c r="B28" s="733" t="s">
        <v>180</v>
      </c>
      <c r="C28" s="730"/>
      <c r="D28" s="730"/>
      <c r="E28" s="730"/>
      <c r="F28" s="730"/>
      <c r="G28" s="730"/>
      <c r="H28" s="730"/>
      <c r="I28" s="731"/>
      <c r="J28" s="732"/>
      <c r="K28" s="27"/>
    </row>
    <row r="29" spans="1:11" ht="15.75">
      <c r="A29" s="459"/>
      <c r="B29" s="729" t="s">
        <v>752</v>
      </c>
      <c r="C29" s="730">
        <f>I29</f>
        <v>5706.6178264634491</v>
      </c>
      <c r="D29" s="730">
        <v>0</v>
      </c>
      <c r="E29" s="730">
        <v>0</v>
      </c>
      <c r="F29" s="730">
        <v>0</v>
      </c>
      <c r="G29" s="730">
        <f>CONS_U.FIS!M47</f>
        <v>312.20243059794439</v>
      </c>
      <c r="H29" s="730">
        <f>CONS_U.FIS!M57</f>
        <v>5394.4153958655052</v>
      </c>
      <c r="I29" s="731">
        <f>G29+H29</f>
        <v>5706.6178264634491</v>
      </c>
      <c r="J29" s="732"/>
      <c r="K29" s="27"/>
    </row>
    <row r="30" spans="1:11" ht="15.75">
      <c r="A30" s="459"/>
      <c r="B30" s="733" t="s">
        <v>178</v>
      </c>
      <c r="C30" s="730"/>
      <c r="D30" s="730"/>
      <c r="E30" s="730"/>
      <c r="F30" s="730"/>
      <c r="G30" s="730"/>
      <c r="H30" s="730"/>
      <c r="I30" s="731"/>
      <c r="J30" s="732"/>
      <c r="K30" s="27"/>
    </row>
    <row r="31" spans="1:11" ht="15.75">
      <c r="A31" s="459"/>
      <c r="B31" s="729" t="s">
        <v>80</v>
      </c>
      <c r="C31" s="730">
        <v>1086.4847335242291</v>
      </c>
      <c r="D31" s="730">
        <v>420.01647609999998</v>
      </c>
      <c r="E31" s="730">
        <v>0</v>
      </c>
      <c r="F31" s="730">
        <v>48.335874229929686</v>
      </c>
      <c r="G31" s="730">
        <f>CONS_U.FIS!N47</f>
        <v>583.47878579864152</v>
      </c>
      <c r="H31" s="730">
        <f>CONS_U.FIS!N57</f>
        <v>874.68654959565754</v>
      </c>
      <c r="I31" s="731">
        <f>G31+H31</f>
        <v>1458.1653353942991</v>
      </c>
      <c r="J31" s="732"/>
      <c r="K31" s="27"/>
    </row>
    <row r="32" spans="1:11" ht="15.75">
      <c r="A32" s="459"/>
      <c r="B32" s="733" t="s">
        <v>178</v>
      </c>
      <c r="C32" s="730"/>
      <c r="D32" s="730"/>
      <c r="E32" s="730"/>
      <c r="F32" s="730"/>
      <c r="G32" s="730"/>
      <c r="H32" s="730"/>
      <c r="I32" s="731"/>
      <c r="J32" s="732"/>
      <c r="K32" s="27"/>
    </row>
    <row r="33" spans="1:11" ht="15.75">
      <c r="A33" s="459"/>
      <c r="B33" s="729" t="s">
        <v>181</v>
      </c>
      <c r="C33" s="730">
        <v>17587.01923076923</v>
      </c>
      <c r="D33" s="730">
        <v>0</v>
      </c>
      <c r="E33" s="730">
        <v>0</v>
      </c>
      <c r="F33" s="730">
        <v>1824.038461538461</v>
      </c>
      <c r="G33" s="730">
        <f>CONS_U.FIS!O47</f>
        <v>15762.980769230771</v>
      </c>
      <c r="H33" s="730">
        <f>CONS_U.FIS!O57</f>
        <v>0</v>
      </c>
      <c r="I33" s="731">
        <f>G33+H33</f>
        <v>15762.980769230771</v>
      </c>
      <c r="J33" s="732"/>
      <c r="K33" s="27"/>
    </row>
    <row r="34" spans="1:11" ht="15.75">
      <c r="A34" s="459"/>
      <c r="B34" s="733" t="s">
        <v>177</v>
      </c>
      <c r="C34" s="730"/>
      <c r="D34" s="730"/>
      <c r="E34" s="730"/>
      <c r="F34" s="730"/>
      <c r="G34" s="730"/>
      <c r="H34" s="730"/>
      <c r="I34" s="731"/>
      <c r="J34" s="732"/>
      <c r="K34" s="27"/>
    </row>
    <row r="35" spans="1:11" ht="15.75">
      <c r="A35" s="459"/>
      <c r="B35" s="729" t="s">
        <v>753</v>
      </c>
      <c r="C35" s="730">
        <v>308.32631305149641</v>
      </c>
      <c r="D35" s="730">
        <v>0</v>
      </c>
      <c r="E35" s="730">
        <v>0</v>
      </c>
      <c r="F35" s="730">
        <v>4.9226708998680806</v>
      </c>
      <c r="G35" s="730">
        <f>CONS_U.FIS!P47</f>
        <v>303.40364215162833</v>
      </c>
      <c r="H35" s="730">
        <f>CONS_U.FIS!P57</f>
        <v>0</v>
      </c>
      <c r="I35" s="731">
        <f>G35+H35</f>
        <v>303.40364215162833</v>
      </c>
      <c r="J35" s="732"/>
      <c r="K35" s="27"/>
    </row>
    <row r="36" spans="1:11" ht="15.75">
      <c r="A36" s="459"/>
      <c r="B36" s="733" t="s">
        <v>179</v>
      </c>
      <c r="C36" s="730"/>
      <c r="D36" s="730"/>
      <c r="E36" s="730"/>
      <c r="F36" s="730"/>
      <c r="G36" s="730"/>
      <c r="H36" s="730"/>
      <c r="I36" s="731"/>
      <c r="J36" s="732"/>
      <c r="K36" s="27"/>
    </row>
    <row r="37" spans="1:11" ht="15.75">
      <c r="A37" s="459"/>
      <c r="B37" s="729" t="s">
        <v>83</v>
      </c>
      <c r="C37" s="730">
        <v>1177.7573777777777</v>
      </c>
      <c r="D37" s="730">
        <v>0</v>
      </c>
      <c r="E37" s="730">
        <v>0</v>
      </c>
      <c r="F37" s="730">
        <v>200.25293333333332</v>
      </c>
      <c r="G37" s="730">
        <f>CONS_U.FIS!Q47</f>
        <v>977.50444444444452</v>
      </c>
      <c r="H37" s="730">
        <f>CONS_U.FIS!Q57</f>
        <v>0</v>
      </c>
      <c r="I37" s="731">
        <f>G37+H37</f>
        <v>977.50444444444452</v>
      </c>
      <c r="J37" s="732"/>
      <c r="K37" s="27"/>
    </row>
    <row r="38" spans="1:11" ht="15.75">
      <c r="A38" s="459"/>
      <c r="B38" s="733" t="s">
        <v>758</v>
      </c>
      <c r="C38" s="730"/>
      <c r="D38" s="730"/>
      <c r="E38" s="730"/>
      <c r="F38" s="730"/>
      <c r="G38" s="730"/>
      <c r="H38" s="730"/>
      <c r="I38" s="731"/>
      <c r="J38" s="732"/>
      <c r="K38" s="27"/>
    </row>
    <row r="39" spans="1:11" ht="15.75">
      <c r="A39" s="459"/>
      <c r="B39" s="729" t="s">
        <v>751</v>
      </c>
      <c r="C39" s="730">
        <f>I39</f>
        <v>3181.0399852287765</v>
      </c>
      <c r="D39" s="730">
        <v>0</v>
      </c>
      <c r="E39" s="730">
        <v>0</v>
      </c>
      <c r="F39" s="730">
        <v>0</v>
      </c>
      <c r="G39" s="730">
        <f>CONS_U.FIS!R47</f>
        <v>783.06475340341797</v>
      </c>
      <c r="H39" s="730">
        <f>CONS_U.FIS!R57</f>
        <v>2397.9752318253586</v>
      </c>
      <c r="I39" s="731">
        <f>G39+H39</f>
        <v>3181.0399852287765</v>
      </c>
      <c r="J39" s="732"/>
      <c r="K39" s="27"/>
    </row>
    <row r="40" spans="1:11" ht="15.75">
      <c r="A40" s="459"/>
      <c r="B40" s="733" t="s">
        <v>179</v>
      </c>
      <c r="C40" s="730"/>
      <c r="D40" s="730"/>
      <c r="E40" s="730"/>
      <c r="F40" s="730"/>
      <c r="G40" s="730"/>
      <c r="H40" s="730"/>
      <c r="I40" s="731"/>
      <c r="J40" s="732"/>
      <c r="K40" s="27"/>
    </row>
    <row r="41" spans="1:11" ht="15.75">
      <c r="A41" s="459"/>
      <c r="B41" s="729" t="s">
        <v>39</v>
      </c>
      <c r="C41" s="730">
        <v>941.82040800000004</v>
      </c>
      <c r="D41" s="730">
        <v>0</v>
      </c>
      <c r="E41" s="730">
        <v>818.87710676847553</v>
      </c>
      <c r="F41" s="730">
        <v>40.352108569992879</v>
      </c>
      <c r="G41" s="730">
        <f>CONS_U.FIS!S47</f>
        <v>82.591192661531636</v>
      </c>
      <c r="H41" s="730">
        <f>CONS_U.FIS!S57</f>
        <v>0</v>
      </c>
      <c r="I41" s="731">
        <f>G41+H41</f>
        <v>82.591192661531636</v>
      </c>
      <c r="J41" s="732"/>
      <c r="K41" s="27"/>
    </row>
    <row r="42" spans="1:11" ht="15.75">
      <c r="A42" s="459"/>
      <c r="B42" s="733" t="s">
        <v>178</v>
      </c>
      <c r="C42" s="730"/>
      <c r="D42" s="730"/>
      <c r="E42" s="730"/>
      <c r="F42" s="730"/>
      <c r="G42" s="730"/>
      <c r="H42" s="730"/>
      <c r="I42" s="731"/>
      <c r="J42" s="732"/>
      <c r="K42" s="27"/>
    </row>
    <row r="43" spans="1:11" ht="15.75">
      <c r="A43" s="459"/>
      <c r="B43" s="729" t="s">
        <v>26</v>
      </c>
      <c r="C43" s="730">
        <f>I43</f>
        <v>14651.424916927888</v>
      </c>
      <c r="D43" s="730">
        <v>0</v>
      </c>
      <c r="E43" s="730">
        <v>0</v>
      </c>
      <c r="F43" s="730">
        <v>0</v>
      </c>
      <c r="G43" s="730">
        <f>CONS_U.FIS!U47</f>
        <v>12971.372803099295</v>
      </c>
      <c r="H43" s="730">
        <f>CONS_U.FIS!U57</f>
        <v>1680.0521138285931</v>
      </c>
      <c r="I43" s="731">
        <f>G43+H43</f>
        <v>14651.424916927888</v>
      </c>
      <c r="J43" s="732"/>
      <c r="K43" s="27"/>
    </row>
    <row r="44" spans="1:11" ht="15.75">
      <c r="A44" s="459"/>
      <c r="B44" s="733" t="s">
        <v>178</v>
      </c>
      <c r="C44" s="730"/>
      <c r="D44" s="730"/>
      <c r="E44" s="730"/>
      <c r="F44" s="730"/>
      <c r="G44" s="730"/>
      <c r="H44" s="730"/>
      <c r="I44" s="731"/>
      <c r="J44" s="732"/>
      <c r="K44" s="27"/>
    </row>
    <row r="45" spans="1:11" ht="15.75">
      <c r="A45" s="459"/>
      <c r="B45" s="729" t="s">
        <v>27</v>
      </c>
      <c r="C45" s="730">
        <v>12.285881904209313</v>
      </c>
      <c r="D45" s="730">
        <v>0</v>
      </c>
      <c r="E45" s="730">
        <v>0</v>
      </c>
      <c r="F45" s="730">
        <v>0</v>
      </c>
      <c r="G45" s="730">
        <f>CONS_U.FIS!T47</f>
        <v>0</v>
      </c>
      <c r="H45" s="730">
        <f>CONS_U.FIS!T57</f>
        <v>12.285881904209313</v>
      </c>
      <c r="I45" s="731">
        <f>G45+H45</f>
        <v>12.285881904209313</v>
      </c>
      <c r="J45" s="732"/>
      <c r="K45" s="27"/>
    </row>
    <row r="46" spans="1:11" ht="16.5" thickBot="1">
      <c r="A46" s="459"/>
      <c r="B46" s="734" t="s">
        <v>179</v>
      </c>
      <c r="C46" s="735"/>
      <c r="D46" s="735"/>
      <c r="E46" s="735"/>
      <c r="F46" s="735"/>
      <c r="G46" s="735"/>
      <c r="H46" s="735"/>
      <c r="I46" s="736"/>
      <c r="J46" s="732"/>
      <c r="K46" s="27"/>
    </row>
    <row r="47" spans="1:11" ht="15">
      <c r="A47" s="459"/>
      <c r="B47" s="706" t="s">
        <v>15</v>
      </c>
      <c r="C47" s="737"/>
      <c r="D47" s="737"/>
      <c r="E47" s="712"/>
      <c r="F47" s="738"/>
      <c r="G47" s="712"/>
      <c r="H47" s="712"/>
      <c r="I47" s="712"/>
      <c r="J47" s="712"/>
      <c r="K47" s="26"/>
    </row>
    <row r="48" spans="1:11" ht="15">
      <c r="A48" s="459"/>
      <c r="B48" s="706" t="s">
        <v>754</v>
      </c>
      <c r="C48" s="737"/>
      <c r="D48" s="737"/>
      <c r="E48" s="712"/>
      <c r="F48" s="712"/>
      <c r="G48" s="712"/>
      <c r="H48" s="712"/>
      <c r="I48" s="712"/>
      <c r="J48" s="712"/>
      <c r="K48" s="26"/>
    </row>
    <row r="49" spans="1:11">
      <c r="A49" s="459"/>
      <c r="B49" s="737" t="s">
        <v>756</v>
      </c>
      <c r="C49" s="739">
        <v>647.98780881745699</v>
      </c>
      <c r="D49" s="737" t="s">
        <v>182</v>
      </c>
      <c r="E49" s="712"/>
      <c r="F49" s="712"/>
      <c r="G49" s="712"/>
      <c r="H49" s="712"/>
      <c r="I49" s="732"/>
      <c r="J49" s="712"/>
      <c r="K49" s="26"/>
    </row>
    <row r="50" spans="1:11">
      <c r="A50" s="459"/>
      <c r="B50" s="737" t="s">
        <v>183</v>
      </c>
      <c r="C50" s="739">
        <v>0</v>
      </c>
      <c r="D50" s="737" t="s">
        <v>182</v>
      </c>
      <c r="E50" s="712"/>
      <c r="F50" s="712"/>
      <c r="G50" s="712"/>
      <c r="H50" s="712"/>
      <c r="I50" s="732"/>
      <c r="J50" s="712"/>
      <c r="K50" s="26"/>
    </row>
    <row r="51" spans="1:11">
      <c r="A51" s="459"/>
      <c r="B51" s="737" t="s">
        <v>184</v>
      </c>
      <c r="C51" s="739">
        <v>1154.2526961825429</v>
      </c>
      <c r="D51" s="737" t="s">
        <v>182</v>
      </c>
      <c r="E51" s="712"/>
      <c r="F51" s="712"/>
      <c r="G51" s="712"/>
      <c r="H51" s="712"/>
      <c r="I51" s="732"/>
      <c r="J51" s="712"/>
      <c r="K51" s="26"/>
    </row>
    <row r="52" spans="1:11">
      <c r="A52" s="459"/>
      <c r="B52" s="737" t="s">
        <v>757</v>
      </c>
      <c r="C52" s="740">
        <v>245.9665</v>
      </c>
      <c r="D52" s="737" t="s">
        <v>185</v>
      </c>
      <c r="E52" s="712"/>
      <c r="F52" s="712"/>
      <c r="G52" s="712"/>
      <c r="H52" s="712"/>
      <c r="I52" s="712"/>
      <c r="J52" s="712"/>
      <c r="K52" s="26"/>
    </row>
    <row r="53" spans="1:11">
      <c r="A53" s="459"/>
      <c r="B53" s="415" t="s">
        <v>795</v>
      </c>
      <c r="C53" s="455"/>
      <c r="D53" s="455"/>
      <c r="E53" s="455"/>
      <c r="F53" s="455"/>
      <c r="G53" s="455"/>
      <c r="H53" s="455"/>
      <c r="I53" s="415"/>
      <c r="J53" s="415"/>
      <c r="K53" s="6"/>
    </row>
    <row r="54" spans="1:11">
      <c r="A54" s="459"/>
      <c r="B54" s="455" t="s">
        <v>773</v>
      </c>
      <c r="C54" s="455"/>
      <c r="D54" s="455"/>
      <c r="E54" s="455"/>
      <c r="F54" s="455"/>
      <c r="G54" s="455"/>
      <c r="H54" s="455"/>
      <c r="I54" s="415"/>
      <c r="J54" s="415"/>
      <c r="K54" s="6"/>
    </row>
    <row r="55" spans="1:11" ht="14.25">
      <c r="A55" s="459"/>
      <c r="B55" s="741"/>
      <c r="C55" s="712"/>
      <c r="D55" s="712"/>
      <c r="E55" s="712"/>
      <c r="F55" s="712"/>
      <c r="G55" s="712"/>
      <c r="H55" s="712"/>
      <c r="I55" s="712"/>
      <c r="J55" s="712"/>
      <c r="K55" s="26"/>
    </row>
    <row r="56" spans="1:11">
      <c r="A56" s="459"/>
      <c r="B56" s="712"/>
      <c r="C56" s="712"/>
      <c r="D56" s="712"/>
      <c r="E56" s="712"/>
      <c r="F56" s="712"/>
      <c r="G56" s="712"/>
      <c r="H56" s="712"/>
      <c r="I56" s="712"/>
      <c r="J56" s="712"/>
      <c r="K56" s="26"/>
    </row>
    <row r="57" spans="1:11">
      <c r="A57" s="459"/>
      <c r="B57" s="712"/>
      <c r="C57" s="712"/>
      <c r="D57" s="712"/>
      <c r="E57" s="712"/>
      <c r="F57" s="712"/>
      <c r="G57" s="712"/>
      <c r="H57" s="712"/>
      <c r="I57" s="712"/>
      <c r="J57" s="712"/>
      <c r="K57" s="26"/>
    </row>
    <row r="58" spans="1:11">
      <c r="A58" s="459"/>
      <c r="B58" s="712"/>
      <c r="C58" s="712"/>
      <c r="D58" s="712"/>
      <c r="E58" s="712"/>
      <c r="F58" s="712"/>
      <c r="G58" s="712"/>
      <c r="H58" s="712"/>
      <c r="I58" s="712"/>
      <c r="J58" s="712"/>
      <c r="K58" s="26"/>
    </row>
    <row r="59" spans="1:11">
      <c r="A59" s="459"/>
      <c r="B59" s="62"/>
      <c r="C59" s="62"/>
      <c r="D59" s="62"/>
      <c r="E59" s="62"/>
      <c r="F59" s="62"/>
      <c r="G59" s="62"/>
      <c r="H59" s="62"/>
      <c r="I59" s="62"/>
      <c r="J59" s="62"/>
    </row>
    <row r="60" spans="1:11">
      <c r="A60" s="459"/>
      <c r="B60" s="62"/>
      <c r="C60" s="62"/>
      <c r="D60" s="62"/>
      <c r="E60" s="62"/>
      <c r="F60" s="62"/>
      <c r="G60" s="62"/>
      <c r="H60" s="62"/>
      <c r="I60" s="62"/>
      <c r="J60" s="62"/>
    </row>
    <row r="61" spans="1:11">
      <c r="A61" s="459"/>
      <c r="B61" s="62"/>
      <c r="C61" s="62"/>
      <c r="D61" s="62"/>
      <c r="E61" s="62"/>
      <c r="F61" s="62"/>
      <c r="G61" s="62"/>
      <c r="H61" s="62"/>
      <c r="I61" s="62"/>
      <c r="J61" s="62"/>
    </row>
    <row r="62" spans="1:11">
      <c r="A62" s="62"/>
      <c r="B62" s="62"/>
      <c r="C62" s="62"/>
      <c r="D62" s="62"/>
      <c r="E62" s="62"/>
      <c r="F62" s="62"/>
      <c r="G62" s="62"/>
      <c r="H62" s="62"/>
      <c r="I62" s="62"/>
      <c r="J62" s="62"/>
    </row>
    <row r="63" spans="1:11">
      <c r="A63" s="62"/>
      <c r="B63" s="62"/>
      <c r="C63" s="62"/>
      <c r="D63" s="62"/>
      <c r="E63" s="62"/>
      <c r="F63" s="62"/>
      <c r="G63" s="62"/>
      <c r="H63" s="62"/>
      <c r="I63" s="62"/>
      <c r="J63" s="62"/>
    </row>
    <row r="64" spans="1:11">
      <c r="A64" s="62"/>
      <c r="B64" s="62"/>
      <c r="C64" s="62"/>
      <c r="D64" s="62"/>
      <c r="E64" s="62"/>
      <c r="F64" s="62"/>
      <c r="G64" s="62"/>
      <c r="H64" s="62"/>
      <c r="I64" s="62"/>
      <c r="J64" s="62"/>
    </row>
    <row r="65" s="3" customFormat="1"/>
    <row r="66" s="3" customFormat="1"/>
    <row r="67" s="3" customFormat="1"/>
    <row r="68" s="3" customFormat="1"/>
    <row r="69" s="3" customFormat="1"/>
    <row r="70" s="3" customFormat="1"/>
    <row r="71" s="3" customFormat="1"/>
    <row r="72" s="3" customFormat="1"/>
    <row r="73" s="3" customFormat="1"/>
    <row r="74" s="3" customFormat="1"/>
    <row r="75" s="3" customFormat="1"/>
    <row r="76" s="3" customFormat="1"/>
    <row r="77" s="3" customFormat="1"/>
    <row r="78" s="3" customFormat="1"/>
    <row r="79" s="3" customFormat="1"/>
    <row r="80" s="3" customFormat="1"/>
    <row r="81" spans="3:9" s="3" customFormat="1"/>
    <row r="82" spans="3:9" s="3" customFormat="1"/>
    <row r="83" spans="3:9" s="3" customFormat="1"/>
    <row r="84" spans="3:9" s="3" customFormat="1"/>
    <row r="85" spans="3:9" s="3" customFormat="1"/>
    <row r="86" spans="3:9" s="3" customFormat="1"/>
    <row r="87" spans="3:9">
      <c r="C87" s="3"/>
      <c r="D87" s="3"/>
      <c r="E87" s="3"/>
      <c r="F87" s="3"/>
      <c r="G87" s="3"/>
      <c r="H87" s="3"/>
      <c r="I87" s="3"/>
    </row>
    <row r="88" spans="3:9">
      <c r="C88" s="3"/>
      <c r="D88" s="3"/>
      <c r="E88" s="3"/>
      <c r="F88" s="3"/>
      <c r="G88" s="3"/>
      <c r="H88" s="3"/>
      <c r="I88" s="3"/>
    </row>
    <row r="89" spans="3:9">
      <c r="C89" s="3"/>
      <c r="D89" s="3"/>
      <c r="E89" s="3"/>
      <c r="F89" s="3"/>
      <c r="G89" s="3"/>
      <c r="H89" s="3"/>
      <c r="I89" s="3"/>
    </row>
    <row r="90" spans="3:9">
      <c r="C90" s="3"/>
      <c r="D90" s="3"/>
      <c r="E90" s="3"/>
      <c r="F90" s="3"/>
      <c r="G90" s="3"/>
      <c r="H90" s="3"/>
      <c r="I90" s="3"/>
    </row>
    <row r="91" spans="3:9">
      <c r="C91" s="3"/>
      <c r="D91" s="3"/>
      <c r="E91" s="3"/>
      <c r="F91" s="3"/>
      <c r="G91" s="3"/>
      <c r="H91" s="3"/>
      <c r="I91" s="3"/>
    </row>
    <row r="92" spans="3:9">
      <c r="C92" s="3"/>
      <c r="D92" s="3"/>
      <c r="E92" s="3"/>
      <c r="F92" s="3"/>
      <c r="G92" s="3"/>
      <c r="H92" s="3"/>
      <c r="I92" s="3"/>
    </row>
    <row r="93" spans="3:9">
      <c r="C93" s="3"/>
      <c r="D93" s="3"/>
      <c r="E93" s="3"/>
      <c r="F93" s="3"/>
      <c r="G93" s="3"/>
      <c r="H93" s="3"/>
      <c r="I93" s="3"/>
    </row>
    <row r="94" spans="3:9">
      <c r="C94" s="3"/>
      <c r="D94" s="3"/>
      <c r="E94" s="3"/>
      <c r="F94" s="3"/>
      <c r="G94" s="3"/>
      <c r="H94" s="3"/>
      <c r="I94" s="3"/>
    </row>
    <row r="95" spans="3:9">
      <c r="C95" s="3"/>
      <c r="D95" s="3"/>
      <c r="E95" s="3"/>
      <c r="F95" s="3"/>
      <c r="G95" s="3"/>
      <c r="H95" s="3"/>
      <c r="I95" s="3"/>
    </row>
    <row r="96" spans="3:9">
      <c r="C96" s="3"/>
      <c r="D96" s="3"/>
      <c r="E96" s="3"/>
      <c r="F96" s="3"/>
      <c r="G96" s="3"/>
      <c r="H96" s="3"/>
      <c r="I96" s="3"/>
    </row>
    <row r="97" spans="3:9">
      <c r="C97" s="3"/>
      <c r="D97" s="3"/>
      <c r="E97" s="3"/>
      <c r="F97" s="3"/>
      <c r="G97" s="3"/>
      <c r="H97" s="3"/>
      <c r="I97" s="3"/>
    </row>
    <row r="98" spans="3:9">
      <c r="C98" s="3"/>
      <c r="D98" s="3"/>
      <c r="E98" s="3"/>
      <c r="F98" s="3"/>
      <c r="G98" s="3"/>
      <c r="H98" s="3"/>
      <c r="I98" s="3"/>
    </row>
    <row r="99" spans="3:9">
      <c r="C99" s="3"/>
      <c r="D99" s="3"/>
      <c r="E99" s="3"/>
      <c r="F99" s="3"/>
      <c r="G99" s="3"/>
      <c r="H99" s="3"/>
      <c r="I99" s="3"/>
    </row>
    <row r="100" spans="3:9">
      <c r="C100" s="3"/>
      <c r="D100" s="3"/>
      <c r="E100" s="3"/>
      <c r="F100" s="3"/>
      <c r="G100" s="3"/>
      <c r="H100" s="3"/>
      <c r="I100" s="3"/>
    </row>
    <row r="101" spans="3:9">
      <c r="C101" s="3"/>
      <c r="D101" s="3"/>
      <c r="E101" s="3"/>
      <c r="F101" s="3"/>
      <c r="G101" s="3"/>
      <c r="H101" s="3"/>
      <c r="I101" s="3"/>
    </row>
    <row r="102" spans="3:9">
      <c r="C102" s="3"/>
      <c r="D102" s="3"/>
      <c r="E102" s="3"/>
      <c r="F102" s="3"/>
      <c r="G102" s="3"/>
      <c r="H102" s="3"/>
      <c r="I102" s="3"/>
    </row>
    <row r="103" spans="3:9">
      <c r="C103" s="3"/>
      <c r="D103" s="3"/>
      <c r="E103" s="3"/>
      <c r="F103" s="3"/>
      <c r="G103" s="3"/>
      <c r="H103" s="3"/>
      <c r="I103" s="3"/>
    </row>
    <row r="104" spans="3:9">
      <c r="C104" s="3"/>
      <c r="D104" s="3"/>
      <c r="E104" s="3"/>
      <c r="F104" s="3"/>
      <c r="G104" s="3"/>
      <c r="H104" s="3"/>
      <c r="I104" s="3"/>
    </row>
    <row r="105" spans="3:9">
      <c r="C105" s="3"/>
      <c r="D105" s="3"/>
      <c r="E105" s="3"/>
      <c r="F105" s="3"/>
      <c r="G105" s="3"/>
      <c r="H105" s="3"/>
      <c r="I105" s="3"/>
    </row>
    <row r="106" spans="3:9">
      <c r="C106" s="3"/>
      <c r="D106" s="3"/>
      <c r="E106" s="3"/>
      <c r="F106" s="3"/>
      <c r="G106" s="3"/>
      <c r="H106" s="3"/>
      <c r="I106" s="3"/>
    </row>
    <row r="107" spans="3:9">
      <c r="C107" s="3"/>
      <c r="D107" s="3"/>
      <c r="E107" s="3"/>
      <c r="F107" s="3"/>
      <c r="G107" s="3"/>
      <c r="H107" s="3"/>
      <c r="I107" s="3"/>
    </row>
    <row r="108" spans="3:9">
      <c r="C108" s="3"/>
      <c r="D108" s="3"/>
      <c r="E108" s="3"/>
      <c r="F108" s="3"/>
      <c r="G108" s="3"/>
      <c r="H108" s="3"/>
      <c r="I108" s="3"/>
    </row>
    <row r="109" spans="3:9">
      <c r="C109" s="3"/>
      <c r="D109" s="3"/>
      <c r="E109" s="3"/>
      <c r="F109" s="3"/>
      <c r="G109" s="3"/>
      <c r="H109" s="3"/>
      <c r="I109" s="3"/>
    </row>
    <row r="110" spans="3:9">
      <c r="C110" s="3"/>
      <c r="D110" s="3"/>
      <c r="E110" s="3"/>
      <c r="F110" s="3"/>
      <c r="G110" s="3"/>
      <c r="H110" s="3"/>
      <c r="I110" s="3"/>
    </row>
    <row r="111" spans="3:9">
      <c r="C111" s="3"/>
      <c r="D111" s="3"/>
      <c r="E111" s="3"/>
      <c r="F111" s="3"/>
      <c r="G111" s="3"/>
      <c r="H111" s="3"/>
      <c r="I111" s="3"/>
    </row>
    <row r="112" spans="3:9">
      <c r="C112" s="3"/>
      <c r="D112" s="3"/>
      <c r="E112" s="3"/>
      <c r="F112" s="3"/>
      <c r="G112" s="3"/>
      <c r="H112" s="3"/>
      <c r="I112" s="3"/>
    </row>
    <row r="113" spans="3:9">
      <c r="C113" s="3"/>
      <c r="D113" s="3"/>
      <c r="E113" s="3"/>
      <c r="F113" s="3"/>
      <c r="G113" s="3"/>
      <c r="H113" s="3"/>
      <c r="I113" s="3"/>
    </row>
    <row r="114" spans="3:9">
      <c r="C114" s="3"/>
      <c r="D114" s="3"/>
      <c r="E114" s="3"/>
      <c r="F114" s="3"/>
      <c r="G114" s="3"/>
      <c r="H114" s="3"/>
      <c r="I114" s="3"/>
    </row>
    <row r="115" spans="3:9">
      <c r="C115" s="3"/>
      <c r="D115" s="3"/>
      <c r="E115" s="3"/>
      <c r="F115" s="3"/>
      <c r="G115" s="3"/>
      <c r="H115" s="3"/>
      <c r="I115" s="3"/>
    </row>
    <row r="116" spans="3:9">
      <c r="C116" s="3"/>
      <c r="D116" s="3"/>
      <c r="E116" s="3"/>
      <c r="F116" s="3"/>
      <c r="G116" s="3"/>
      <c r="H116" s="3"/>
      <c r="I116" s="3"/>
    </row>
    <row r="117" spans="3:9">
      <c r="C117" s="3"/>
      <c r="D117" s="3"/>
      <c r="E117" s="3"/>
      <c r="F117" s="3"/>
      <c r="G117" s="3"/>
      <c r="H117" s="3"/>
      <c r="I117" s="3"/>
    </row>
    <row r="118" spans="3:9">
      <c r="C118" s="3"/>
      <c r="D118" s="3"/>
      <c r="E118" s="3"/>
      <c r="F118" s="3"/>
      <c r="G118" s="3"/>
      <c r="H118" s="3"/>
      <c r="I118" s="3"/>
    </row>
    <row r="119" spans="3:9">
      <c r="C119" s="3"/>
      <c r="D119" s="3"/>
      <c r="E119" s="3"/>
      <c r="F119" s="3"/>
      <c r="G119" s="3"/>
      <c r="H119" s="3"/>
      <c r="I119" s="3"/>
    </row>
    <row r="120" spans="3:9">
      <c r="C120" s="3"/>
      <c r="D120" s="3"/>
      <c r="E120" s="3"/>
      <c r="F120" s="3"/>
      <c r="G120" s="3"/>
      <c r="H120" s="3"/>
      <c r="I120" s="3"/>
    </row>
    <row r="121" spans="3:9">
      <c r="C121" s="3"/>
      <c r="D121" s="3"/>
      <c r="E121" s="3"/>
      <c r="F121" s="3"/>
      <c r="G121" s="3"/>
      <c r="H121" s="3"/>
      <c r="I121" s="3"/>
    </row>
  </sheetData>
  <phoneticPr fontId="0" type="noConversion"/>
  <hyperlinks>
    <hyperlink ref="J3" location="INDICE!A40" display="VOLVER A INDICE"/>
  </hyperlinks>
  <pageMargins left="0.75" right="0.75" top="1" bottom="1" header="0" footer="0"/>
  <pageSetup scale="59" orientation="portrait"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36"/>
  <sheetViews>
    <sheetView workbookViewId="0">
      <pane ySplit="8" topLeftCell="A9" activePane="bottomLeft" state="frozen"/>
      <selection pane="bottomLeft" activeCell="K24" sqref="K24"/>
    </sheetView>
  </sheetViews>
  <sheetFormatPr baseColWidth="10" defaultRowHeight="12.75"/>
  <cols>
    <col min="1" max="1" width="1.28515625" style="260" customWidth="1"/>
    <col min="2" max="2" width="25.140625" style="260" customWidth="1"/>
    <col min="3" max="9" width="11.42578125" style="260"/>
    <col min="10" max="23" width="11.42578125" style="3"/>
    <col min="24" max="16384" width="11.42578125" style="260"/>
  </cols>
  <sheetData>
    <row r="1" spans="1:12" ht="5.25" customHeight="1" thickBot="1">
      <c r="A1" s="459"/>
      <c r="B1" s="459"/>
      <c r="C1" s="459"/>
      <c r="D1" s="459"/>
      <c r="E1" s="459"/>
      <c r="F1" s="459"/>
      <c r="G1" s="459"/>
      <c r="H1" s="459"/>
      <c r="I1" s="459"/>
      <c r="J1" s="62"/>
      <c r="K1" s="62"/>
    </row>
    <row r="2" spans="1:12" ht="15.75" customHeight="1" thickBot="1">
      <c r="A2" s="459"/>
      <c r="B2" s="681"/>
      <c r="C2" s="682"/>
      <c r="D2" s="682"/>
      <c r="E2" s="682"/>
      <c r="F2" s="682"/>
      <c r="G2" s="682"/>
      <c r="H2" s="682"/>
      <c r="I2" s="683"/>
      <c r="J2" s="708"/>
      <c r="K2" s="708"/>
      <c r="L2" s="224"/>
    </row>
    <row r="3" spans="1:12">
      <c r="A3" s="459"/>
      <c r="B3" s="684"/>
      <c r="C3" s="685"/>
      <c r="D3" s="685"/>
      <c r="E3" s="686" t="s">
        <v>90</v>
      </c>
      <c r="F3" s="686"/>
      <c r="G3" s="685"/>
      <c r="H3" s="685"/>
      <c r="I3" s="687"/>
      <c r="J3" s="464" t="s">
        <v>606</v>
      </c>
      <c r="K3" s="708"/>
      <c r="L3" s="224"/>
    </row>
    <row r="4" spans="1:12">
      <c r="A4" s="459"/>
      <c r="B4" s="688"/>
      <c r="C4" s="689"/>
      <c r="D4" s="690"/>
      <c r="E4" s="690" t="s">
        <v>187</v>
      </c>
      <c r="F4" s="690"/>
      <c r="G4" s="689"/>
      <c r="H4" s="689"/>
      <c r="I4" s="691"/>
      <c r="J4" s="1140"/>
      <c r="K4" s="708"/>
      <c r="L4" s="224"/>
    </row>
    <row r="5" spans="1:12">
      <c r="A5" s="459"/>
      <c r="B5" s="688"/>
      <c r="C5" s="689"/>
      <c r="D5" s="689"/>
      <c r="E5" s="689" t="s">
        <v>774</v>
      </c>
      <c r="F5" s="689"/>
      <c r="G5" s="689"/>
      <c r="H5" s="689"/>
      <c r="I5" s="691"/>
      <c r="J5" s="1140"/>
      <c r="K5" s="708"/>
      <c r="L5" s="224"/>
    </row>
    <row r="6" spans="1:12">
      <c r="A6" s="459"/>
      <c r="B6" s="688"/>
      <c r="C6" s="689"/>
      <c r="D6" s="689"/>
      <c r="E6" s="689"/>
      <c r="F6" s="689"/>
      <c r="G6" s="689"/>
      <c r="H6" s="689"/>
      <c r="I6" s="691"/>
      <c r="J6" s="1140"/>
      <c r="K6" s="708"/>
      <c r="L6" s="224"/>
    </row>
    <row r="7" spans="1:12">
      <c r="A7" s="459"/>
      <c r="B7" s="692" t="s">
        <v>20</v>
      </c>
      <c r="C7" s="690" t="s">
        <v>92</v>
      </c>
      <c r="D7" s="690" t="s">
        <v>92</v>
      </c>
      <c r="E7" s="690" t="s">
        <v>92</v>
      </c>
      <c r="F7" s="690" t="s">
        <v>654</v>
      </c>
      <c r="G7" s="690" t="s">
        <v>93</v>
      </c>
      <c r="H7" s="690" t="s">
        <v>93</v>
      </c>
      <c r="I7" s="693" t="s">
        <v>94</v>
      </c>
      <c r="J7" s="1140"/>
      <c r="K7" s="708"/>
      <c r="L7" s="224"/>
    </row>
    <row r="8" spans="1:12" ht="13.5" thickBot="1">
      <c r="A8" s="459"/>
      <c r="B8" s="694"/>
      <c r="C8" s="695" t="s">
        <v>95</v>
      </c>
      <c r="D8" s="695" t="s">
        <v>96</v>
      </c>
      <c r="E8" s="695" t="s">
        <v>97</v>
      </c>
      <c r="F8" s="695" t="s">
        <v>655</v>
      </c>
      <c r="G8" s="695" t="s">
        <v>98</v>
      </c>
      <c r="H8" s="695" t="s">
        <v>99</v>
      </c>
      <c r="I8" s="696" t="s">
        <v>100</v>
      </c>
      <c r="J8" s="708"/>
      <c r="K8" s="708"/>
      <c r="L8" s="224"/>
    </row>
    <row r="9" spans="1:12">
      <c r="A9" s="459"/>
      <c r="B9" s="1295" t="s">
        <v>71</v>
      </c>
      <c r="C9" s="1296">
        <f>CONS_U.FIS!D12</f>
        <v>1017.0345060799998</v>
      </c>
      <c r="D9" s="1296">
        <f>CONS_U.FIS!D26</f>
        <v>713.62825419000001</v>
      </c>
      <c r="E9" s="1296">
        <f>CONS_U.FIS!D33</f>
        <v>45.808327277000004</v>
      </c>
      <c r="F9" s="1297">
        <f>CONS_U.FIS!D44</f>
        <v>81.028379999999999</v>
      </c>
      <c r="G9" s="1297">
        <f>SUM(C9:F9)</f>
        <v>1857.4994675469998</v>
      </c>
      <c r="H9" s="1297">
        <f>CONS_U.FIS!D57</f>
        <v>244.72426157799998</v>
      </c>
      <c r="I9" s="1298">
        <f>G9+H9</f>
        <v>2102.2237291249999</v>
      </c>
      <c r="J9" s="1141"/>
      <c r="K9" s="1141"/>
      <c r="L9" s="224"/>
    </row>
    <row r="10" spans="1:12">
      <c r="A10" s="459"/>
      <c r="B10" s="701" t="s">
        <v>178</v>
      </c>
      <c r="C10" s="698"/>
      <c r="D10" s="698"/>
      <c r="E10" s="698"/>
      <c r="F10" s="698"/>
      <c r="G10" s="698"/>
      <c r="H10" s="698"/>
      <c r="I10" s="702"/>
      <c r="J10" s="708"/>
      <c r="K10" s="708"/>
      <c r="L10" s="224"/>
    </row>
    <row r="11" spans="1:12">
      <c r="A11" s="459"/>
      <c r="B11" s="697" t="s">
        <v>72</v>
      </c>
      <c r="C11" s="698">
        <f>CONS_U.FIS!C12</f>
        <v>4263.2018623500016</v>
      </c>
      <c r="D11" s="698">
        <f>CONS_U.FIS!C26</f>
        <v>2406.2136684631619</v>
      </c>
      <c r="E11" s="698">
        <f>CONS_U.FIS!C33</f>
        <v>162.09876857999998</v>
      </c>
      <c r="F11" s="699">
        <f>CONS_U.FIS!C44</f>
        <v>3.0134920000000003</v>
      </c>
      <c r="G11" s="699">
        <f>SUM(C11:F11)</f>
        <v>6834.5277913931632</v>
      </c>
      <c r="H11" s="699">
        <f>CONS_U.FIS!C57</f>
        <v>2194.6202425061811</v>
      </c>
      <c r="I11" s="700">
        <f>G11+H11</f>
        <v>9029.1480338993442</v>
      </c>
      <c r="J11" s="1141"/>
      <c r="K11" s="1141"/>
      <c r="L11" s="224"/>
    </row>
    <row r="12" spans="1:12">
      <c r="A12" s="459"/>
      <c r="B12" s="701" t="s">
        <v>177</v>
      </c>
      <c r="C12" s="698"/>
      <c r="D12" s="698"/>
      <c r="E12" s="698"/>
      <c r="F12" s="699"/>
      <c r="G12" s="699"/>
      <c r="H12" s="699"/>
      <c r="I12" s="700"/>
      <c r="J12" s="708"/>
      <c r="K12" s="708"/>
      <c r="L12" s="224"/>
    </row>
    <row r="13" spans="1:12">
      <c r="A13" s="459"/>
      <c r="B13" s="697" t="s">
        <v>740</v>
      </c>
      <c r="C13" s="698">
        <f>CONS_U.FIS!E12</f>
        <v>3414.7681159999993</v>
      </c>
      <c r="D13" s="698">
        <f>CONS_U.FIS!E26</f>
        <v>0</v>
      </c>
      <c r="E13" s="698">
        <f>CONS_U.FIS!E33</f>
        <v>0</v>
      </c>
      <c r="F13" s="699">
        <f>CONS_U.FIS!E44</f>
        <v>4.229999999999999E-2</v>
      </c>
      <c r="G13" s="699">
        <f>SUM(C13:F13)</f>
        <v>3414.8104159999993</v>
      </c>
      <c r="H13" s="699">
        <f>CONS_U.FIS!E57</f>
        <v>0</v>
      </c>
      <c r="I13" s="700">
        <f>G13+H13</f>
        <v>3414.8104159999993</v>
      </c>
      <c r="J13" s="1141"/>
      <c r="K13" s="1141"/>
      <c r="L13" s="224"/>
    </row>
    <row r="14" spans="1:12">
      <c r="A14" s="459"/>
      <c r="B14" s="701" t="s">
        <v>177</v>
      </c>
      <c r="C14" s="698"/>
      <c r="D14" s="698"/>
      <c r="E14" s="698"/>
      <c r="F14" s="699"/>
      <c r="G14" s="699"/>
      <c r="H14" s="699"/>
      <c r="I14" s="700"/>
      <c r="J14" s="708"/>
      <c r="K14" s="708"/>
      <c r="L14" s="224"/>
    </row>
    <row r="15" spans="1:12">
      <c r="A15" s="459"/>
      <c r="B15" s="697" t="s">
        <v>73</v>
      </c>
      <c r="C15" s="698">
        <f>CONS_U.FIS!F12</f>
        <v>7.6580000000000013</v>
      </c>
      <c r="D15" s="698">
        <f>CONS_U.FIS!F26</f>
        <v>45.050508999999998</v>
      </c>
      <c r="E15" s="698">
        <f>CONS_U.FIS!F33</f>
        <v>96.9739</v>
      </c>
      <c r="F15" s="699">
        <f>CONS_U.FIS!F44</f>
        <v>0</v>
      </c>
      <c r="G15" s="699">
        <f>SUM(C15:F15)</f>
        <v>149.68240900000001</v>
      </c>
      <c r="H15" s="699">
        <f>CONS_U.FIS!F57</f>
        <v>0</v>
      </c>
      <c r="I15" s="700">
        <f>G15+H15</f>
        <v>149.68240900000001</v>
      </c>
      <c r="J15" s="1141"/>
      <c r="K15" s="1141"/>
      <c r="L15" s="224"/>
    </row>
    <row r="16" spans="1:12">
      <c r="A16" s="459"/>
      <c r="B16" s="701" t="s">
        <v>177</v>
      </c>
      <c r="C16" s="698"/>
      <c r="D16" s="698"/>
      <c r="E16" s="698"/>
      <c r="F16" s="699"/>
      <c r="G16" s="699"/>
      <c r="H16" s="699"/>
      <c r="I16" s="700"/>
      <c r="J16" s="708"/>
      <c r="K16" s="708"/>
      <c r="L16" s="224"/>
    </row>
    <row r="17" spans="1:12">
      <c r="A17" s="459"/>
      <c r="B17" s="697" t="s">
        <v>74</v>
      </c>
      <c r="C17" s="698">
        <f>CONS_U.FIS!G12</f>
        <v>5.6899576380162422</v>
      </c>
      <c r="D17" s="698">
        <f>CONS_U.FIS!G26</f>
        <v>273.15478868033136</v>
      </c>
      <c r="E17" s="698">
        <f>CONS_U.FIS!G33</f>
        <v>893.15975570943385</v>
      </c>
      <c r="F17" s="699">
        <f>CONS_U.FIS!G44</f>
        <v>109.89153019507414</v>
      </c>
      <c r="G17" s="699">
        <f>SUM(C17:F17)</f>
        <v>1281.8960322228556</v>
      </c>
      <c r="H17" s="699">
        <f>CONS_U.FIS!G57</f>
        <v>77.249648640404288</v>
      </c>
      <c r="I17" s="700">
        <f>G17+H17</f>
        <v>1359.1456808632599</v>
      </c>
      <c r="J17" s="1141"/>
      <c r="K17" s="1141"/>
      <c r="L17" s="224"/>
    </row>
    <row r="18" spans="1:12">
      <c r="A18" s="459"/>
      <c r="B18" s="701" t="s">
        <v>178</v>
      </c>
      <c r="C18" s="698"/>
      <c r="D18" s="698"/>
      <c r="E18" s="698"/>
      <c r="F18" s="699"/>
      <c r="G18" s="699"/>
      <c r="H18" s="699"/>
      <c r="I18" s="700"/>
      <c r="J18" s="708"/>
      <c r="K18" s="1141"/>
      <c r="L18" s="224"/>
    </row>
    <row r="19" spans="1:12">
      <c r="A19" s="459"/>
      <c r="B19" s="697" t="s">
        <v>75</v>
      </c>
      <c r="C19" s="698">
        <f>CONS_U.FIS!H12</f>
        <v>7.051000000000001</v>
      </c>
      <c r="D19" s="698">
        <f>CONS_U.FIS!H26</f>
        <v>0</v>
      </c>
      <c r="E19" s="698">
        <f>CONS_U.FIS!H33</f>
        <v>0</v>
      </c>
      <c r="F19" s="699">
        <f>CONS_U.FIS!H44</f>
        <v>0</v>
      </c>
      <c r="G19" s="699">
        <f>SUM(C19:F19)</f>
        <v>7.051000000000001</v>
      </c>
      <c r="H19" s="699">
        <f>CONS_U.FIS!H57</f>
        <v>0</v>
      </c>
      <c r="I19" s="700">
        <f>G19+H19</f>
        <v>7.051000000000001</v>
      </c>
      <c r="J19" s="1141"/>
      <c r="K19" s="1141"/>
      <c r="L19" s="224"/>
    </row>
    <row r="20" spans="1:12">
      <c r="A20" s="459"/>
      <c r="B20" s="701" t="s">
        <v>177</v>
      </c>
      <c r="C20" s="698"/>
      <c r="D20" s="698"/>
      <c r="E20" s="698"/>
      <c r="F20" s="699"/>
      <c r="G20" s="699"/>
      <c r="H20" s="699"/>
      <c r="I20" s="700"/>
      <c r="J20" s="708"/>
      <c r="K20" s="708"/>
      <c r="L20" s="224"/>
    </row>
    <row r="21" spans="1:12">
      <c r="A21" s="459"/>
      <c r="B21" s="697" t="s">
        <v>76</v>
      </c>
      <c r="C21" s="698">
        <f>CONS_U.FIS!I12</f>
        <v>862.45172253199428</v>
      </c>
      <c r="D21" s="698">
        <f>CONS_U.FIS!I26</f>
        <v>0</v>
      </c>
      <c r="E21" s="698">
        <f>CONS_U.FIS!I33</f>
        <v>0</v>
      </c>
      <c r="F21" s="699">
        <f>CONS_U.FIS!I44</f>
        <v>0</v>
      </c>
      <c r="G21" s="699">
        <f>SUM(C21:F21)</f>
        <v>862.45172253199428</v>
      </c>
      <c r="H21" s="699">
        <f>CONS_U.FIS!I57</f>
        <v>0</v>
      </c>
      <c r="I21" s="700">
        <f>G21+H21</f>
        <v>862.45172253199428</v>
      </c>
      <c r="J21" s="1141"/>
      <c r="K21" s="1141"/>
      <c r="L21" s="224"/>
    </row>
    <row r="22" spans="1:12">
      <c r="A22" s="459"/>
      <c r="B22" s="701" t="s">
        <v>177</v>
      </c>
      <c r="C22" s="698"/>
      <c r="D22" s="698"/>
      <c r="E22" s="698"/>
      <c r="F22" s="699"/>
      <c r="G22" s="699"/>
      <c r="H22" s="699"/>
      <c r="I22" s="700"/>
      <c r="J22" s="708"/>
      <c r="K22" s="708"/>
      <c r="L22" s="224"/>
    </row>
    <row r="23" spans="1:12">
      <c r="A23" s="459"/>
      <c r="B23" s="697" t="s">
        <v>77</v>
      </c>
      <c r="C23" s="698">
        <f>CONS_U.FIS!J12</f>
        <v>0</v>
      </c>
      <c r="D23" s="698">
        <f>CONS_U.FIS!J26</f>
        <v>0</v>
      </c>
      <c r="E23" s="698">
        <f>CONS_U.FIS!J33</f>
        <v>0</v>
      </c>
      <c r="F23" s="699">
        <f>CONS_U.FIS!J44</f>
        <v>131.38269099999997</v>
      </c>
      <c r="G23" s="699">
        <f>SUM(C23:F23)</f>
        <v>131.38269099999997</v>
      </c>
      <c r="H23" s="699">
        <f>CONS_U.FIS!J57</f>
        <v>0</v>
      </c>
      <c r="I23" s="700">
        <f>G23+H23</f>
        <v>131.38269099999997</v>
      </c>
      <c r="J23" s="1141"/>
      <c r="K23" s="1141"/>
      <c r="L23" s="224"/>
    </row>
    <row r="24" spans="1:12">
      <c r="A24" s="459"/>
      <c r="B24" s="701" t="s">
        <v>177</v>
      </c>
      <c r="C24" s="698"/>
      <c r="D24" s="698"/>
      <c r="E24" s="698"/>
      <c r="F24" s="699"/>
      <c r="G24" s="699"/>
      <c r="H24" s="699"/>
      <c r="I24" s="700"/>
      <c r="J24" s="708"/>
      <c r="K24" s="708"/>
      <c r="L24" s="224"/>
    </row>
    <row r="25" spans="1:12">
      <c r="A25" s="459"/>
      <c r="B25" s="697" t="s">
        <v>78</v>
      </c>
      <c r="C25" s="698">
        <f>CONS_U.FIS!K12</f>
        <v>0</v>
      </c>
      <c r="D25" s="698">
        <f>CONS_U.FIS!K26</f>
        <v>0.78098591549295771</v>
      </c>
      <c r="E25" s="698">
        <f>CONS_U.FIS!K33</f>
        <v>0</v>
      </c>
      <c r="F25" s="699">
        <f>CONS_U.FIS!K44</f>
        <v>800.58413800000017</v>
      </c>
      <c r="G25" s="699">
        <f>SUM(C25:F25)</f>
        <v>801.36512391549309</v>
      </c>
      <c r="H25" s="699">
        <f>CONS_U.FIS!K57</f>
        <v>44.256811608920202</v>
      </c>
      <c r="I25" s="700">
        <f>G25+H25</f>
        <v>845.62193552441329</v>
      </c>
      <c r="J25" s="1141"/>
      <c r="K25" s="1141"/>
      <c r="L25" s="224"/>
    </row>
    <row r="26" spans="1:12">
      <c r="A26" s="459"/>
      <c r="B26" s="701" t="s">
        <v>177</v>
      </c>
      <c r="C26" s="698"/>
      <c r="D26" s="698"/>
      <c r="E26" s="698"/>
      <c r="F26" s="699"/>
      <c r="G26" s="699"/>
      <c r="H26" s="699"/>
      <c r="I26" s="700"/>
      <c r="J26" s="708"/>
      <c r="K26" s="708"/>
      <c r="L26" s="224"/>
    </row>
    <row r="27" spans="1:12">
      <c r="A27" s="459"/>
      <c r="B27" s="697" t="s">
        <v>35</v>
      </c>
      <c r="C27" s="698">
        <f>CONS_U.FIS!L12</f>
        <v>422.33260300000006</v>
      </c>
      <c r="D27" s="698">
        <f>CONS_U.FIS!L26</f>
        <v>36592.062617794902</v>
      </c>
      <c r="E27" s="698">
        <f>CONS_U.FIS!L33</f>
        <v>16860.266044440697</v>
      </c>
      <c r="F27" s="699">
        <f>CONS_U.FIS!L44</f>
        <v>2173.1461606347602</v>
      </c>
      <c r="G27" s="699">
        <f>SUM(C27:F27)</f>
        <v>56047.807425870356</v>
      </c>
      <c r="H27" s="699">
        <f>CONS_U.FIS!L57</f>
        <v>0</v>
      </c>
      <c r="I27" s="700">
        <f>G27+H27</f>
        <v>56047.807425870356</v>
      </c>
      <c r="J27" s="1141"/>
      <c r="K27" s="1141"/>
      <c r="L27" s="224"/>
    </row>
    <row r="28" spans="1:12">
      <c r="A28" s="459"/>
      <c r="B28" s="701" t="s">
        <v>180</v>
      </c>
      <c r="C28" s="698"/>
      <c r="D28" s="698"/>
      <c r="E28" s="698"/>
      <c r="F28" s="699"/>
      <c r="G28" s="699"/>
      <c r="H28" s="699"/>
      <c r="I28" s="700"/>
      <c r="J28" s="708"/>
      <c r="K28" s="708"/>
      <c r="L28" s="224"/>
    </row>
    <row r="29" spans="1:12">
      <c r="A29" s="459"/>
      <c r="B29" s="697" t="s">
        <v>24</v>
      </c>
      <c r="C29" s="698">
        <f>CONS_U.FIS!M12</f>
        <v>0</v>
      </c>
      <c r="D29" s="698">
        <f>CONS_U.FIS!M26</f>
        <v>308.28077345508723</v>
      </c>
      <c r="E29" s="698">
        <f>CONS_U.FIS!M33</f>
        <v>3.9216571428571432</v>
      </c>
      <c r="F29" s="699">
        <f>CONS_U.FIS!M44</f>
        <v>0</v>
      </c>
      <c r="G29" s="699">
        <f>SUM(C29:F29)</f>
        <v>312.20243059794439</v>
      </c>
      <c r="H29" s="699">
        <f>CONS_U.FIS!M57</f>
        <v>5394.4153958655052</v>
      </c>
      <c r="I29" s="700">
        <f>G29+H29</f>
        <v>5706.6178264634491</v>
      </c>
      <c r="J29" s="1141"/>
      <c r="K29" s="1141"/>
      <c r="L29" s="224"/>
    </row>
    <row r="30" spans="1:12">
      <c r="A30" s="459"/>
      <c r="B30" s="701" t="s">
        <v>178</v>
      </c>
      <c r="C30" s="698"/>
      <c r="D30" s="698"/>
      <c r="E30" s="698"/>
      <c r="F30" s="699"/>
      <c r="G30" s="699"/>
      <c r="H30" s="699"/>
      <c r="I30" s="700"/>
      <c r="J30" s="708"/>
      <c r="K30" s="708"/>
      <c r="L30" s="224"/>
    </row>
    <row r="31" spans="1:12">
      <c r="A31" s="459"/>
      <c r="B31" s="697" t="s">
        <v>80</v>
      </c>
      <c r="C31" s="698">
        <f>CONS_U.FIS!N12</f>
        <v>0</v>
      </c>
      <c r="D31" s="698">
        <f>CONS_U.FIS!N26</f>
        <v>583.47878579864152</v>
      </c>
      <c r="E31" s="698">
        <f>CONS_U.FIS!N33</f>
        <v>0</v>
      </c>
      <c r="F31" s="699">
        <f>CONS_U.FIS!N44</f>
        <v>0</v>
      </c>
      <c r="G31" s="699">
        <f>SUM(C31:F31)</f>
        <v>583.47878579864152</v>
      </c>
      <c r="H31" s="699">
        <f>CONS_U.FIS!N57</f>
        <v>874.68654959565754</v>
      </c>
      <c r="I31" s="700">
        <f>G31+H31</f>
        <v>1458.1653353942991</v>
      </c>
      <c r="J31" s="1141"/>
      <c r="K31" s="1141"/>
      <c r="L31" s="224"/>
    </row>
    <row r="32" spans="1:12">
      <c r="A32" s="459"/>
      <c r="B32" s="701" t="s">
        <v>178</v>
      </c>
      <c r="C32" s="698"/>
      <c r="D32" s="698"/>
      <c r="E32" s="698"/>
      <c r="F32" s="699"/>
      <c r="G32" s="699"/>
      <c r="H32" s="699"/>
      <c r="I32" s="700"/>
      <c r="J32" s="708"/>
      <c r="K32" s="708"/>
      <c r="L32" s="224"/>
    </row>
    <row r="33" spans="1:12">
      <c r="A33" s="459"/>
      <c r="B33" s="697" t="s">
        <v>181</v>
      </c>
      <c r="C33" s="698">
        <f>CONS_U.FIS!O12</f>
        <v>0</v>
      </c>
      <c r="D33" s="698">
        <f>CONS_U.FIS!O26</f>
        <v>0</v>
      </c>
      <c r="E33" s="698">
        <f>CONS_U.FIS!O33</f>
        <v>0</v>
      </c>
      <c r="F33" s="699">
        <f>CONS_U.FIS!O44</f>
        <v>15762.980769230771</v>
      </c>
      <c r="G33" s="699">
        <f>SUM(C33:F33)</f>
        <v>15762.980769230771</v>
      </c>
      <c r="H33" s="699">
        <f>CONS_U.FIS!O57</f>
        <v>0</v>
      </c>
      <c r="I33" s="700">
        <f>G33+H33</f>
        <v>15762.980769230771</v>
      </c>
      <c r="J33" s="1141"/>
      <c r="K33" s="1141"/>
      <c r="L33" s="224"/>
    </row>
    <row r="34" spans="1:12">
      <c r="A34" s="459"/>
      <c r="B34" s="701" t="s">
        <v>177</v>
      </c>
      <c r="C34" s="698"/>
      <c r="D34" s="698"/>
      <c r="E34" s="698"/>
      <c r="F34" s="699"/>
      <c r="G34" s="699"/>
      <c r="H34" s="699"/>
      <c r="I34" s="700"/>
      <c r="J34" s="708"/>
      <c r="K34" s="708"/>
      <c r="L34" s="224"/>
    </row>
    <row r="35" spans="1:12">
      <c r="A35" s="459"/>
      <c r="B35" s="697" t="s">
        <v>37</v>
      </c>
      <c r="C35" s="698">
        <f>CONS_U.FIS!P12</f>
        <v>0</v>
      </c>
      <c r="D35" s="698">
        <f>CONS_U.FIS!P26</f>
        <v>177.31257627103733</v>
      </c>
      <c r="E35" s="698">
        <f>CONS_U.FIS!P33</f>
        <v>58.540357558386617</v>
      </c>
      <c r="F35" s="699">
        <f>CONS_U.FIS!P44</f>
        <v>67.550708322204429</v>
      </c>
      <c r="G35" s="699">
        <f>SUM(C35:F35)</f>
        <v>303.40364215162833</v>
      </c>
      <c r="H35" s="699">
        <f>CONS_U.FIS!P57</f>
        <v>0</v>
      </c>
      <c r="I35" s="700">
        <f>G35+H35</f>
        <v>303.40364215162833</v>
      </c>
      <c r="J35" s="1141"/>
      <c r="K35" s="1141"/>
      <c r="L35" s="224"/>
    </row>
    <row r="36" spans="1:12">
      <c r="A36" s="459"/>
      <c r="B36" s="701" t="s">
        <v>179</v>
      </c>
      <c r="C36" s="698"/>
      <c r="D36" s="698"/>
      <c r="E36" s="698"/>
      <c r="F36" s="699"/>
      <c r="G36" s="699"/>
      <c r="H36" s="699"/>
      <c r="I36" s="700"/>
      <c r="J36" s="708"/>
      <c r="K36" s="708"/>
      <c r="L36" s="224"/>
    </row>
    <row r="37" spans="1:12">
      <c r="A37" s="459"/>
      <c r="B37" s="697" t="s">
        <v>83</v>
      </c>
      <c r="C37" s="698">
        <f>CONS_U.FIS!Q12</f>
        <v>0</v>
      </c>
      <c r="D37" s="698">
        <f>CONS_U.FIS!Q26</f>
        <v>184.00444444444446</v>
      </c>
      <c r="E37" s="698">
        <f>CONS_U.FIS!Q33</f>
        <v>0</v>
      </c>
      <c r="F37" s="699">
        <f>CONS_U.FIS!Q44</f>
        <v>793.5</v>
      </c>
      <c r="G37" s="699">
        <f>SUM(C37:F37)</f>
        <v>977.50444444444452</v>
      </c>
      <c r="H37" s="699">
        <f>CONS_U.FIS!Q57</f>
        <v>0</v>
      </c>
      <c r="I37" s="700">
        <f>G37+H37</f>
        <v>977.50444444444452</v>
      </c>
      <c r="J37" s="1141"/>
      <c r="K37" s="1141"/>
      <c r="L37" s="224"/>
    </row>
    <row r="38" spans="1:12">
      <c r="A38" s="459"/>
      <c r="B38" s="701" t="s">
        <v>178</v>
      </c>
      <c r="C38" s="698"/>
      <c r="D38" s="698"/>
      <c r="E38" s="698"/>
      <c r="F38" s="699"/>
      <c r="G38" s="699"/>
      <c r="H38" s="699"/>
      <c r="I38" s="700"/>
      <c r="J38" s="708"/>
      <c r="K38" s="708"/>
      <c r="L38" s="224"/>
    </row>
    <row r="39" spans="1:12">
      <c r="A39" s="459"/>
      <c r="B39" s="697" t="s">
        <v>189</v>
      </c>
      <c r="C39" s="698">
        <f>CONS_U.FIS!R12</f>
        <v>23.90530813912628</v>
      </c>
      <c r="D39" s="698">
        <f>CONS_U.FIS!R26</f>
        <v>162.49652436348717</v>
      </c>
      <c r="E39" s="698">
        <f>CONS_U.FIS!R33</f>
        <v>595.47301969646048</v>
      </c>
      <c r="F39" s="699">
        <f>CONS_U.FIS!R44</f>
        <v>1.189901204344038</v>
      </c>
      <c r="G39" s="699">
        <f>SUM(C39:F39)</f>
        <v>783.06475340341797</v>
      </c>
      <c r="H39" s="699">
        <f>CONS_U.FIS!R57</f>
        <v>2397.9752318253586</v>
      </c>
      <c r="I39" s="700">
        <f>G39+H39</f>
        <v>3181.0399852287765</v>
      </c>
      <c r="J39" s="1141"/>
      <c r="K39" s="1141"/>
      <c r="L39" s="224"/>
    </row>
    <row r="40" spans="1:12">
      <c r="A40" s="459"/>
      <c r="B40" s="701" t="s">
        <v>179</v>
      </c>
      <c r="C40" s="698"/>
      <c r="D40" s="698"/>
      <c r="E40" s="698"/>
      <c r="F40" s="699"/>
      <c r="G40" s="699"/>
      <c r="H40" s="699"/>
      <c r="I40" s="700"/>
      <c r="J40" s="708"/>
      <c r="K40" s="708"/>
      <c r="L40" s="224"/>
    </row>
    <row r="41" spans="1:12">
      <c r="A41" s="459"/>
      <c r="B41" s="697" t="s">
        <v>39</v>
      </c>
      <c r="C41" s="698">
        <f>CONS_U.FIS!S12</f>
        <v>0</v>
      </c>
      <c r="D41" s="698">
        <f>CONS_U.FIS!S26</f>
        <v>82.591192661531636</v>
      </c>
      <c r="E41" s="698">
        <f>CONS_U.FIS!S33</f>
        <v>0</v>
      </c>
      <c r="F41" s="699">
        <f>CONS_U.FIS!S44</f>
        <v>0</v>
      </c>
      <c r="G41" s="699">
        <f>SUM(C41:F41)</f>
        <v>82.591192661531636</v>
      </c>
      <c r="H41" s="699">
        <f>CONS_U.FIS!S57</f>
        <v>0</v>
      </c>
      <c r="I41" s="700">
        <f>G41+H41</f>
        <v>82.591192661531636</v>
      </c>
      <c r="J41" s="1141"/>
      <c r="K41" s="1141"/>
      <c r="L41" s="224"/>
    </row>
    <row r="42" spans="1:12">
      <c r="A42" s="459"/>
      <c r="B42" s="701" t="s">
        <v>178</v>
      </c>
      <c r="C42" s="698"/>
      <c r="D42" s="698"/>
      <c r="E42" s="698"/>
      <c r="F42" s="699"/>
      <c r="G42" s="699"/>
      <c r="H42" s="699"/>
      <c r="I42" s="700"/>
      <c r="J42" s="708"/>
      <c r="K42" s="708"/>
      <c r="L42" s="224"/>
    </row>
    <row r="43" spans="1:12">
      <c r="A43" s="459"/>
      <c r="B43" s="697" t="s">
        <v>26</v>
      </c>
      <c r="C43" s="698">
        <f>CONS_U.FIS!U12</f>
        <v>0</v>
      </c>
      <c r="D43" s="698">
        <f>CONS_U.FIS!U26</f>
        <v>4499.1606007258388</v>
      </c>
      <c r="E43" s="698">
        <f>CONS_U.FIS!U33</f>
        <v>8472.2122023734555</v>
      </c>
      <c r="F43" s="699">
        <f>CONS_U.FIS!U44</f>
        <v>0</v>
      </c>
      <c r="G43" s="699">
        <f>SUM(C43:F43)</f>
        <v>12971.372803099293</v>
      </c>
      <c r="H43" s="699">
        <f>CONS_U.FIS!U57</f>
        <v>1680.0521138285931</v>
      </c>
      <c r="I43" s="700">
        <f>G43+H43</f>
        <v>14651.424916927886</v>
      </c>
      <c r="J43" s="1141"/>
      <c r="K43" s="1141"/>
      <c r="L43" s="224"/>
    </row>
    <row r="44" spans="1:12">
      <c r="A44" s="459"/>
      <c r="B44" s="701" t="s">
        <v>178</v>
      </c>
      <c r="C44" s="698"/>
      <c r="D44" s="698"/>
      <c r="E44" s="698"/>
      <c r="F44" s="699"/>
      <c r="G44" s="699"/>
      <c r="H44" s="699"/>
      <c r="I44" s="700"/>
      <c r="J44" s="708"/>
      <c r="K44" s="708"/>
      <c r="L44" s="224"/>
    </row>
    <row r="45" spans="1:12">
      <c r="A45" s="459"/>
      <c r="B45" s="697" t="s">
        <v>27</v>
      </c>
      <c r="C45" s="698">
        <f>CONS_U.FIS!T12</f>
        <v>0</v>
      </c>
      <c r="D45" s="698">
        <f>CONS_U.FIS!T26</f>
        <v>0</v>
      </c>
      <c r="E45" s="698">
        <f>CONS_U.FIS!T33</f>
        <v>0</v>
      </c>
      <c r="F45" s="698">
        <f>CONS_U.FIS!T44</f>
        <v>0</v>
      </c>
      <c r="G45" s="699">
        <f>SUM(C45:F45)</f>
        <v>0</v>
      </c>
      <c r="H45" s="699">
        <f>CONS_U.FIS!T57</f>
        <v>12.285881904209313</v>
      </c>
      <c r="I45" s="700">
        <f>G45+H45</f>
        <v>12.285881904209313</v>
      </c>
      <c r="J45" s="1141"/>
      <c r="K45" s="708"/>
      <c r="L45" s="224"/>
    </row>
    <row r="46" spans="1:12" ht="13.5" thickBot="1">
      <c r="A46" s="459"/>
      <c r="B46" s="703" t="s">
        <v>179</v>
      </c>
      <c r="C46" s="704"/>
      <c r="D46" s="704"/>
      <c r="E46" s="704"/>
      <c r="F46" s="704"/>
      <c r="G46" s="704"/>
      <c r="H46" s="704"/>
      <c r="I46" s="705"/>
      <c r="J46" s="1141"/>
      <c r="K46" s="708"/>
      <c r="L46" s="224"/>
    </row>
    <row r="47" spans="1:12">
      <c r="A47" s="459"/>
      <c r="B47" s="767" t="s">
        <v>16</v>
      </c>
      <c r="C47" s="707"/>
      <c r="D47" s="707"/>
      <c r="E47" s="707"/>
      <c r="F47" s="707"/>
      <c r="G47" s="707"/>
      <c r="H47" s="707"/>
      <c r="I47" s="707"/>
      <c r="J47" s="1141"/>
      <c r="K47" s="708"/>
      <c r="L47" s="224"/>
    </row>
    <row r="48" spans="1:12">
      <c r="A48" s="459"/>
      <c r="B48" s="455" t="s">
        <v>795</v>
      </c>
      <c r="C48" s="455"/>
      <c r="D48" s="455"/>
      <c r="E48" s="455"/>
      <c r="F48" s="455"/>
      <c r="G48" s="455"/>
      <c r="H48" s="455"/>
      <c r="I48" s="455"/>
      <c r="J48" s="415"/>
      <c r="K48" s="415"/>
      <c r="L48" s="6"/>
    </row>
    <row r="49" spans="1:12">
      <c r="A49" s="459"/>
      <c r="B49" s="455" t="s">
        <v>773</v>
      </c>
      <c r="C49" s="455"/>
      <c r="D49" s="455"/>
      <c r="E49" s="455"/>
      <c r="F49" s="455"/>
      <c r="G49" s="455"/>
      <c r="H49" s="455"/>
      <c r="I49" s="455"/>
      <c r="J49" s="415"/>
      <c r="K49" s="415"/>
      <c r="L49" s="6"/>
    </row>
    <row r="50" spans="1:12">
      <c r="A50" s="459"/>
      <c r="B50" s="708"/>
      <c r="C50" s="708"/>
      <c r="D50" s="708"/>
      <c r="E50" s="708"/>
      <c r="F50" s="708"/>
      <c r="G50" s="708"/>
      <c r="H50" s="708"/>
      <c r="I50" s="708"/>
      <c r="J50" s="708"/>
      <c r="K50" s="708"/>
      <c r="L50" s="224"/>
    </row>
    <row r="51" spans="1:12">
      <c r="A51" s="459"/>
      <c r="B51" s="708"/>
      <c r="C51" s="708"/>
      <c r="D51" s="708"/>
      <c r="E51" s="708"/>
      <c r="F51" s="708"/>
      <c r="G51" s="708"/>
      <c r="H51" s="708"/>
      <c r="I51" s="708"/>
      <c r="J51" s="708"/>
      <c r="K51" s="708"/>
      <c r="L51" s="224"/>
    </row>
    <row r="52" spans="1:12">
      <c r="A52" s="459"/>
      <c r="B52" s="708"/>
      <c r="C52" s="708"/>
      <c r="D52" s="708"/>
      <c r="E52" s="708"/>
      <c r="F52" s="708"/>
      <c r="G52" s="708"/>
      <c r="H52" s="708"/>
      <c r="I52" s="708"/>
      <c r="J52" s="708"/>
      <c r="K52" s="708"/>
      <c r="L52" s="224"/>
    </row>
    <row r="53" spans="1:12">
      <c r="A53" s="459"/>
      <c r="B53" s="708"/>
      <c r="C53" s="708"/>
      <c r="D53" s="708"/>
      <c r="E53" s="708"/>
      <c r="F53" s="708"/>
      <c r="G53" s="708"/>
      <c r="H53" s="708"/>
      <c r="I53" s="708"/>
      <c r="J53" s="708"/>
      <c r="K53" s="708"/>
      <c r="L53" s="224"/>
    </row>
    <row r="54" spans="1:12">
      <c r="A54" s="459"/>
      <c r="B54" s="708"/>
      <c r="C54" s="708"/>
      <c r="D54" s="708"/>
      <c r="E54" s="708"/>
      <c r="F54" s="708"/>
      <c r="G54" s="708"/>
      <c r="H54" s="708"/>
      <c r="I54" s="708"/>
      <c r="J54" s="708"/>
      <c r="K54" s="708"/>
      <c r="L54" s="224"/>
    </row>
    <row r="55" spans="1:12">
      <c r="A55" s="459"/>
      <c r="B55" s="62"/>
      <c r="C55" s="62"/>
      <c r="D55" s="62"/>
      <c r="E55" s="62"/>
      <c r="F55" s="62"/>
      <c r="G55" s="62"/>
      <c r="H55" s="62"/>
      <c r="I55" s="62"/>
      <c r="J55" s="62"/>
      <c r="K55" s="62"/>
    </row>
    <row r="56" spans="1:12">
      <c r="A56" s="459"/>
      <c r="B56" s="62"/>
      <c r="C56" s="62"/>
      <c r="D56" s="62"/>
      <c r="E56" s="62"/>
      <c r="F56" s="62"/>
      <c r="G56" s="62"/>
      <c r="H56" s="62"/>
      <c r="I56" s="62"/>
      <c r="J56" s="62"/>
      <c r="K56" s="62"/>
    </row>
    <row r="57" spans="1:12">
      <c r="A57" s="459"/>
      <c r="B57" s="62"/>
      <c r="C57" s="62"/>
      <c r="D57" s="62"/>
      <c r="E57" s="62"/>
      <c r="F57" s="62"/>
      <c r="G57" s="62"/>
      <c r="H57" s="62"/>
      <c r="I57" s="62"/>
      <c r="J57" s="62"/>
      <c r="K57" s="62"/>
    </row>
    <row r="58" spans="1:12">
      <c r="A58" s="459"/>
      <c r="B58" s="62"/>
      <c r="C58" s="62"/>
      <c r="D58" s="62"/>
      <c r="E58" s="62"/>
      <c r="F58" s="62"/>
      <c r="G58" s="62"/>
      <c r="H58" s="62"/>
      <c r="I58" s="62"/>
      <c r="J58" s="62"/>
      <c r="K58" s="62"/>
    </row>
    <row r="59" spans="1:12">
      <c r="B59" s="3"/>
      <c r="C59" s="3"/>
      <c r="D59" s="3"/>
      <c r="E59" s="3"/>
      <c r="F59" s="3"/>
      <c r="G59" s="3"/>
      <c r="H59" s="3"/>
      <c r="I59" s="3"/>
    </row>
    <row r="60" spans="1:12">
      <c r="B60" s="3"/>
      <c r="C60" s="3"/>
      <c r="D60" s="3"/>
      <c r="E60" s="3"/>
      <c r="F60" s="3"/>
      <c r="G60" s="3"/>
      <c r="H60" s="3"/>
      <c r="I60" s="3"/>
    </row>
    <row r="61" spans="1:12">
      <c r="B61" s="3"/>
      <c r="C61" s="3"/>
      <c r="D61" s="3"/>
      <c r="E61" s="3"/>
      <c r="F61" s="3"/>
      <c r="G61" s="3"/>
      <c r="H61" s="3"/>
      <c r="I61" s="3"/>
    </row>
    <row r="62" spans="1:12">
      <c r="B62" s="3"/>
      <c r="C62" s="3"/>
      <c r="D62" s="3"/>
      <c r="E62" s="3"/>
      <c r="F62" s="3"/>
      <c r="G62" s="3"/>
      <c r="H62" s="3"/>
      <c r="I62" s="3"/>
    </row>
    <row r="63" spans="1:12">
      <c r="B63" s="3"/>
      <c r="C63" s="3"/>
      <c r="D63" s="3"/>
      <c r="E63" s="3"/>
      <c r="F63" s="3"/>
      <c r="G63" s="3"/>
      <c r="H63" s="3"/>
      <c r="I63" s="3"/>
    </row>
    <row r="64" spans="1:12">
      <c r="A64" s="3"/>
      <c r="B64" s="3"/>
      <c r="C64" s="3"/>
      <c r="D64" s="3"/>
      <c r="E64" s="3"/>
      <c r="F64" s="3"/>
      <c r="G64" s="3"/>
      <c r="H64" s="3"/>
      <c r="I64" s="3"/>
    </row>
    <row r="65" s="3" customFormat="1"/>
    <row r="66" s="3" customFormat="1"/>
    <row r="67" s="3" customFormat="1"/>
    <row r="68" s="3" customFormat="1"/>
    <row r="69" s="3" customFormat="1"/>
    <row r="70" s="3" customFormat="1"/>
    <row r="71" s="3" customFormat="1"/>
    <row r="72" s="3" customFormat="1"/>
    <row r="73" s="3" customFormat="1"/>
    <row r="74" s="3" customFormat="1"/>
    <row r="75" s="3" customFormat="1"/>
    <row r="76" s="3" customFormat="1"/>
    <row r="77" s="3" customFormat="1"/>
    <row r="78" s="3" customFormat="1"/>
    <row r="79" s="3" customFormat="1"/>
    <row r="80" s="3" customFormat="1"/>
    <row r="81" s="3" customFormat="1"/>
    <row r="82" s="3" customFormat="1"/>
    <row r="83" s="3" customFormat="1"/>
    <row r="84" s="3" customFormat="1"/>
    <row r="85" s="3" customFormat="1"/>
    <row r="86" s="3" customFormat="1"/>
    <row r="87" s="3" customFormat="1"/>
    <row r="88" s="3" customFormat="1"/>
    <row r="89" s="3" customFormat="1"/>
    <row r="90" s="3" customFormat="1"/>
    <row r="91" s="3" customFormat="1"/>
    <row r="92" s="3" customFormat="1"/>
    <row r="93" s="3" customFormat="1"/>
    <row r="94" s="3" customFormat="1"/>
    <row r="95" s="3" customFormat="1"/>
    <row r="96" s="3" customFormat="1"/>
    <row r="97" s="3" customFormat="1"/>
    <row r="98" s="3" customFormat="1"/>
    <row r="99" s="3" customFormat="1"/>
    <row r="100" s="3" customFormat="1"/>
    <row r="101" s="3" customFormat="1"/>
    <row r="102" s="3" customFormat="1"/>
    <row r="103" s="3" customFormat="1"/>
    <row r="104" s="3" customFormat="1"/>
    <row r="105" s="3" customFormat="1"/>
    <row r="106" s="3" customFormat="1"/>
    <row r="107" s="3" customFormat="1"/>
    <row r="108" s="3" customFormat="1"/>
    <row r="109" s="3" customFormat="1"/>
    <row r="110" s="3" customFormat="1"/>
    <row r="111" s="3" customFormat="1"/>
    <row r="112" s="3" customFormat="1"/>
    <row r="113" s="3" customFormat="1"/>
    <row r="114" s="3" customFormat="1"/>
    <row r="115" s="3" customFormat="1"/>
    <row r="116" s="3" customFormat="1"/>
    <row r="117" s="3" customFormat="1"/>
    <row r="118" s="3" customFormat="1"/>
    <row r="119" s="3" customFormat="1"/>
    <row r="120" s="3" customFormat="1"/>
    <row r="121" s="3" customFormat="1"/>
    <row r="122" s="3" customFormat="1"/>
    <row r="123" s="3" customFormat="1"/>
    <row r="124" s="3" customFormat="1"/>
    <row r="125" s="3" customFormat="1"/>
    <row r="126" s="3" customFormat="1"/>
    <row r="127" s="3" customFormat="1"/>
    <row r="128" s="3" customFormat="1"/>
    <row r="129" s="3" customFormat="1"/>
    <row r="130" s="3" customFormat="1"/>
    <row r="131" s="3" customFormat="1"/>
    <row r="132" s="3" customFormat="1"/>
    <row r="133" s="3" customFormat="1"/>
    <row r="134" s="3" customFormat="1"/>
    <row r="135" s="3" customFormat="1"/>
    <row r="136" s="3" customFormat="1"/>
  </sheetData>
  <phoneticPr fontId="0" type="noConversion"/>
  <hyperlinks>
    <hyperlink ref="J3" location="INDICE!A40" display="VOLVER A INDICE"/>
  </hyperlinks>
  <pageMargins left="0.75" right="0.75" top="1" bottom="1" header="0" footer="0"/>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85"/>
  <sheetViews>
    <sheetView workbookViewId="0">
      <selection activeCell="I23" sqref="I23"/>
    </sheetView>
  </sheetViews>
  <sheetFormatPr baseColWidth="10" defaultRowHeight="12.75"/>
  <cols>
    <col min="1" max="1" width="1.5703125" style="260" customWidth="1"/>
    <col min="2" max="2" width="30" style="260" customWidth="1"/>
    <col min="3" max="7" width="11.42578125" style="260"/>
    <col min="8" max="17" width="11.42578125" style="3"/>
    <col min="18" max="16384" width="11.42578125" style="260"/>
  </cols>
  <sheetData>
    <row r="1" spans="1:9" ht="4.5" customHeight="1" thickBot="1">
      <c r="A1" s="459"/>
      <c r="B1" s="459"/>
      <c r="C1" s="459"/>
      <c r="D1" s="459"/>
      <c r="E1" s="459"/>
      <c r="F1" s="459"/>
      <c r="G1" s="459"/>
      <c r="H1" s="62"/>
      <c r="I1" s="62"/>
    </row>
    <row r="2" spans="1:9" ht="15.75" customHeight="1" thickBot="1">
      <c r="A2" s="459"/>
      <c r="B2" s="743"/>
      <c r="C2" s="744"/>
      <c r="D2" s="744"/>
      <c r="E2" s="744"/>
      <c r="F2" s="744"/>
      <c r="G2" s="745"/>
      <c r="H2" s="746"/>
      <c r="I2" s="746"/>
    </row>
    <row r="3" spans="1:9" ht="15.75">
      <c r="A3" s="459"/>
      <c r="B3" s="747" t="s">
        <v>190</v>
      </c>
      <c r="C3" s="748"/>
      <c r="D3" s="686" t="s">
        <v>90</v>
      </c>
      <c r="E3" s="748"/>
      <c r="F3" s="748"/>
      <c r="G3" s="749"/>
      <c r="H3" s="464" t="s">
        <v>606</v>
      </c>
      <c r="I3" s="746"/>
    </row>
    <row r="4" spans="1:9" ht="15.75">
      <c r="A4" s="459"/>
      <c r="B4" s="750"/>
      <c r="C4" s="751"/>
      <c r="D4" s="752" t="s">
        <v>774</v>
      </c>
      <c r="E4" s="751"/>
      <c r="F4" s="751"/>
      <c r="G4" s="753"/>
      <c r="H4" s="746"/>
      <c r="I4" s="746"/>
    </row>
    <row r="5" spans="1:9" ht="15.75">
      <c r="A5" s="459"/>
      <c r="B5" s="750"/>
      <c r="C5" s="751"/>
      <c r="D5" s="751" t="s">
        <v>191</v>
      </c>
      <c r="E5" s="751"/>
      <c r="F5" s="751"/>
      <c r="G5" s="753"/>
      <c r="H5" s="746"/>
      <c r="I5" s="746"/>
    </row>
    <row r="6" spans="1:9" ht="15.75">
      <c r="A6" s="459"/>
      <c r="B6" s="750"/>
      <c r="C6" s="751"/>
      <c r="D6" s="752" t="s">
        <v>513</v>
      </c>
      <c r="E6" s="751"/>
      <c r="F6" s="751"/>
      <c r="G6" s="753"/>
      <c r="H6" s="746"/>
      <c r="I6" s="746"/>
    </row>
    <row r="7" spans="1:9" ht="15.75">
      <c r="A7" s="459"/>
      <c r="B7" s="750"/>
      <c r="C7" s="751"/>
      <c r="D7" s="751"/>
      <c r="E7" s="751"/>
      <c r="F7" s="751"/>
      <c r="G7" s="753"/>
      <c r="H7" s="746"/>
      <c r="I7" s="746"/>
    </row>
    <row r="8" spans="1:9" ht="16.5" thickBot="1">
      <c r="A8" s="459"/>
      <c r="B8" s="754" t="s">
        <v>20</v>
      </c>
      <c r="C8" s="755" t="s">
        <v>104</v>
      </c>
      <c r="D8" s="755" t="s">
        <v>105</v>
      </c>
      <c r="E8" s="755" t="s">
        <v>106</v>
      </c>
      <c r="F8" s="755" t="s">
        <v>107</v>
      </c>
      <c r="G8" s="756" t="s">
        <v>28</v>
      </c>
      <c r="H8" s="746"/>
      <c r="I8" s="746"/>
    </row>
    <row r="9" spans="1:9">
      <c r="A9" s="459"/>
      <c r="B9" s="757" t="s">
        <v>192</v>
      </c>
      <c r="C9" s="768">
        <f>CONS_U.FIS!D7</f>
        <v>2.345032276</v>
      </c>
      <c r="D9" s="768">
        <f>CONS_U.FIS!D8</f>
        <v>0</v>
      </c>
      <c r="E9" s="768">
        <f>CONS_U.FIS!D9</f>
        <v>1014.6894738039998</v>
      </c>
      <c r="F9" s="768">
        <f>CONS_U.FIS!D10</f>
        <v>0</v>
      </c>
      <c r="G9" s="769">
        <f>SUM(C9:F9)</f>
        <v>1017.0345060799998</v>
      </c>
      <c r="H9" s="760"/>
      <c r="I9" s="746"/>
    </row>
    <row r="10" spans="1:9">
      <c r="A10" s="459"/>
      <c r="B10" s="761" t="s">
        <v>178</v>
      </c>
      <c r="C10" s="768"/>
      <c r="D10" s="768"/>
      <c r="E10" s="768"/>
      <c r="F10" s="768"/>
      <c r="G10" s="769"/>
      <c r="H10" s="746"/>
      <c r="I10" s="746"/>
    </row>
    <row r="11" spans="1:9">
      <c r="A11" s="459"/>
      <c r="B11" s="757" t="s">
        <v>72</v>
      </c>
      <c r="C11" s="768">
        <f>CONS_U.FIS!C7</f>
        <v>3840.7737850300005</v>
      </c>
      <c r="D11" s="768">
        <f>CONS_U.FIS!C8</f>
        <v>51.000885999999987</v>
      </c>
      <c r="E11" s="768">
        <f>CONS_U.FIS!C9</f>
        <v>370.70619132000002</v>
      </c>
      <c r="F11" s="768">
        <f>CONS_U.FIS!C10</f>
        <v>0.72099999999999997</v>
      </c>
      <c r="G11" s="769">
        <f>SUM(C11:F11)</f>
        <v>4263.2018623499998</v>
      </c>
      <c r="H11" s="760"/>
      <c r="I11" s="746"/>
    </row>
    <row r="12" spans="1:9">
      <c r="A12" s="459"/>
      <c r="B12" s="761" t="s">
        <v>177</v>
      </c>
      <c r="C12" s="768"/>
      <c r="D12" s="768"/>
      <c r="E12" s="768"/>
      <c r="F12" s="768"/>
      <c r="G12" s="769"/>
      <c r="H12" s="746"/>
      <c r="I12" s="746"/>
    </row>
    <row r="13" spans="1:9">
      <c r="A13" s="459"/>
      <c r="B13" s="757" t="s">
        <v>740</v>
      </c>
      <c r="C13" s="768">
        <f>CONS_U.FIS!E7</f>
        <v>3409.9182473899991</v>
      </c>
      <c r="D13" s="768">
        <f>CONS_U.FIS!E8</f>
        <v>0</v>
      </c>
      <c r="E13" s="768">
        <f>CONS_U.FIS!E9</f>
        <v>4.8058686100000001</v>
      </c>
      <c r="F13" s="768">
        <f>CONS_U.FIS!E10</f>
        <v>4.3999999999999991E-2</v>
      </c>
      <c r="G13" s="769">
        <f>SUM(C13:F13)</f>
        <v>3414.7681159999988</v>
      </c>
      <c r="H13" s="760"/>
      <c r="I13" s="746"/>
    </row>
    <row r="14" spans="1:9">
      <c r="A14" s="459"/>
      <c r="B14" s="761" t="s">
        <v>177</v>
      </c>
      <c r="C14" s="768"/>
      <c r="D14" s="768"/>
      <c r="E14" s="768"/>
      <c r="F14" s="768"/>
      <c r="G14" s="769"/>
      <c r="H14" s="746"/>
      <c r="I14" s="746"/>
    </row>
    <row r="15" spans="1:9">
      <c r="A15" s="459"/>
      <c r="B15" s="757" t="s">
        <v>193</v>
      </c>
      <c r="C15" s="768">
        <f>CONS_U.FIS!H7</f>
        <v>2.5000000000000001E-2</v>
      </c>
      <c r="D15" s="768">
        <f>CONS_U.FIS!H8</f>
        <v>0</v>
      </c>
      <c r="E15" s="768">
        <f>CONS_U.FIS!H9</f>
        <v>0</v>
      </c>
      <c r="F15" s="768">
        <f>CONS_U.FIS!H10</f>
        <v>7.0260000000000007</v>
      </c>
      <c r="G15" s="769">
        <f>SUM(C15:F15)</f>
        <v>7.051000000000001</v>
      </c>
      <c r="H15" s="760"/>
      <c r="I15" s="746"/>
    </row>
    <row r="16" spans="1:9">
      <c r="A16" s="459"/>
      <c r="B16" s="761" t="s">
        <v>177</v>
      </c>
      <c r="C16" s="768"/>
      <c r="D16" s="768"/>
      <c r="E16" s="768"/>
      <c r="F16" s="768"/>
      <c r="G16" s="769"/>
      <c r="H16" s="746"/>
      <c r="I16" s="746"/>
    </row>
    <row r="17" spans="1:9">
      <c r="A17" s="459"/>
      <c r="B17" s="757" t="s">
        <v>76</v>
      </c>
      <c r="C17" s="768">
        <f>CONS_U.FIS!I7</f>
        <v>0.23400000000000004</v>
      </c>
      <c r="D17" s="768">
        <f>CONS_U.FIS!I8</f>
        <v>0</v>
      </c>
      <c r="E17" s="768">
        <f>CONS_U.FIS!I9</f>
        <v>0.19500000000000001</v>
      </c>
      <c r="F17" s="768">
        <f>CONS_U.FIS!I10</f>
        <v>862.0227225319943</v>
      </c>
      <c r="G17" s="769">
        <f>SUM(C17:F17)</f>
        <v>862.45172253199428</v>
      </c>
      <c r="H17" s="760"/>
      <c r="I17" s="746"/>
    </row>
    <row r="18" spans="1:9">
      <c r="A18" s="459"/>
      <c r="B18" s="761" t="s">
        <v>177</v>
      </c>
      <c r="C18" s="768"/>
      <c r="D18" s="768"/>
      <c r="E18" s="768"/>
      <c r="F18" s="768"/>
      <c r="G18" s="769"/>
      <c r="H18" s="746"/>
      <c r="I18" s="746"/>
    </row>
    <row r="19" spans="1:9">
      <c r="A19" s="459"/>
      <c r="B19" s="351" t="s">
        <v>73</v>
      </c>
      <c r="C19" s="768">
        <f>CONS_U.FIS!F7</f>
        <v>7.468</v>
      </c>
      <c r="D19" s="768">
        <f>CONS_U.FIS!F8</f>
        <v>0</v>
      </c>
      <c r="E19" s="768">
        <f>CONS_U.FIS!F9</f>
        <v>0.19</v>
      </c>
      <c r="F19" s="768">
        <f>CONS_U.FIS!F10</f>
        <v>0</v>
      </c>
      <c r="G19" s="769">
        <f>SUM(C19:F19)</f>
        <v>7.6580000000000004</v>
      </c>
      <c r="H19" s="746"/>
      <c r="I19" s="746"/>
    </row>
    <row r="20" spans="1:9">
      <c r="A20" s="459"/>
      <c r="B20" s="761" t="s">
        <v>177</v>
      </c>
      <c r="C20" s="768"/>
      <c r="D20" s="768"/>
      <c r="E20" s="768"/>
      <c r="F20" s="768"/>
      <c r="G20" s="769"/>
      <c r="H20" s="746"/>
      <c r="I20" s="746"/>
    </row>
    <row r="21" spans="1:9">
      <c r="A21" s="459"/>
      <c r="B21" s="351" t="s">
        <v>74</v>
      </c>
      <c r="C21" s="768">
        <f>CONS_U.FIS!G7</f>
        <v>5.6894054512072891</v>
      </c>
      <c r="D21" s="768">
        <f>CONS_U.FIS!G8</f>
        <v>0</v>
      </c>
      <c r="E21" s="768">
        <f>CONS_U.FIS!G9</f>
        <v>5.5218680895368581E-4</v>
      </c>
      <c r="F21" s="768">
        <f>CONS_U.FIS!G10</f>
        <v>0</v>
      </c>
      <c r="G21" s="769">
        <f>SUM(C21:F21)</f>
        <v>5.6899576380162431</v>
      </c>
      <c r="H21" s="746"/>
      <c r="I21" s="746"/>
    </row>
    <row r="22" spans="1:9">
      <c r="A22" s="459"/>
      <c r="B22" s="761" t="s">
        <v>178</v>
      </c>
      <c r="C22" s="768"/>
      <c r="D22" s="768"/>
      <c r="E22" s="768"/>
      <c r="F22" s="768"/>
      <c r="G22" s="769"/>
      <c r="H22" s="746"/>
      <c r="I22" s="746"/>
    </row>
    <row r="23" spans="1:9">
      <c r="A23" s="459"/>
      <c r="B23" s="757" t="s">
        <v>35</v>
      </c>
      <c r="C23" s="768">
        <f>CONS_U.FIS!L7</f>
        <v>370.30869100000001</v>
      </c>
      <c r="D23" s="768">
        <f>CONS_U.FIS!L8</f>
        <v>52.02391200000001</v>
      </c>
      <c r="E23" s="768">
        <f>CONS_U.FIS!L9</f>
        <v>0</v>
      </c>
      <c r="F23" s="768">
        <f>CONS_U.FIS!L10</f>
        <v>0</v>
      </c>
      <c r="G23" s="769">
        <f>SUM(C23:F23)</f>
        <v>422.33260300000001</v>
      </c>
      <c r="H23" s="760"/>
      <c r="I23" s="762"/>
    </row>
    <row r="24" spans="1:9">
      <c r="A24" s="459"/>
      <c r="B24" s="761" t="s">
        <v>180</v>
      </c>
      <c r="C24" s="768"/>
      <c r="D24" s="768"/>
      <c r="E24" s="768"/>
      <c r="F24" s="768"/>
      <c r="G24" s="769"/>
      <c r="H24" s="746"/>
      <c r="I24" s="746"/>
    </row>
    <row r="25" spans="1:9">
      <c r="A25" s="459"/>
      <c r="B25" s="757" t="s">
        <v>23</v>
      </c>
      <c r="C25" s="768">
        <f>CONS_U.FIS!R7</f>
        <v>23.90530813912628</v>
      </c>
      <c r="D25" s="768">
        <f>CONS_U.FIS!R8</f>
        <v>0</v>
      </c>
      <c r="E25" s="768">
        <f>CONS_U.FIS!R9</f>
        <v>0</v>
      </c>
      <c r="F25" s="768">
        <f>CONS_U.FIS!R10</f>
        <v>0</v>
      </c>
      <c r="G25" s="769">
        <f>SUM(C25:F25)</f>
        <v>23.90530813912628</v>
      </c>
      <c r="H25" s="760"/>
      <c r="I25" s="746"/>
    </row>
    <row r="26" spans="1:9">
      <c r="A26" s="459"/>
      <c r="B26" s="761" t="s">
        <v>179</v>
      </c>
      <c r="C26" s="768"/>
      <c r="D26" s="768"/>
      <c r="E26" s="768"/>
      <c r="F26" s="768"/>
      <c r="G26" s="769"/>
      <c r="H26" s="746"/>
      <c r="I26" s="746"/>
    </row>
    <row r="27" spans="1:9">
      <c r="A27" s="459"/>
      <c r="B27" s="757" t="s">
        <v>24</v>
      </c>
      <c r="C27" s="768">
        <f>CONS_U.FIS!M7</f>
        <v>0</v>
      </c>
      <c r="D27" s="768">
        <f>CONS_U.FIS!M8</f>
        <v>0</v>
      </c>
      <c r="E27" s="768">
        <f>CONS_U.FIS!M9</f>
        <v>0</v>
      </c>
      <c r="F27" s="768">
        <f>CONS_U.FIS!M10</f>
        <v>0</v>
      </c>
      <c r="G27" s="769">
        <f>SUM(C27:F27)</f>
        <v>0</v>
      </c>
      <c r="H27" s="760"/>
      <c r="I27" s="746"/>
    </row>
    <row r="28" spans="1:9">
      <c r="A28" s="459"/>
      <c r="B28" s="761" t="s">
        <v>178</v>
      </c>
      <c r="C28" s="758"/>
      <c r="D28" s="758"/>
      <c r="E28" s="758"/>
      <c r="F28" s="758"/>
      <c r="G28" s="759"/>
      <c r="H28" s="746"/>
      <c r="I28" s="746"/>
    </row>
    <row r="29" spans="1:9" ht="13.5" thickBot="1">
      <c r="A29" s="459"/>
      <c r="B29" s="763"/>
      <c r="C29" s="764"/>
      <c r="D29" s="764"/>
      <c r="E29" s="764"/>
      <c r="F29" s="764"/>
      <c r="G29" s="765"/>
      <c r="H29" s="746"/>
      <c r="I29" s="746"/>
    </row>
    <row r="30" spans="1:9">
      <c r="A30" s="459"/>
      <c r="B30" s="767" t="s">
        <v>16</v>
      </c>
      <c r="C30" s="766"/>
      <c r="D30" s="766"/>
      <c r="E30" s="766"/>
      <c r="F30" s="766"/>
      <c r="G30" s="766"/>
      <c r="H30" s="746"/>
      <c r="I30" s="746"/>
    </row>
    <row r="31" spans="1:9">
      <c r="A31" s="459"/>
      <c r="B31" s="455" t="s">
        <v>795</v>
      </c>
      <c r="C31" s="455"/>
      <c r="D31" s="455"/>
      <c r="E31" s="455"/>
      <c r="F31" s="455"/>
      <c r="G31" s="455"/>
      <c r="H31" s="455"/>
      <c r="I31" s="415"/>
    </row>
    <row r="32" spans="1:9">
      <c r="A32" s="459"/>
      <c r="B32" s="455" t="s">
        <v>773</v>
      </c>
      <c r="C32" s="455"/>
      <c r="D32" s="455"/>
      <c r="E32" s="455"/>
      <c r="F32" s="455"/>
      <c r="G32" s="455"/>
      <c r="H32" s="455"/>
      <c r="I32" s="415"/>
    </row>
    <row r="33" spans="1:9">
      <c r="A33" s="459"/>
      <c r="B33" s="746"/>
      <c r="C33" s="746"/>
      <c r="D33" s="746"/>
      <c r="E33" s="746"/>
      <c r="F33" s="746"/>
      <c r="G33" s="746"/>
      <c r="H33" s="746"/>
      <c r="I33" s="746"/>
    </row>
    <row r="34" spans="1:9">
      <c r="A34" s="459"/>
      <c r="B34" s="62"/>
      <c r="C34" s="62"/>
      <c r="D34" s="62"/>
      <c r="E34" s="62"/>
      <c r="F34" s="62"/>
      <c r="G34" s="62"/>
      <c r="H34" s="62"/>
      <c r="I34" s="62"/>
    </row>
    <row r="35" spans="1:9">
      <c r="A35" s="459"/>
      <c r="B35" s="62"/>
      <c r="C35" s="62"/>
      <c r="D35" s="62"/>
      <c r="E35" s="62"/>
      <c r="F35" s="62"/>
      <c r="G35" s="62"/>
      <c r="H35" s="62"/>
      <c r="I35" s="62"/>
    </row>
    <row r="36" spans="1:9">
      <c r="A36" s="62"/>
      <c r="B36" s="62"/>
      <c r="C36" s="62"/>
      <c r="D36" s="62"/>
      <c r="E36" s="62"/>
      <c r="F36" s="62"/>
      <c r="G36" s="62"/>
      <c r="H36" s="62"/>
      <c r="I36" s="62"/>
    </row>
    <row r="37" spans="1:9">
      <c r="A37" s="62"/>
      <c r="B37" s="62"/>
      <c r="C37" s="62"/>
      <c r="D37" s="62"/>
      <c r="E37" s="62"/>
      <c r="F37" s="62"/>
      <c r="G37" s="62"/>
      <c r="H37" s="62"/>
      <c r="I37" s="62"/>
    </row>
    <row r="38" spans="1:9">
      <c r="A38" s="3"/>
      <c r="B38" s="3"/>
      <c r="C38" s="3"/>
      <c r="D38" s="3"/>
      <c r="E38" s="3"/>
      <c r="F38" s="3"/>
      <c r="G38" s="3"/>
    </row>
    <row r="39" spans="1:9">
      <c r="A39" s="3"/>
      <c r="B39" s="3"/>
      <c r="C39" s="3"/>
      <c r="D39" s="3"/>
      <c r="E39" s="3"/>
      <c r="F39" s="3"/>
      <c r="G39" s="3"/>
    </row>
    <row r="40" spans="1:9">
      <c r="A40" s="3"/>
      <c r="B40" s="3"/>
      <c r="C40" s="3"/>
      <c r="D40" s="3"/>
      <c r="E40" s="3"/>
      <c r="F40" s="3"/>
      <c r="G40" s="3"/>
    </row>
    <row r="41" spans="1:9">
      <c r="A41" s="3"/>
      <c r="B41" s="3"/>
      <c r="C41" s="3"/>
      <c r="D41" s="3"/>
      <c r="E41" s="3"/>
      <c r="F41" s="3"/>
      <c r="G41" s="3"/>
    </row>
    <row r="42" spans="1:9">
      <c r="A42" s="3"/>
      <c r="B42" s="3"/>
      <c r="C42" s="3"/>
      <c r="D42" s="3"/>
      <c r="E42" s="3"/>
      <c r="F42" s="3"/>
      <c r="G42" s="3"/>
    </row>
    <row r="43" spans="1:9">
      <c r="A43" s="3"/>
      <c r="B43" s="3"/>
      <c r="C43" s="3"/>
      <c r="D43" s="3"/>
      <c r="E43" s="3"/>
      <c r="F43" s="3"/>
      <c r="G43" s="3"/>
    </row>
    <row r="44" spans="1:9">
      <c r="A44" s="3"/>
      <c r="B44" s="3"/>
      <c r="C44" s="3"/>
      <c r="D44" s="3"/>
      <c r="E44" s="3"/>
      <c r="F44" s="3"/>
      <c r="G44" s="3"/>
    </row>
    <row r="45" spans="1:9">
      <c r="A45" s="3"/>
      <c r="B45" s="3"/>
      <c r="C45" s="3"/>
      <c r="D45" s="3"/>
      <c r="E45" s="3"/>
      <c r="F45" s="3"/>
      <c r="G45" s="3"/>
    </row>
    <row r="46" spans="1:9">
      <c r="A46" s="3"/>
      <c r="B46" s="3"/>
      <c r="C46" s="3"/>
      <c r="D46" s="3"/>
      <c r="E46" s="3"/>
      <c r="F46" s="3"/>
      <c r="G46" s="3"/>
    </row>
    <row r="47" spans="1:9">
      <c r="A47" s="3"/>
      <c r="B47" s="3"/>
      <c r="C47" s="3"/>
      <c r="D47" s="3"/>
      <c r="E47" s="3"/>
      <c r="F47" s="3"/>
      <c r="G47" s="3"/>
    </row>
    <row r="48" spans="1:9">
      <c r="A48" s="3"/>
      <c r="B48" s="3"/>
      <c r="C48" s="3"/>
      <c r="D48" s="3"/>
      <c r="E48" s="3"/>
      <c r="F48" s="3"/>
      <c r="G48" s="3"/>
    </row>
    <row r="49" s="3" customFormat="1"/>
    <row r="50" s="3" customFormat="1"/>
    <row r="51" s="3" customFormat="1"/>
    <row r="52" s="3" customFormat="1"/>
    <row r="53" s="3" customFormat="1"/>
    <row r="54" s="3" customFormat="1"/>
    <row r="55" s="3" customFormat="1"/>
    <row r="56" s="3" customFormat="1"/>
    <row r="57" s="3" customFormat="1"/>
    <row r="58" s="3" customFormat="1"/>
    <row r="59" s="3" customFormat="1"/>
    <row r="60" s="3" customFormat="1"/>
    <row r="61" s="3" customFormat="1"/>
    <row r="62" s="3" customFormat="1"/>
    <row r="63" s="3" customFormat="1"/>
    <row r="64" s="3" customFormat="1"/>
    <row r="65" spans="3:7" s="3" customFormat="1"/>
    <row r="66" spans="3:7" s="3" customFormat="1"/>
    <row r="67" spans="3:7" s="3" customFormat="1"/>
    <row r="68" spans="3:7" s="3" customFormat="1"/>
    <row r="69" spans="3:7" s="3" customFormat="1"/>
    <row r="70" spans="3:7" s="3" customFormat="1"/>
    <row r="71" spans="3:7" s="3" customFormat="1"/>
    <row r="72" spans="3:7" s="3" customFormat="1"/>
    <row r="73" spans="3:7" s="3" customFormat="1"/>
    <row r="74" spans="3:7" s="3" customFormat="1"/>
    <row r="75" spans="3:7" s="3" customFormat="1"/>
    <row r="76" spans="3:7" s="3" customFormat="1"/>
    <row r="77" spans="3:7" s="3" customFormat="1"/>
    <row r="78" spans="3:7">
      <c r="C78" s="3"/>
      <c r="D78" s="3"/>
      <c r="E78" s="3"/>
      <c r="F78" s="3"/>
      <c r="G78" s="3"/>
    </row>
    <row r="79" spans="3:7">
      <c r="C79" s="3"/>
      <c r="D79" s="3"/>
      <c r="E79" s="3"/>
      <c r="F79" s="3"/>
      <c r="G79" s="3"/>
    </row>
    <row r="80" spans="3:7">
      <c r="C80" s="3"/>
      <c r="D80" s="3"/>
      <c r="E80" s="3"/>
      <c r="F80" s="3"/>
      <c r="G80" s="3"/>
    </row>
    <row r="81" spans="3:7">
      <c r="C81" s="3"/>
      <c r="D81" s="3"/>
      <c r="E81" s="3"/>
      <c r="F81" s="3"/>
      <c r="G81" s="3"/>
    </row>
    <row r="82" spans="3:7">
      <c r="C82" s="3"/>
      <c r="D82" s="3"/>
      <c r="E82" s="3"/>
      <c r="F82" s="3"/>
      <c r="G82" s="3"/>
    </row>
    <row r="83" spans="3:7">
      <c r="C83" s="3"/>
      <c r="D83" s="3"/>
      <c r="E83" s="3"/>
      <c r="F83" s="3"/>
      <c r="G83" s="3"/>
    </row>
    <row r="84" spans="3:7">
      <c r="C84" s="3"/>
      <c r="D84" s="3"/>
      <c r="E84" s="3"/>
      <c r="F84" s="3"/>
      <c r="G84" s="3"/>
    </row>
    <row r="85" spans="3:7">
      <c r="C85" s="3"/>
      <c r="D85" s="3"/>
      <c r="E85" s="3"/>
      <c r="F85" s="3"/>
      <c r="G85" s="3"/>
    </row>
  </sheetData>
  <phoneticPr fontId="0" type="noConversion"/>
  <hyperlinks>
    <hyperlink ref="H3" location="INDICE!A40" display="VOLVER A INDICE"/>
  </hyperlinks>
  <pageMargins left="0.75" right="0.75" top="1" bottom="1" header="0" footer="0"/>
  <pageSetup orientation="portrait"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9"/>
  <sheetViews>
    <sheetView showGridLines="0" workbookViewId="0">
      <pane ySplit="8" topLeftCell="A9" activePane="bottomLeft" state="frozen"/>
      <selection pane="bottomLeft" activeCell="L41" sqref="L41"/>
    </sheetView>
  </sheetViews>
  <sheetFormatPr baseColWidth="10" defaultRowHeight="12.75"/>
  <cols>
    <col min="1" max="1" width="1.85546875" style="260" customWidth="1"/>
    <col min="2" max="2" width="27.85546875" customWidth="1"/>
    <col min="14" max="14" width="15.140625" customWidth="1"/>
    <col min="15" max="15" width="11.42578125" style="3"/>
    <col min="16" max="16" width="19.28515625" style="3" customWidth="1"/>
    <col min="17" max="17" width="19.42578125" style="3" customWidth="1"/>
    <col min="18" max="24" width="11.42578125" style="3"/>
    <col min="26" max="26" width="21.5703125" customWidth="1"/>
  </cols>
  <sheetData>
    <row r="1" spans="1:26" ht="5.25" customHeight="1" thickBot="1">
      <c r="A1" s="459"/>
      <c r="B1" s="770"/>
      <c r="C1" s="770"/>
      <c r="D1" s="770"/>
      <c r="E1" s="770"/>
      <c r="F1" s="770"/>
      <c r="G1" s="770"/>
      <c r="H1" s="770"/>
      <c r="I1" s="770"/>
      <c r="J1" s="770"/>
      <c r="K1" s="770"/>
      <c r="L1" s="770"/>
      <c r="M1" s="770"/>
      <c r="N1" s="770"/>
      <c r="O1" s="62"/>
    </row>
    <row r="2" spans="1:26" ht="15.75" customHeight="1" thickBot="1">
      <c r="A2" s="459"/>
      <c r="B2" s="771"/>
      <c r="C2" s="772"/>
      <c r="D2" s="772"/>
      <c r="E2" s="772"/>
      <c r="F2" s="772"/>
      <c r="G2" s="772"/>
      <c r="H2" s="772"/>
      <c r="I2" s="772"/>
      <c r="J2" s="772"/>
      <c r="K2" s="772"/>
      <c r="L2" s="772"/>
      <c r="M2" s="772"/>
      <c r="N2" s="773"/>
      <c r="O2" s="774"/>
    </row>
    <row r="3" spans="1:26" ht="15.75">
      <c r="A3" s="459"/>
      <c r="B3" s="775"/>
      <c r="C3" s="776"/>
      <c r="D3" s="776"/>
      <c r="E3" s="776"/>
      <c r="F3" s="777"/>
      <c r="G3" s="686" t="s">
        <v>90</v>
      </c>
      <c r="H3" s="776"/>
      <c r="I3" s="776"/>
      <c r="J3" s="776"/>
      <c r="K3" s="776"/>
      <c r="L3" s="776"/>
      <c r="M3" s="776"/>
      <c r="N3" s="778"/>
      <c r="O3" s="779"/>
    </row>
    <row r="4" spans="1:26" ht="15.75">
      <c r="A4" s="459"/>
      <c r="B4" s="780"/>
      <c r="C4" s="781"/>
      <c r="D4" s="781"/>
      <c r="E4" s="781"/>
      <c r="F4" s="782" t="s">
        <v>194</v>
      </c>
      <c r="G4" s="782"/>
      <c r="H4" s="781"/>
      <c r="I4" s="781"/>
      <c r="J4" s="781"/>
      <c r="K4" s="781"/>
      <c r="L4" s="781"/>
      <c r="M4" s="781"/>
      <c r="N4" s="783"/>
      <c r="O4" s="779"/>
    </row>
    <row r="5" spans="1:26" ht="15.75">
      <c r="A5" s="459"/>
      <c r="B5" s="780"/>
      <c r="C5" s="781"/>
      <c r="D5" s="781"/>
      <c r="E5" s="781"/>
      <c r="F5" s="784" t="s">
        <v>780</v>
      </c>
      <c r="G5" s="784"/>
      <c r="H5" s="781"/>
      <c r="I5" s="781"/>
      <c r="J5" s="781"/>
      <c r="K5" s="781"/>
      <c r="L5" s="781"/>
      <c r="M5" s="781"/>
      <c r="N5" s="783"/>
      <c r="O5" s="779"/>
    </row>
    <row r="6" spans="1:26" ht="15.75">
      <c r="A6" s="459"/>
      <c r="B6" s="780"/>
      <c r="C6" s="781"/>
      <c r="D6" s="781"/>
      <c r="E6" s="781"/>
      <c r="F6" s="782" t="s">
        <v>195</v>
      </c>
      <c r="G6" s="781"/>
      <c r="H6" s="781"/>
      <c r="I6" s="781"/>
      <c r="J6" s="781"/>
      <c r="K6" s="781"/>
      <c r="L6" s="781"/>
      <c r="M6" s="781"/>
      <c r="N6" s="783"/>
      <c r="O6" s="464" t="s">
        <v>606</v>
      </c>
    </row>
    <row r="7" spans="1:26" ht="15.75">
      <c r="A7" s="459"/>
      <c r="B7" s="780"/>
      <c r="C7" s="784" t="s">
        <v>109</v>
      </c>
      <c r="D7" s="784" t="s">
        <v>110</v>
      </c>
      <c r="E7" s="784" t="s">
        <v>111</v>
      </c>
      <c r="F7" s="784" t="s">
        <v>112</v>
      </c>
      <c r="G7" s="784" t="s">
        <v>113</v>
      </c>
      <c r="H7" s="784" t="s">
        <v>114</v>
      </c>
      <c r="I7" s="784" t="s">
        <v>115</v>
      </c>
      <c r="J7" s="784" t="s">
        <v>116</v>
      </c>
      <c r="K7" s="784" t="s">
        <v>117</v>
      </c>
      <c r="L7" s="784" t="s">
        <v>118</v>
      </c>
      <c r="M7" s="784" t="s">
        <v>119</v>
      </c>
      <c r="N7" s="785" t="s">
        <v>28</v>
      </c>
      <c r="O7" s="786"/>
      <c r="P7" s="393"/>
      <c r="Q7" s="393"/>
      <c r="R7" s="393"/>
      <c r="S7" s="393"/>
      <c r="T7" s="393"/>
      <c r="U7" s="393"/>
      <c r="V7" s="393"/>
      <c r="W7" s="393"/>
      <c r="X7" s="393"/>
      <c r="Y7" s="393"/>
      <c r="Z7" s="393"/>
    </row>
    <row r="8" spans="1:26" ht="16.5" thickBot="1">
      <c r="A8" s="459"/>
      <c r="B8" s="787" t="s">
        <v>20</v>
      </c>
      <c r="C8" s="788"/>
      <c r="D8" s="788"/>
      <c r="E8" s="788"/>
      <c r="F8" s="788" t="s">
        <v>120</v>
      </c>
      <c r="G8" s="788" t="s">
        <v>196</v>
      </c>
      <c r="H8" s="788" t="s">
        <v>122</v>
      </c>
      <c r="I8" s="788"/>
      <c r="J8" s="788"/>
      <c r="K8" s="788"/>
      <c r="L8" s="788" t="s">
        <v>123</v>
      </c>
      <c r="M8" s="788" t="s">
        <v>123</v>
      </c>
      <c r="N8" s="789"/>
      <c r="O8" s="786"/>
      <c r="P8" s="393"/>
      <c r="Q8" s="393"/>
      <c r="R8" s="393"/>
      <c r="S8" s="393"/>
      <c r="T8" s="393"/>
      <c r="U8" s="393"/>
      <c r="V8" s="393"/>
      <c r="W8" s="393"/>
      <c r="X8" s="393"/>
      <c r="Y8" s="393"/>
      <c r="Z8" s="393"/>
    </row>
    <row r="9" spans="1:26">
      <c r="A9" s="459"/>
      <c r="B9" s="790" t="s">
        <v>71</v>
      </c>
      <c r="C9" s="791">
        <f>CONS_U.FIS!D14</f>
        <v>158.31770621000004</v>
      </c>
      <c r="D9" s="792">
        <f>CONS_U.FIS!D15</f>
        <v>0</v>
      </c>
      <c r="E9" s="792">
        <f>CONS_U.FIS!D16</f>
        <v>2.7455999999999996</v>
      </c>
      <c r="F9" s="792">
        <f>CONS_U.FIS!D17</f>
        <v>231.03073649600003</v>
      </c>
      <c r="G9" s="792">
        <f>CONS_U.FIS!D18</f>
        <v>40.725000000000001</v>
      </c>
      <c r="H9" s="792">
        <f>CONS_U.FIS!D19</f>
        <v>0</v>
      </c>
      <c r="I9" s="792">
        <f>CONS_U.FIS!D20</f>
        <v>11.66767789525</v>
      </c>
      <c r="J9" s="792">
        <f>CONS_U.FIS!D21</f>
        <v>0</v>
      </c>
      <c r="K9" s="792">
        <f>CONS_U.FIS!D22</f>
        <v>81.89129226</v>
      </c>
      <c r="L9" s="792">
        <f>CONS_U.FIS!D23</f>
        <v>136.31384455374993</v>
      </c>
      <c r="M9" s="791">
        <f>CONS_U.FIS!D24</f>
        <v>50.936396774999928</v>
      </c>
      <c r="N9" s="793">
        <f>SUM(C9:M9)</f>
        <v>713.62825419000001</v>
      </c>
      <c r="O9" s="794"/>
      <c r="P9" s="395"/>
      <c r="Q9" s="395"/>
      <c r="R9" s="395"/>
      <c r="S9" s="395"/>
      <c r="T9" s="395"/>
      <c r="U9" s="395"/>
      <c r="V9" s="395"/>
      <c r="W9" s="395"/>
      <c r="X9" s="395"/>
      <c r="Y9" s="395"/>
      <c r="Z9" s="395"/>
    </row>
    <row r="10" spans="1:26">
      <c r="A10" s="459"/>
      <c r="B10" s="795" t="s">
        <v>178</v>
      </c>
      <c r="C10" s="792"/>
      <c r="D10" s="792"/>
      <c r="E10" s="792"/>
      <c r="F10" s="792"/>
      <c r="G10" s="792"/>
      <c r="H10" s="792"/>
      <c r="I10" s="792"/>
      <c r="J10" s="792"/>
      <c r="K10" s="792"/>
      <c r="L10" s="792"/>
      <c r="M10" s="792"/>
      <c r="N10" s="793"/>
      <c r="O10" s="796"/>
      <c r="P10" s="395"/>
      <c r="Q10" s="395"/>
      <c r="R10" s="394"/>
      <c r="S10" s="394"/>
      <c r="T10" s="394"/>
      <c r="U10" s="394"/>
      <c r="V10" s="394"/>
      <c r="W10" s="394"/>
      <c r="X10" s="394"/>
      <c r="Y10" s="394"/>
      <c r="Z10" s="394"/>
    </row>
    <row r="11" spans="1:26">
      <c r="A11" s="459"/>
      <c r="B11" s="790" t="s">
        <v>72</v>
      </c>
      <c r="C11" s="791">
        <f>CONS_U.FIS!C14</f>
        <v>1167.8800387908095</v>
      </c>
      <c r="D11" s="792">
        <f>CONS_U.FIS!C15</f>
        <v>34.556999999999995</v>
      </c>
      <c r="E11" s="792">
        <f>CONS_U.FIS!C16</f>
        <v>6.5069959999999991</v>
      </c>
      <c r="F11" s="792">
        <f>CONS_U.FIS!C17</f>
        <v>11.594258052380955</v>
      </c>
      <c r="G11" s="792">
        <f>CONS_U.FIS!C18</f>
        <v>0.77557900000000002</v>
      </c>
      <c r="H11" s="792">
        <f>CONS_U.FIS!C19</f>
        <v>0.14850000000000002</v>
      </c>
      <c r="I11" s="792">
        <f>CONS_U.FIS!C20</f>
        <v>11.166218887000005</v>
      </c>
      <c r="J11" s="792">
        <f>CONS_U.FIS!C21</f>
        <v>0.25420100000000001</v>
      </c>
      <c r="K11" s="792">
        <f>CONS_U.FIS!C22</f>
        <v>71.34801299999998</v>
      </c>
      <c r="L11" s="792">
        <f>CONS_U.FIS!C23</f>
        <v>723.59182352378116</v>
      </c>
      <c r="M11" s="792">
        <f>CONS_U.FIS!C24</f>
        <v>378.39104020919052</v>
      </c>
      <c r="N11" s="793">
        <f>SUM(C11:M11)</f>
        <v>2406.2136684631623</v>
      </c>
      <c r="O11" s="794"/>
      <c r="P11" s="395"/>
      <c r="Q11" s="395"/>
      <c r="R11" s="395"/>
      <c r="S11" s="395"/>
      <c r="T11" s="395"/>
      <c r="U11" s="395"/>
      <c r="V11" s="395"/>
      <c r="W11" s="395"/>
      <c r="X11" s="395"/>
      <c r="Y11" s="395"/>
      <c r="Z11" s="395"/>
    </row>
    <row r="12" spans="1:26">
      <c r="A12" s="459"/>
      <c r="B12" s="795" t="s">
        <v>177</v>
      </c>
      <c r="C12" s="792"/>
      <c r="D12" s="792"/>
      <c r="E12" s="792"/>
      <c r="F12" s="792"/>
      <c r="G12" s="792"/>
      <c r="H12" s="792"/>
      <c r="I12" s="792"/>
      <c r="J12" s="792"/>
      <c r="K12" s="792"/>
      <c r="L12" s="792"/>
      <c r="M12" s="792"/>
      <c r="N12" s="793"/>
      <c r="O12" s="796"/>
      <c r="P12" s="396"/>
      <c r="Q12" s="396"/>
      <c r="R12" s="394"/>
      <c r="S12" s="394"/>
      <c r="T12" s="394"/>
      <c r="U12" s="394"/>
      <c r="V12" s="394"/>
      <c r="W12" s="394"/>
      <c r="X12" s="394"/>
      <c r="Y12" s="394"/>
      <c r="Z12" s="394"/>
    </row>
    <row r="13" spans="1:26">
      <c r="A13" s="459"/>
      <c r="B13" s="790" t="s">
        <v>73</v>
      </c>
      <c r="C13" s="791">
        <f>CONS_U.FIS!F14</f>
        <v>9.0185050000000011</v>
      </c>
      <c r="D13" s="792">
        <f>CONS_U.FIS!F15</f>
        <v>0</v>
      </c>
      <c r="E13" s="792">
        <f>CONS_U.FIS!F16</f>
        <v>0</v>
      </c>
      <c r="F13" s="792">
        <f>CONS_U.FIS!F17</f>
        <v>5.2119999999999996E-3</v>
      </c>
      <c r="G13" s="792">
        <f>CONS_U.FIS!F18</f>
        <v>5.1999999999999998E-2</v>
      </c>
      <c r="H13" s="792">
        <f>CONS_U.FIS!F19</f>
        <v>0</v>
      </c>
      <c r="I13" s="792">
        <f>CONS_U.FIS!F20</f>
        <v>0</v>
      </c>
      <c r="J13" s="792">
        <f>CONS_U.FIS!F21</f>
        <v>0</v>
      </c>
      <c r="K13" s="792">
        <f>CONS_U.FIS!F22</f>
        <v>0</v>
      </c>
      <c r="L13" s="792">
        <f>CONS_U.FIS!F23</f>
        <v>29.559642</v>
      </c>
      <c r="M13" s="792">
        <f>CONS_U.FIS!F24</f>
        <v>6.4151500000000006</v>
      </c>
      <c r="N13" s="793">
        <f>SUM(C13:M13)</f>
        <v>45.050509000000005</v>
      </c>
      <c r="O13" s="794"/>
      <c r="P13" s="395"/>
      <c r="Q13" s="395"/>
      <c r="R13" s="395"/>
      <c r="S13" s="395"/>
      <c r="T13" s="395"/>
      <c r="U13" s="395"/>
      <c r="V13" s="395"/>
      <c r="W13" s="395"/>
      <c r="X13" s="395"/>
      <c r="Y13" s="395"/>
      <c r="Z13" s="395"/>
    </row>
    <row r="14" spans="1:26">
      <c r="A14" s="459"/>
      <c r="B14" s="795" t="s">
        <v>177</v>
      </c>
      <c r="C14" s="792"/>
      <c r="D14" s="792"/>
      <c r="E14" s="792"/>
      <c r="F14" s="792"/>
      <c r="G14" s="792"/>
      <c r="H14" s="792"/>
      <c r="I14" s="792"/>
      <c r="J14" s="792"/>
      <c r="K14" s="792"/>
      <c r="L14" s="792"/>
      <c r="M14" s="792"/>
      <c r="N14" s="793"/>
      <c r="O14" s="796"/>
      <c r="P14" s="396"/>
      <c r="Q14" s="396"/>
      <c r="R14" s="394"/>
      <c r="S14" s="394"/>
      <c r="T14" s="394"/>
      <c r="U14" s="394"/>
      <c r="V14" s="394"/>
      <c r="W14" s="394"/>
      <c r="X14" s="394"/>
      <c r="Y14" s="394"/>
      <c r="Z14" s="394"/>
    </row>
    <row r="15" spans="1:26">
      <c r="A15" s="459"/>
      <c r="B15" s="790" t="s">
        <v>74</v>
      </c>
      <c r="C15" s="791">
        <f>CONS_U.FIS!G14</f>
        <v>4.0476595986363639</v>
      </c>
      <c r="D15" s="792">
        <f>CONS_U.FIS!G15</f>
        <v>0</v>
      </c>
      <c r="E15" s="792">
        <f>CONS_U.FIS!G16</f>
        <v>0.15205560330578513</v>
      </c>
      <c r="F15" s="792">
        <f>CONS_U.FIS!G17</f>
        <v>11.772556544526205</v>
      </c>
      <c r="G15" s="792">
        <f>CONS_U.FIS!G18</f>
        <v>8.4800589120713123</v>
      </c>
      <c r="H15" s="792">
        <f>CONS_U.FIS!G19</f>
        <v>0.55203334999999998</v>
      </c>
      <c r="I15" s="792">
        <f>CONS_U.FIS!G20</f>
        <v>0.56514887430751104</v>
      </c>
      <c r="J15" s="792">
        <f>CONS_U.FIS!G21</f>
        <v>0.17634545454545453</v>
      </c>
      <c r="K15" s="792">
        <f>CONS_U.FIS!G22</f>
        <v>4.8954530972846531</v>
      </c>
      <c r="L15" s="792">
        <f>CONS_U.FIS!G23</f>
        <v>240.30901431691356</v>
      </c>
      <c r="M15" s="792">
        <f>CONS_U.FIS!G24</f>
        <v>2.2044629287404955</v>
      </c>
      <c r="N15" s="793">
        <f>SUM(C15:M15)</f>
        <v>273.15478868033136</v>
      </c>
      <c r="O15" s="794"/>
      <c r="P15" s="395"/>
      <c r="Q15" s="395"/>
      <c r="R15" s="395"/>
      <c r="S15" s="395"/>
      <c r="T15" s="395"/>
      <c r="U15" s="395"/>
      <c r="V15" s="395"/>
      <c r="W15" s="395"/>
      <c r="X15" s="395"/>
      <c r="Y15" s="395"/>
      <c r="Z15" s="395"/>
    </row>
    <row r="16" spans="1:26">
      <c r="A16" s="459"/>
      <c r="B16" s="795" t="s">
        <v>178</v>
      </c>
      <c r="C16" s="792"/>
      <c r="D16" s="792"/>
      <c r="E16" s="792"/>
      <c r="F16" s="792"/>
      <c r="G16" s="792"/>
      <c r="H16" s="792"/>
      <c r="I16" s="792"/>
      <c r="J16" s="792"/>
      <c r="K16" s="792"/>
      <c r="L16" s="792"/>
      <c r="M16" s="792"/>
      <c r="N16" s="793"/>
      <c r="O16" s="796"/>
      <c r="P16" s="396"/>
      <c r="Q16" s="396"/>
      <c r="R16" s="394"/>
      <c r="S16" s="394"/>
      <c r="T16" s="394"/>
      <c r="U16" s="394"/>
      <c r="V16" s="394"/>
      <c r="W16" s="394"/>
      <c r="X16" s="394"/>
      <c r="Y16" s="394"/>
      <c r="Z16" s="394"/>
    </row>
    <row r="17" spans="1:26">
      <c r="A17" s="459"/>
      <c r="B17" s="790" t="s">
        <v>77</v>
      </c>
      <c r="C17" s="791">
        <f>CONS_U.FIS!J14</f>
        <v>0</v>
      </c>
      <c r="D17" s="792">
        <f>CONS_U.FIS!J15</f>
        <v>0</v>
      </c>
      <c r="E17" s="792">
        <f>CONS_U.FIS!J16</f>
        <v>0</v>
      </c>
      <c r="F17" s="792">
        <f>CONS_U.FIS!J17</f>
        <v>0</v>
      </c>
      <c r="G17" s="792">
        <f>CONS_U.FIS!J18</f>
        <v>0</v>
      </c>
      <c r="H17" s="791">
        <f>CONS_U.FIS!J19</f>
        <v>0</v>
      </c>
      <c r="I17" s="792">
        <f>CONS_U.FIS!J20</f>
        <v>0</v>
      </c>
      <c r="J17" s="792">
        <f>CONS_U.FIS!J21</f>
        <v>0</v>
      </c>
      <c r="K17" s="792">
        <f>CONS_U.FIS!J22</f>
        <v>0</v>
      </c>
      <c r="L17" s="792">
        <f>CONS_U.FIS!J23</f>
        <v>0</v>
      </c>
      <c r="M17" s="792">
        <f>CONS_U.FIS!J24</f>
        <v>0</v>
      </c>
      <c r="N17" s="793">
        <f>SUM(C17:M17)</f>
        <v>0</v>
      </c>
      <c r="O17" s="794"/>
      <c r="P17" s="395"/>
      <c r="Q17" s="395"/>
      <c r="R17" s="395"/>
      <c r="S17" s="395"/>
      <c r="T17" s="395"/>
      <c r="U17" s="395"/>
      <c r="V17" s="395"/>
      <c r="W17" s="395"/>
      <c r="X17" s="395"/>
      <c r="Y17" s="395"/>
      <c r="Z17" s="395"/>
    </row>
    <row r="18" spans="1:26">
      <c r="A18" s="459"/>
      <c r="B18" s="795" t="s">
        <v>177</v>
      </c>
      <c r="C18" s="792"/>
      <c r="D18" s="792"/>
      <c r="E18" s="792"/>
      <c r="F18" s="792"/>
      <c r="G18" s="792"/>
      <c r="H18" s="792"/>
      <c r="I18" s="792"/>
      <c r="J18" s="792"/>
      <c r="K18" s="792"/>
      <c r="L18" s="792"/>
      <c r="M18" s="792"/>
      <c r="N18" s="793"/>
      <c r="O18" s="796"/>
      <c r="P18" s="396"/>
      <c r="Q18" s="396"/>
      <c r="R18" s="394"/>
      <c r="S18" s="394"/>
      <c r="T18" s="394"/>
      <c r="U18" s="394"/>
      <c r="V18" s="394"/>
      <c r="W18" s="394"/>
      <c r="X18" s="394"/>
      <c r="Y18" s="394"/>
      <c r="Z18" s="394"/>
    </row>
    <row r="19" spans="1:26">
      <c r="A19" s="459"/>
      <c r="B19" s="790" t="s">
        <v>78</v>
      </c>
      <c r="C19" s="791">
        <f>CONS_U.FIS!K14</f>
        <v>0</v>
      </c>
      <c r="D19" s="792">
        <f>CONS_U.FIS!K15</f>
        <v>0</v>
      </c>
      <c r="E19" s="792">
        <f>CONS_U.FIS!K16</f>
        <v>0</v>
      </c>
      <c r="F19" s="792">
        <f>CONS_U.FIS!K17</f>
        <v>0</v>
      </c>
      <c r="G19" s="792">
        <f>CONS_U.FIS!K18</f>
        <v>0</v>
      </c>
      <c r="H19" s="792">
        <f>CONS_U.FIS!K19</f>
        <v>0.78098591549295771</v>
      </c>
      <c r="I19" s="792">
        <f>CONS_U.FIS!K20</f>
        <v>0</v>
      </c>
      <c r="J19" s="792">
        <f>CONS_U.FIS!K21</f>
        <v>0</v>
      </c>
      <c r="K19" s="792">
        <f>CONS_U.FIS!K22</f>
        <v>0</v>
      </c>
      <c r="L19" s="792">
        <f>CONS_U.FIS!K23</f>
        <v>0</v>
      </c>
      <c r="M19" s="792">
        <f>CONS_U.FIS!K24</f>
        <v>0</v>
      </c>
      <c r="N19" s="793">
        <f>SUM(C19:M19)</f>
        <v>0.78098591549295771</v>
      </c>
      <c r="O19" s="794"/>
      <c r="P19" s="395"/>
      <c r="Q19" s="395"/>
      <c r="R19" s="395"/>
      <c r="S19" s="395"/>
      <c r="T19" s="395"/>
      <c r="U19" s="395"/>
      <c r="V19" s="395"/>
      <c r="W19" s="395"/>
      <c r="X19" s="395"/>
      <c r="Y19" s="395"/>
      <c r="Z19" s="395"/>
    </row>
    <row r="20" spans="1:26">
      <c r="A20" s="459"/>
      <c r="B20" s="795" t="s">
        <v>177</v>
      </c>
      <c r="C20" s="792"/>
      <c r="D20" s="792"/>
      <c r="E20" s="792"/>
      <c r="F20" s="792"/>
      <c r="G20" s="792"/>
      <c r="H20" s="792"/>
      <c r="I20" s="792"/>
      <c r="J20" s="792"/>
      <c r="K20" s="792"/>
      <c r="L20" s="792"/>
      <c r="M20" s="792"/>
      <c r="N20" s="793"/>
      <c r="O20" s="796"/>
      <c r="P20" s="396"/>
      <c r="Q20" s="396"/>
      <c r="R20" s="394"/>
      <c r="S20" s="394"/>
      <c r="T20" s="394"/>
      <c r="U20" s="394"/>
      <c r="V20" s="394"/>
      <c r="W20" s="394"/>
      <c r="X20" s="394"/>
      <c r="Y20" s="394"/>
      <c r="Z20" s="394"/>
    </row>
    <row r="21" spans="1:26">
      <c r="A21" s="459"/>
      <c r="B21" s="790" t="s">
        <v>35</v>
      </c>
      <c r="C21" s="791">
        <f>CONS_U.FIS!L14</f>
        <v>18544.613325032198</v>
      </c>
      <c r="D21" s="792">
        <f>CONS_U.FIS!L15</f>
        <v>383.44522500000011</v>
      </c>
      <c r="E21" s="792">
        <f>CONS_U.FIS!L16</f>
        <v>438.87916400000012</v>
      </c>
      <c r="F21" s="792">
        <f>CONS_U.FIS!L17</f>
        <v>5191.5433242886274</v>
      </c>
      <c r="G21" s="792">
        <f>CONS_U.FIS!L18</f>
        <v>512.48353499999985</v>
      </c>
      <c r="H21" s="792">
        <f>CONS_U.FIS!L19</f>
        <v>440.20406899999989</v>
      </c>
      <c r="I21" s="791">
        <f>CONS_U.FIS!L20</f>
        <v>507.94235397321836</v>
      </c>
      <c r="J21" s="792">
        <f>CONS_U.FIS!L21</f>
        <v>36.352421</v>
      </c>
      <c r="K21" s="792">
        <f>CONS_U.FIS!L22</f>
        <v>162.94982800000005</v>
      </c>
      <c r="L21" s="792">
        <f>CONS_U.FIS!L23</f>
        <v>8910.0429346814835</v>
      </c>
      <c r="M21" s="792">
        <f>CONS_U.FIS!L24</f>
        <v>1463.6064378193812</v>
      </c>
      <c r="N21" s="793">
        <f>SUM(C21:M21)</f>
        <v>36592.062617794916</v>
      </c>
      <c r="O21" s="794"/>
      <c r="P21" s="395"/>
      <c r="Q21" s="395"/>
      <c r="R21" s="395"/>
      <c r="S21" s="395"/>
      <c r="T21" s="395"/>
      <c r="U21" s="395"/>
      <c r="V21" s="395"/>
      <c r="W21" s="395"/>
      <c r="X21" s="395"/>
      <c r="Y21" s="395"/>
      <c r="Z21" s="395"/>
    </row>
    <row r="22" spans="1:26">
      <c r="A22" s="459"/>
      <c r="B22" s="795" t="s">
        <v>180</v>
      </c>
      <c r="C22" s="792"/>
      <c r="D22" s="792"/>
      <c r="E22" s="792"/>
      <c r="F22" s="792"/>
      <c r="G22" s="792"/>
      <c r="H22" s="792"/>
      <c r="I22" s="792"/>
      <c r="J22" s="792"/>
      <c r="K22" s="792"/>
      <c r="L22" s="792"/>
      <c r="M22" s="792"/>
      <c r="N22" s="793"/>
      <c r="O22" s="796"/>
      <c r="P22" s="396"/>
      <c r="Q22" s="396"/>
      <c r="R22" s="394"/>
      <c r="S22" s="394"/>
      <c r="T22" s="394"/>
      <c r="U22" s="394"/>
      <c r="V22" s="394"/>
      <c r="W22" s="394"/>
      <c r="X22" s="394"/>
      <c r="Y22" s="394"/>
      <c r="Z22" s="394"/>
    </row>
    <row r="23" spans="1:26">
      <c r="A23" s="459"/>
      <c r="B23" s="790" t="s">
        <v>24</v>
      </c>
      <c r="C23" s="791">
        <f>CONS_U.FIS!M14</f>
        <v>0</v>
      </c>
      <c r="D23" s="792">
        <f>CONS_U.FIS!M15</f>
        <v>0</v>
      </c>
      <c r="E23" s="792">
        <f>CONS_U.FIS!M16</f>
        <v>50.717151000000001</v>
      </c>
      <c r="F23" s="792">
        <f>CONS_U.FIS!M17</f>
        <v>6.9210164833333332</v>
      </c>
      <c r="G23" s="792">
        <f>CONS_U.FIS!M18</f>
        <v>0</v>
      </c>
      <c r="H23" s="792">
        <f>CONS_U.FIS!M19</f>
        <v>0</v>
      </c>
      <c r="I23" s="792">
        <f>CONS_U.FIS!M20</f>
        <v>74.038581991350625</v>
      </c>
      <c r="J23" s="792">
        <f>CONS_U.FIS!M21</f>
        <v>59.867913580000014</v>
      </c>
      <c r="K23" s="792">
        <f>CONS_U.FIS!M22</f>
        <v>8.4996688485714262</v>
      </c>
      <c r="L23" s="792">
        <f>CONS_U.FIS!M23</f>
        <v>108.23644155183183</v>
      </c>
      <c r="M23" s="791">
        <f>CONS_U.FIS!M24</f>
        <v>0</v>
      </c>
      <c r="N23" s="793">
        <f>SUM(C23:M23)</f>
        <v>308.28077345508723</v>
      </c>
      <c r="O23" s="794"/>
      <c r="P23" s="395"/>
      <c r="Q23" s="395"/>
      <c r="R23" s="395"/>
      <c r="S23" s="395"/>
      <c r="T23" s="395"/>
      <c r="U23" s="395"/>
      <c r="V23" s="395"/>
      <c r="W23" s="395"/>
      <c r="X23" s="395"/>
      <c r="Y23" s="395"/>
      <c r="Z23" s="395"/>
    </row>
    <row r="24" spans="1:26">
      <c r="A24" s="459"/>
      <c r="B24" s="795" t="s">
        <v>178</v>
      </c>
      <c r="C24" s="792"/>
      <c r="D24" s="792"/>
      <c r="E24" s="792"/>
      <c r="F24" s="792"/>
      <c r="G24" s="792"/>
      <c r="H24" s="792"/>
      <c r="I24" s="792"/>
      <c r="J24" s="792"/>
      <c r="K24" s="792"/>
      <c r="L24" s="792"/>
      <c r="M24" s="792"/>
      <c r="N24" s="793"/>
      <c r="O24" s="796"/>
      <c r="P24" s="396"/>
      <c r="Q24" s="396"/>
      <c r="R24" s="394"/>
      <c r="S24" s="394"/>
      <c r="T24" s="394"/>
      <c r="U24" s="394"/>
      <c r="V24" s="394"/>
      <c r="W24" s="394"/>
      <c r="X24" s="394"/>
      <c r="Y24" s="394"/>
      <c r="Z24" s="394"/>
    </row>
    <row r="25" spans="1:26">
      <c r="A25" s="459"/>
      <c r="B25" s="790" t="s">
        <v>80</v>
      </c>
      <c r="C25" s="791">
        <f>CONS_U.FIS!N14</f>
        <v>7.7437819999999995</v>
      </c>
      <c r="D25" s="792">
        <f>CONS_U.FIS!N15</f>
        <v>0</v>
      </c>
      <c r="E25" s="792">
        <f>CONS_U.FIS!N16</f>
        <v>0</v>
      </c>
      <c r="F25" s="792">
        <f>CONS_U.FIS!N17</f>
        <v>0</v>
      </c>
      <c r="G25" s="792">
        <f>CONS_U.FIS!N18</f>
        <v>287.66080000000005</v>
      </c>
      <c r="H25" s="792">
        <f>CONS_U.FIS!N19</f>
        <v>0</v>
      </c>
      <c r="I25" s="792">
        <f>CONS_U.FIS!N20</f>
        <v>272.61188058435579</v>
      </c>
      <c r="J25" s="792">
        <f>CONS_U.FIS!N21</f>
        <v>2.6307388285714284</v>
      </c>
      <c r="K25" s="792">
        <f>CONS_U.FIS!N22</f>
        <v>0</v>
      </c>
      <c r="L25" s="792">
        <f>CONS_U.FIS!N23</f>
        <v>8.3797986714285724</v>
      </c>
      <c r="M25" s="792">
        <f>CONS_U.FIS!N24</f>
        <v>4.4517857142857142</v>
      </c>
      <c r="N25" s="793">
        <f>SUM(C25:M25)</f>
        <v>583.47878579864164</v>
      </c>
      <c r="O25" s="794"/>
      <c r="P25" s="395"/>
      <c r="Q25" s="395"/>
      <c r="R25" s="395"/>
      <c r="S25" s="395"/>
      <c r="T25" s="395"/>
      <c r="U25" s="395"/>
      <c r="V25" s="395"/>
      <c r="W25" s="395"/>
      <c r="X25" s="395"/>
      <c r="Y25" s="395"/>
      <c r="Z25" s="395"/>
    </row>
    <row r="26" spans="1:26">
      <c r="A26" s="459"/>
      <c r="B26" s="795" t="s">
        <v>178</v>
      </c>
      <c r="C26" s="792"/>
      <c r="D26" s="792"/>
      <c r="E26" s="792"/>
      <c r="F26" s="792"/>
      <c r="G26" s="792"/>
      <c r="H26" s="792"/>
      <c r="I26" s="792"/>
      <c r="J26" s="792"/>
      <c r="K26" s="792"/>
      <c r="L26" s="792"/>
      <c r="M26" s="792"/>
      <c r="N26" s="793"/>
      <c r="O26" s="796"/>
      <c r="P26" s="396"/>
      <c r="Q26" s="396"/>
      <c r="R26" s="394"/>
      <c r="S26" s="394"/>
      <c r="T26" s="394"/>
      <c r="U26" s="394"/>
      <c r="V26" s="394"/>
      <c r="W26" s="394"/>
      <c r="X26" s="394"/>
      <c r="Y26" s="394"/>
      <c r="Z26" s="394"/>
    </row>
    <row r="27" spans="1:26">
      <c r="A27" s="459"/>
      <c r="B27" s="790" t="s">
        <v>181</v>
      </c>
      <c r="C27" s="791">
        <f>CONS_U.FIS!O14</f>
        <v>0</v>
      </c>
      <c r="D27" s="792">
        <f>CONS_U.FIS!O15</f>
        <v>0</v>
      </c>
      <c r="E27" s="792">
        <f>CONS_U.FIS!O16</f>
        <v>0</v>
      </c>
      <c r="F27" s="792">
        <f>CONS_U.FIS!O17</f>
        <v>0</v>
      </c>
      <c r="G27" s="792">
        <f>CONS_U.FIS!O18</f>
        <v>0</v>
      </c>
      <c r="H27" s="792">
        <f>CONS_U.FIS!O19</f>
        <v>0</v>
      </c>
      <c r="I27" s="792">
        <f>CONS_U.FIS!O20</f>
        <v>0</v>
      </c>
      <c r="J27" s="792">
        <f>CONS_U.FIS!O21</f>
        <v>0</v>
      </c>
      <c r="K27" s="792">
        <f>CONS_U.FIS!O22</f>
        <v>0</v>
      </c>
      <c r="L27" s="792">
        <f>CONS_U.FIS!O23</f>
        <v>0</v>
      </c>
      <c r="M27" s="792">
        <f>CONS_U.FIS!O24</f>
        <v>0</v>
      </c>
      <c r="N27" s="793">
        <f>SUM(C27:M27)</f>
        <v>0</v>
      </c>
      <c r="O27" s="794"/>
      <c r="P27" s="395"/>
      <c r="Q27" s="395"/>
      <c r="R27" s="395"/>
      <c r="S27" s="395"/>
      <c r="T27" s="395"/>
      <c r="U27" s="395"/>
      <c r="V27" s="395"/>
      <c r="W27" s="395"/>
      <c r="X27" s="395"/>
      <c r="Y27" s="395"/>
      <c r="Z27" s="395"/>
    </row>
    <row r="28" spans="1:26">
      <c r="A28" s="459"/>
      <c r="B28" s="795" t="s">
        <v>177</v>
      </c>
      <c r="C28" s="792"/>
      <c r="D28" s="792"/>
      <c r="E28" s="792"/>
      <c r="F28" s="792"/>
      <c r="G28" s="792"/>
      <c r="H28" s="792"/>
      <c r="I28" s="792"/>
      <c r="J28" s="792"/>
      <c r="K28" s="792"/>
      <c r="L28" s="792"/>
      <c r="M28" s="792"/>
      <c r="N28" s="793"/>
      <c r="O28" s="796"/>
      <c r="P28" s="396"/>
      <c r="Q28" s="396"/>
      <c r="R28" s="394"/>
      <c r="S28" s="394"/>
      <c r="T28" s="394"/>
      <c r="U28" s="394"/>
      <c r="V28" s="394"/>
      <c r="W28" s="394"/>
      <c r="X28" s="394"/>
      <c r="Y28" s="394"/>
      <c r="Z28" s="394"/>
    </row>
    <row r="29" spans="1:26">
      <c r="A29" s="459"/>
      <c r="B29" s="790" t="s">
        <v>37</v>
      </c>
      <c r="C29" s="791">
        <f>CONS_U.FIS!P14</f>
        <v>0</v>
      </c>
      <c r="D29" s="792">
        <f>CONS_U.FIS!P15</f>
        <v>0</v>
      </c>
      <c r="E29" s="792">
        <f>CONS_U.FIS!P16</f>
        <v>0</v>
      </c>
      <c r="F29" s="792">
        <f>CONS_U.FIS!P17</f>
        <v>0</v>
      </c>
      <c r="G29" s="792">
        <f>CONS_U.FIS!P18</f>
        <v>177.31257627103733</v>
      </c>
      <c r="H29" s="792">
        <f>CONS_U.FIS!P19</f>
        <v>0</v>
      </c>
      <c r="I29" s="792">
        <f>CONS_U.FIS!P20</f>
        <v>0</v>
      </c>
      <c r="J29" s="792">
        <f>CONS_U.FIS!P21</f>
        <v>0</v>
      </c>
      <c r="K29" s="792">
        <f>CONS_U.FIS!P22</f>
        <v>0</v>
      </c>
      <c r="L29" s="792">
        <f>CONS_U.FIS!P23</f>
        <v>0</v>
      </c>
      <c r="M29" s="792">
        <f>CONS_U.FIS!P24</f>
        <v>0</v>
      </c>
      <c r="N29" s="793">
        <f>SUM(C29:M29)</f>
        <v>177.31257627103733</v>
      </c>
      <c r="O29" s="794"/>
      <c r="P29" s="395"/>
      <c r="Q29" s="395"/>
      <c r="R29" s="395"/>
      <c r="S29" s="395"/>
      <c r="T29" s="395"/>
      <c r="U29" s="395"/>
      <c r="V29" s="395"/>
      <c r="W29" s="395"/>
      <c r="X29" s="395"/>
      <c r="Y29" s="395"/>
      <c r="Z29" s="395"/>
    </row>
    <row r="30" spans="1:26">
      <c r="A30" s="459"/>
      <c r="B30" s="795" t="s">
        <v>179</v>
      </c>
      <c r="C30" s="792"/>
      <c r="D30" s="792"/>
      <c r="E30" s="792"/>
      <c r="F30" s="792"/>
      <c r="G30" s="792"/>
      <c r="H30" s="792"/>
      <c r="I30" s="792"/>
      <c r="J30" s="792"/>
      <c r="K30" s="792"/>
      <c r="L30" s="792"/>
      <c r="M30" s="792"/>
      <c r="N30" s="793"/>
      <c r="O30" s="796"/>
      <c r="P30" s="396"/>
      <c r="Q30" s="396"/>
      <c r="R30" s="394"/>
      <c r="S30" s="394"/>
      <c r="T30" s="394"/>
      <c r="U30" s="394"/>
      <c r="V30" s="394"/>
      <c r="W30" s="394"/>
      <c r="X30" s="394"/>
      <c r="Y30" s="394"/>
      <c r="Z30" s="394"/>
    </row>
    <row r="31" spans="1:26">
      <c r="A31" s="459"/>
      <c r="B31" s="790" t="s">
        <v>83</v>
      </c>
      <c r="C31" s="791">
        <f>CONS_U.FIS!Q14</f>
        <v>0</v>
      </c>
      <c r="D31" s="792">
        <f>CONS_U.FIS!Q15</f>
        <v>0</v>
      </c>
      <c r="E31" s="792">
        <f>CONS_U.FIS!Q16</f>
        <v>0</v>
      </c>
      <c r="F31" s="792">
        <f>CONS_U.FIS!Q17</f>
        <v>0</v>
      </c>
      <c r="G31" s="792">
        <f>CONS_U.FIS!Q18</f>
        <v>184.00444444444446</v>
      </c>
      <c r="H31" s="792">
        <f>CONS_U.FIS!Q19</f>
        <v>0</v>
      </c>
      <c r="I31" s="792">
        <f>CONS_U.FIS!Q20</f>
        <v>0</v>
      </c>
      <c r="J31" s="792">
        <f>CONS_U.FIS!Q21</f>
        <v>0</v>
      </c>
      <c r="K31" s="792">
        <f>CONS_U.FIS!Q22</f>
        <v>0</v>
      </c>
      <c r="L31" s="792">
        <f>CONS_U.FIS!Q23</f>
        <v>0</v>
      </c>
      <c r="M31" s="792">
        <f>CONS_U.FIS!Q24</f>
        <v>0</v>
      </c>
      <c r="N31" s="793">
        <f>SUM(C31:M31)</f>
        <v>184.00444444444446</v>
      </c>
      <c r="O31" s="794"/>
      <c r="P31" s="395"/>
      <c r="Q31" s="395"/>
      <c r="R31" s="395"/>
      <c r="S31" s="395"/>
      <c r="T31" s="395"/>
      <c r="U31" s="395"/>
      <c r="V31" s="395"/>
      <c r="W31" s="395"/>
      <c r="X31" s="395"/>
      <c r="Y31" s="395"/>
      <c r="Z31" s="395"/>
    </row>
    <row r="32" spans="1:26">
      <c r="A32" s="459"/>
      <c r="B32" s="795" t="s">
        <v>178</v>
      </c>
      <c r="C32" s="792"/>
      <c r="D32" s="792"/>
      <c r="E32" s="792"/>
      <c r="F32" s="792"/>
      <c r="G32" s="792"/>
      <c r="H32" s="792"/>
      <c r="I32" s="792"/>
      <c r="J32" s="792"/>
      <c r="K32" s="792"/>
      <c r="L32" s="792"/>
      <c r="M32" s="792"/>
      <c r="N32" s="793"/>
      <c r="O32" s="796"/>
      <c r="P32" s="396"/>
      <c r="Q32" s="396"/>
      <c r="R32" s="394"/>
      <c r="S32" s="394"/>
      <c r="T32" s="394"/>
      <c r="U32" s="394"/>
      <c r="V32" s="394"/>
      <c r="W32" s="394"/>
      <c r="X32" s="394"/>
      <c r="Y32" s="394"/>
      <c r="Z32" s="394"/>
    </row>
    <row r="33" spans="1:26">
      <c r="A33" s="459"/>
      <c r="B33" s="790" t="s">
        <v>189</v>
      </c>
      <c r="C33" s="791">
        <f>CONS_U.FIS!R14</f>
        <v>46.901200058785349</v>
      </c>
      <c r="D33" s="792">
        <f>CONS_U.FIS!R15</f>
        <v>14.585552618458193</v>
      </c>
      <c r="E33" s="792">
        <f>CONS_U.FIS!R16</f>
        <v>0</v>
      </c>
      <c r="F33" s="792">
        <f>CONS_U.FIS!R17</f>
        <v>58.355044385950279</v>
      </c>
      <c r="G33" s="792">
        <f>CONS_U.FIS!R18</f>
        <v>0</v>
      </c>
      <c r="H33" s="792">
        <f>CONS_U.FIS!R19</f>
        <v>8.3873531645569613E-2</v>
      </c>
      <c r="I33" s="792">
        <f>CONS_U.FIS!R20</f>
        <v>0.86326557970238726</v>
      </c>
      <c r="J33" s="791">
        <f>CONS_U.FIS!R21</f>
        <v>0</v>
      </c>
      <c r="K33" s="792">
        <f>CONS_U.FIS!R22</f>
        <v>6.3139239278449839</v>
      </c>
      <c r="L33" s="792">
        <f>CONS_U.FIS!R23</f>
        <v>23.478062986076292</v>
      </c>
      <c r="M33" s="792">
        <f>CONS_U.FIS!R24</f>
        <v>11.915601275024088</v>
      </c>
      <c r="N33" s="793">
        <f>SUM(C33:M33)</f>
        <v>162.49652436348714</v>
      </c>
      <c r="O33" s="794"/>
      <c r="P33" s="395"/>
      <c r="Q33" s="395"/>
      <c r="R33" s="395"/>
      <c r="S33" s="395"/>
      <c r="T33" s="395"/>
      <c r="U33" s="395"/>
      <c r="V33" s="395"/>
      <c r="W33" s="395"/>
      <c r="X33" s="395"/>
      <c r="Y33" s="395"/>
      <c r="Z33" s="395"/>
    </row>
    <row r="34" spans="1:26">
      <c r="A34" s="459"/>
      <c r="B34" s="795" t="s">
        <v>179</v>
      </c>
      <c r="C34" s="792"/>
      <c r="D34" s="792"/>
      <c r="E34" s="792"/>
      <c r="F34" s="792"/>
      <c r="G34" s="792"/>
      <c r="H34" s="792"/>
      <c r="I34" s="792"/>
      <c r="J34" s="792"/>
      <c r="K34" s="792"/>
      <c r="L34" s="792"/>
      <c r="M34" s="792"/>
      <c r="N34" s="793"/>
      <c r="O34" s="796"/>
      <c r="P34" s="396"/>
      <c r="Q34" s="396"/>
      <c r="R34" s="394"/>
      <c r="S34" s="394"/>
      <c r="T34" s="394"/>
      <c r="U34" s="394"/>
      <c r="V34" s="394"/>
      <c r="W34" s="394"/>
      <c r="X34" s="394"/>
      <c r="Y34" s="394"/>
      <c r="Z34" s="394"/>
    </row>
    <row r="35" spans="1:26">
      <c r="A35" s="459"/>
      <c r="B35" s="790" t="s">
        <v>39</v>
      </c>
      <c r="C35" s="791">
        <f>CONS_U.FIS!S14</f>
        <v>0</v>
      </c>
      <c r="D35" s="792">
        <f>CONS_U.FIS!S15</f>
        <v>0</v>
      </c>
      <c r="E35" s="792">
        <f>CONS_U.FIS!S16</f>
        <v>0</v>
      </c>
      <c r="F35" s="792">
        <f>CONS_U.FIS!S17</f>
        <v>0</v>
      </c>
      <c r="G35" s="792">
        <f>CONS_U.FIS!S18</f>
        <v>0</v>
      </c>
      <c r="H35" s="792">
        <f>CONS_U.FIS!S19</f>
        <v>0</v>
      </c>
      <c r="I35" s="792">
        <f>CONS_U.FIS!S20</f>
        <v>0</v>
      </c>
      <c r="J35" s="792">
        <f>CONS_U.FIS!S21</f>
        <v>0</v>
      </c>
      <c r="K35" s="792">
        <f>CONS_U.FIS!S22</f>
        <v>0</v>
      </c>
      <c r="L35" s="792">
        <f>CONS_U.FIS!S23</f>
        <v>82.591192661531636</v>
      </c>
      <c r="M35" s="792">
        <f>CONS_U.FIS!S24</f>
        <v>0</v>
      </c>
      <c r="N35" s="793">
        <f>SUM(C35:M35)</f>
        <v>82.591192661531636</v>
      </c>
      <c r="O35" s="794"/>
      <c r="P35" s="395"/>
      <c r="Q35" s="395"/>
      <c r="R35" s="395"/>
      <c r="S35" s="395"/>
      <c r="T35" s="395"/>
      <c r="U35" s="395"/>
      <c r="V35" s="395"/>
      <c r="W35" s="395"/>
      <c r="X35" s="395"/>
      <c r="Y35" s="395"/>
      <c r="Z35" s="395"/>
    </row>
    <row r="36" spans="1:26">
      <c r="A36" s="459"/>
      <c r="B36" s="795" t="s">
        <v>178</v>
      </c>
      <c r="C36" s="147"/>
      <c r="D36" s="147"/>
      <c r="E36" s="147"/>
      <c r="F36" s="147"/>
      <c r="G36" s="147"/>
      <c r="H36" s="147"/>
      <c r="I36" s="147"/>
      <c r="J36" s="147"/>
      <c r="K36" s="147"/>
      <c r="L36" s="147"/>
      <c r="M36" s="147"/>
      <c r="N36" s="797"/>
      <c r="O36" s="798"/>
      <c r="P36" s="394"/>
      <c r="Q36" s="394"/>
      <c r="R36" s="394"/>
      <c r="S36" s="394"/>
      <c r="T36" s="394"/>
      <c r="U36" s="394"/>
      <c r="V36" s="394"/>
      <c r="W36" s="394"/>
      <c r="X36" s="394"/>
      <c r="Y36" s="394"/>
      <c r="Z36" s="394"/>
    </row>
    <row r="37" spans="1:26">
      <c r="A37" s="459"/>
      <c r="B37" s="790" t="s">
        <v>26</v>
      </c>
      <c r="C37" s="791">
        <f>CONS_U.FIS!U14</f>
        <v>0</v>
      </c>
      <c r="D37" s="792">
        <f>CONS_U.FIS!U15</f>
        <v>0</v>
      </c>
      <c r="E37" s="792">
        <f>CONS_U.FIS!U16</f>
        <v>0</v>
      </c>
      <c r="F37" s="792">
        <f>CONS_U.FIS!U17</f>
        <v>3474.6452508258926</v>
      </c>
      <c r="G37" s="792">
        <f>CONS_U.FIS!U18</f>
        <v>0</v>
      </c>
      <c r="H37" s="792">
        <f>CONS_U.FIS!U19</f>
        <v>0</v>
      </c>
      <c r="I37" s="792">
        <f>CONS_U.FIS!U20</f>
        <v>0</v>
      </c>
      <c r="J37" s="792">
        <f>CONS_U.FIS!U21</f>
        <v>0</v>
      </c>
      <c r="K37" s="792">
        <f>CONS_U.FIS!U22</f>
        <v>0</v>
      </c>
      <c r="L37" s="792">
        <f>CONS_U.FIS!U23</f>
        <v>1024.5153498999464</v>
      </c>
      <c r="M37" s="792">
        <f>CONS_U.FIS!U24</f>
        <v>0</v>
      </c>
      <c r="N37" s="793">
        <f>SUM(C37:M37)</f>
        <v>4499.1606007258388</v>
      </c>
      <c r="O37" s="794"/>
      <c r="P37" s="395"/>
      <c r="Q37" s="395"/>
      <c r="R37" s="395"/>
      <c r="S37" s="395"/>
      <c r="T37" s="395"/>
      <c r="U37" s="395"/>
      <c r="V37" s="395"/>
      <c r="W37" s="395"/>
      <c r="X37" s="395"/>
      <c r="Y37" s="395"/>
      <c r="Z37" s="395"/>
    </row>
    <row r="38" spans="1:26" ht="13.5" thickBot="1">
      <c r="A38" s="459"/>
      <c r="B38" s="799" t="s">
        <v>178</v>
      </c>
      <c r="C38" s="800"/>
      <c r="D38" s="800"/>
      <c r="E38" s="800"/>
      <c r="F38" s="800"/>
      <c r="G38" s="800"/>
      <c r="H38" s="800"/>
      <c r="I38" s="800"/>
      <c r="J38" s="800"/>
      <c r="K38" s="800"/>
      <c r="L38" s="800"/>
      <c r="M38" s="800"/>
      <c r="N38" s="801"/>
      <c r="O38" s="786"/>
      <c r="P38" s="394"/>
      <c r="Q38" s="394"/>
      <c r="R38" s="394"/>
      <c r="S38" s="394"/>
      <c r="T38" s="394"/>
      <c r="U38" s="394"/>
      <c r="V38" s="394"/>
      <c r="W38" s="394"/>
      <c r="X38" s="394"/>
      <c r="Y38" s="394"/>
      <c r="Z38" s="394"/>
    </row>
    <row r="39" spans="1:26">
      <c r="A39" s="459"/>
      <c r="B39" s="455" t="s">
        <v>795</v>
      </c>
      <c r="C39" s="455"/>
      <c r="D39" s="455"/>
      <c r="E39" s="455"/>
      <c r="F39" s="455"/>
      <c r="G39" s="455"/>
      <c r="H39" s="455"/>
      <c r="I39" s="415"/>
      <c r="J39" s="415"/>
      <c r="K39" s="415"/>
      <c r="L39" s="415"/>
      <c r="M39" s="415"/>
      <c r="N39" s="415"/>
      <c r="O39" s="802"/>
      <c r="P39" s="394"/>
      <c r="Q39" s="394"/>
      <c r="R39" s="394"/>
      <c r="S39" s="394"/>
      <c r="T39" s="394"/>
      <c r="U39" s="394"/>
      <c r="V39" s="394"/>
      <c r="W39" s="394"/>
      <c r="X39" s="394"/>
      <c r="Y39" s="394"/>
      <c r="Z39" s="394"/>
    </row>
    <row r="40" spans="1:26">
      <c r="A40" s="459"/>
      <c r="B40" s="455" t="s">
        <v>773</v>
      </c>
      <c r="C40" s="455"/>
      <c r="D40" s="455"/>
      <c r="E40" s="455"/>
      <c r="F40" s="455"/>
      <c r="G40" s="455"/>
      <c r="H40" s="455"/>
      <c r="I40" s="415"/>
      <c r="J40" s="803"/>
      <c r="K40" s="415"/>
      <c r="L40" s="415"/>
      <c r="M40" s="415"/>
      <c r="N40" s="415"/>
      <c r="O40" s="802"/>
      <c r="P40" s="394"/>
      <c r="Q40" s="394"/>
      <c r="R40" s="394"/>
      <c r="S40" s="394"/>
      <c r="T40" s="394"/>
      <c r="U40" s="394"/>
      <c r="V40" s="394"/>
      <c r="W40" s="394"/>
      <c r="X40" s="394"/>
      <c r="Y40" s="394"/>
      <c r="Z40" s="394"/>
    </row>
    <row r="41" spans="1:26">
      <c r="A41" s="459"/>
      <c r="B41" s="774"/>
      <c r="C41" s="774"/>
      <c r="D41" s="774"/>
      <c r="E41" s="774"/>
      <c r="F41" s="774"/>
      <c r="G41" s="774"/>
      <c r="H41" s="774"/>
      <c r="I41" s="774"/>
      <c r="J41" s="774"/>
      <c r="K41" s="774"/>
      <c r="L41" s="774"/>
      <c r="M41" s="774"/>
      <c r="N41" s="774"/>
      <c r="O41" s="804"/>
      <c r="P41" s="398"/>
      <c r="Q41" s="399"/>
      <c r="R41" s="399"/>
      <c r="S41" s="399"/>
      <c r="T41" s="399"/>
      <c r="U41" s="399"/>
      <c r="V41" s="399"/>
      <c r="W41" s="399"/>
      <c r="X41" s="399"/>
      <c r="Y41" s="399"/>
      <c r="Z41" s="399"/>
    </row>
    <row r="42" spans="1:26">
      <c r="A42" s="459"/>
      <c r="B42" s="774"/>
      <c r="C42" s="774"/>
      <c r="D42" s="774"/>
      <c r="E42" s="774"/>
      <c r="F42" s="774"/>
      <c r="G42" s="774"/>
      <c r="H42" s="774"/>
      <c r="I42" s="774"/>
      <c r="J42" s="774"/>
      <c r="K42" s="774"/>
      <c r="L42" s="774"/>
      <c r="M42" s="774"/>
      <c r="N42" s="774"/>
      <c r="O42" s="804"/>
      <c r="P42" s="399"/>
      <c r="Q42" s="399"/>
      <c r="R42" s="399"/>
      <c r="S42" s="399"/>
      <c r="T42" s="399"/>
      <c r="U42" s="399"/>
      <c r="V42" s="399"/>
      <c r="W42" s="399"/>
      <c r="X42" s="399"/>
      <c r="Y42" s="399"/>
      <c r="Z42" s="399"/>
    </row>
    <row r="43" spans="1:26">
      <c r="A43" s="459"/>
      <c r="B43" s="774"/>
      <c r="C43" s="774"/>
      <c r="D43" s="774"/>
      <c r="E43" s="774"/>
      <c r="F43" s="774"/>
      <c r="G43" s="774"/>
      <c r="H43" s="774"/>
      <c r="I43" s="774"/>
      <c r="J43" s="774"/>
      <c r="K43" s="774"/>
      <c r="L43" s="774"/>
      <c r="M43" s="774"/>
      <c r="N43" s="774"/>
      <c r="O43" s="804"/>
      <c r="P43" s="399"/>
      <c r="Q43" s="399"/>
      <c r="R43" s="399"/>
      <c r="S43" s="399"/>
      <c r="T43" s="399"/>
      <c r="U43" s="399"/>
      <c r="V43" s="399"/>
      <c r="W43" s="399"/>
      <c r="X43" s="399"/>
      <c r="Y43" s="399"/>
      <c r="Z43" s="399"/>
    </row>
    <row r="44" spans="1:26">
      <c r="A44" s="459"/>
      <c r="B44" s="774"/>
      <c r="C44" s="774"/>
      <c r="D44" s="774"/>
      <c r="E44" s="774"/>
      <c r="F44" s="774"/>
      <c r="G44" s="774"/>
      <c r="H44" s="774"/>
      <c r="I44" s="774"/>
      <c r="J44" s="774"/>
      <c r="K44" s="774"/>
      <c r="L44" s="774"/>
      <c r="M44" s="774"/>
      <c r="N44" s="774"/>
      <c r="O44" s="804"/>
      <c r="P44" s="399"/>
      <c r="Q44" s="399"/>
      <c r="R44" s="399"/>
      <c r="S44" s="399"/>
      <c r="T44" s="399"/>
      <c r="U44" s="399"/>
      <c r="V44" s="399"/>
      <c r="W44" s="399"/>
      <c r="X44" s="399"/>
      <c r="Y44" s="399"/>
      <c r="Z44" s="399"/>
    </row>
    <row r="45" spans="1:26">
      <c r="A45" s="459"/>
      <c r="B45" s="774"/>
      <c r="C45" s="774"/>
      <c r="D45" s="774"/>
      <c r="E45" s="774"/>
      <c r="F45" s="774"/>
      <c r="G45" s="774"/>
      <c r="H45" s="774"/>
      <c r="I45" s="774"/>
      <c r="J45" s="774"/>
      <c r="K45" s="774"/>
      <c r="L45" s="774"/>
      <c r="M45" s="774"/>
      <c r="N45" s="774"/>
      <c r="O45" s="397"/>
      <c r="P45" s="399"/>
      <c r="Q45" s="399"/>
      <c r="R45" s="399"/>
      <c r="S45" s="399"/>
      <c r="T45" s="399"/>
      <c r="U45" s="399"/>
      <c r="V45" s="399"/>
      <c r="W45" s="399"/>
      <c r="X45" s="399"/>
      <c r="Y45" s="399"/>
      <c r="Z45" s="399"/>
    </row>
    <row r="46" spans="1:26">
      <c r="A46" s="459"/>
      <c r="B46" s="774"/>
      <c r="C46" s="774"/>
      <c r="D46" s="774"/>
      <c r="E46" s="774"/>
      <c r="F46" s="774"/>
      <c r="G46" s="774"/>
      <c r="H46" s="774"/>
      <c r="I46" s="774"/>
      <c r="J46" s="774"/>
      <c r="K46" s="774"/>
      <c r="L46" s="774"/>
      <c r="M46" s="774"/>
      <c r="N46" s="774"/>
      <c r="O46" s="397"/>
      <c r="P46" s="399"/>
      <c r="Q46" s="399"/>
      <c r="R46" s="399"/>
      <c r="S46" s="399"/>
      <c r="T46" s="399"/>
      <c r="U46" s="399"/>
      <c r="V46" s="399"/>
      <c r="W46" s="399"/>
      <c r="X46" s="399"/>
      <c r="Y46" s="399"/>
      <c r="Z46" s="399"/>
    </row>
    <row r="47" spans="1:26">
      <c r="B47" s="29"/>
      <c r="C47" s="29"/>
      <c r="D47" s="29"/>
      <c r="E47" s="29"/>
      <c r="F47" s="29"/>
      <c r="G47" s="29"/>
      <c r="H47" s="29"/>
      <c r="I47" s="29"/>
      <c r="J47" s="29"/>
      <c r="K47" s="29"/>
      <c r="L47" s="29"/>
      <c r="M47" s="29"/>
      <c r="N47" s="29"/>
      <c r="O47" s="397"/>
      <c r="P47" s="399"/>
      <c r="Q47" s="399"/>
      <c r="R47" s="399"/>
      <c r="S47" s="399"/>
      <c r="T47" s="399"/>
      <c r="U47" s="399"/>
      <c r="V47" s="399"/>
      <c r="W47" s="399"/>
      <c r="X47" s="399"/>
      <c r="Y47" s="399"/>
      <c r="Z47" s="399"/>
    </row>
    <row r="48" spans="1:26">
      <c r="B48" s="29"/>
      <c r="C48" s="29"/>
      <c r="D48" s="29"/>
      <c r="E48" s="29"/>
      <c r="F48" s="29"/>
      <c r="G48" s="29"/>
      <c r="H48" s="29"/>
      <c r="I48" s="29"/>
      <c r="J48" s="29"/>
      <c r="K48" s="29"/>
      <c r="L48" s="29"/>
      <c r="M48" s="29"/>
      <c r="N48" s="29"/>
      <c r="O48" s="397"/>
      <c r="P48" s="399"/>
      <c r="Q48" s="399"/>
      <c r="R48" s="399"/>
      <c r="S48" s="399"/>
      <c r="T48" s="399"/>
      <c r="U48" s="399"/>
      <c r="V48" s="399"/>
      <c r="W48" s="399"/>
      <c r="X48" s="399"/>
      <c r="Y48" s="399"/>
      <c r="Z48" s="399"/>
    </row>
    <row r="49" spans="2:26">
      <c r="B49" s="29"/>
      <c r="C49" s="29"/>
      <c r="D49" s="29"/>
      <c r="E49" s="29"/>
      <c r="F49" s="29"/>
      <c r="G49" s="29"/>
      <c r="H49" s="29"/>
      <c r="I49" s="29"/>
      <c r="J49" s="29"/>
      <c r="K49" s="29"/>
      <c r="L49" s="29"/>
      <c r="M49" s="29"/>
      <c r="N49" s="29"/>
      <c r="O49" s="397"/>
      <c r="P49" s="399"/>
      <c r="Q49" s="399"/>
      <c r="R49" s="399"/>
      <c r="S49" s="399"/>
      <c r="T49" s="399"/>
      <c r="U49" s="399"/>
      <c r="V49" s="399"/>
      <c r="W49" s="399"/>
      <c r="X49" s="399"/>
      <c r="Y49" s="399"/>
      <c r="Z49" s="399"/>
    </row>
    <row r="50" spans="2:26">
      <c r="B50" s="29"/>
      <c r="C50" s="29"/>
      <c r="D50" s="29"/>
      <c r="E50" s="29"/>
      <c r="F50" s="29"/>
      <c r="G50" s="29"/>
      <c r="H50" s="29"/>
      <c r="I50" s="29"/>
      <c r="J50" s="29"/>
      <c r="K50" s="29"/>
      <c r="L50" s="29"/>
      <c r="M50" s="29"/>
      <c r="N50" s="29"/>
      <c r="O50" s="397"/>
      <c r="P50" s="399"/>
      <c r="Q50" s="399"/>
      <c r="R50" s="399"/>
      <c r="S50" s="399"/>
      <c r="T50" s="399"/>
      <c r="U50" s="399"/>
      <c r="V50" s="399"/>
      <c r="W50" s="399"/>
      <c r="X50" s="399"/>
      <c r="Y50" s="399"/>
      <c r="Z50" s="399"/>
    </row>
    <row r="51" spans="2:26">
      <c r="B51" s="29"/>
      <c r="C51" s="29"/>
      <c r="D51" s="29"/>
      <c r="E51" s="29"/>
      <c r="F51" s="29"/>
      <c r="G51" s="29"/>
      <c r="H51" s="29"/>
      <c r="I51" s="29"/>
      <c r="J51" s="29"/>
      <c r="K51" s="29"/>
      <c r="L51" s="29"/>
      <c r="M51" s="29"/>
      <c r="N51" s="29"/>
      <c r="O51" s="397"/>
      <c r="P51" s="399"/>
      <c r="Q51" s="399"/>
      <c r="R51" s="399"/>
      <c r="S51" s="399"/>
      <c r="T51" s="399"/>
      <c r="U51" s="399"/>
      <c r="V51" s="399"/>
      <c r="W51" s="399"/>
      <c r="X51" s="399"/>
      <c r="Y51" s="399"/>
      <c r="Z51" s="399"/>
    </row>
    <row r="52" spans="2:26">
      <c r="B52" s="29"/>
      <c r="C52" s="29"/>
      <c r="D52" s="29"/>
      <c r="E52" s="29"/>
      <c r="F52" s="29"/>
      <c r="G52" s="29"/>
      <c r="H52" s="29"/>
      <c r="I52" s="29"/>
      <c r="J52" s="29"/>
      <c r="K52" s="29"/>
      <c r="L52" s="29"/>
      <c r="M52" s="29"/>
      <c r="N52" s="29"/>
      <c r="O52" s="397"/>
      <c r="P52" s="399"/>
      <c r="Q52" s="399"/>
      <c r="R52" s="399"/>
      <c r="S52" s="399"/>
      <c r="T52" s="399"/>
      <c r="U52" s="399"/>
      <c r="V52" s="399"/>
      <c r="W52" s="399"/>
      <c r="X52" s="399"/>
      <c r="Y52" s="399"/>
      <c r="Z52" s="399"/>
    </row>
    <row r="53" spans="2:26">
      <c r="B53" s="29"/>
      <c r="C53" s="29"/>
      <c r="D53" s="29"/>
      <c r="E53" s="29"/>
      <c r="F53" s="29"/>
      <c r="G53" s="29"/>
      <c r="H53" s="29"/>
      <c r="I53" s="29"/>
      <c r="J53" s="29"/>
      <c r="K53" s="29"/>
      <c r="L53" s="29"/>
      <c r="M53" s="29"/>
      <c r="N53" s="29"/>
      <c r="O53" s="397"/>
      <c r="P53" s="399"/>
      <c r="Q53" s="399"/>
      <c r="R53" s="399"/>
      <c r="S53" s="399"/>
      <c r="T53" s="399"/>
      <c r="U53" s="399"/>
      <c r="V53" s="399"/>
      <c r="W53" s="399"/>
      <c r="X53" s="399"/>
      <c r="Y53" s="399"/>
      <c r="Z53" s="399"/>
    </row>
    <row r="54" spans="2:26">
      <c r="B54" s="29"/>
      <c r="C54" s="29"/>
      <c r="D54" s="29"/>
      <c r="E54" s="29"/>
      <c r="F54" s="29"/>
      <c r="G54" s="29"/>
      <c r="H54" s="29"/>
      <c r="I54" s="29"/>
      <c r="J54" s="29"/>
      <c r="K54" s="29"/>
      <c r="L54" s="29"/>
      <c r="M54" s="29"/>
      <c r="N54" s="29"/>
      <c r="O54" s="397"/>
      <c r="P54" s="399"/>
      <c r="Q54" s="399"/>
      <c r="R54" s="399"/>
      <c r="S54" s="399"/>
      <c r="T54" s="399"/>
      <c r="U54" s="399"/>
      <c r="V54" s="399"/>
      <c r="W54" s="399"/>
      <c r="X54" s="399"/>
      <c r="Y54" s="399"/>
      <c r="Z54" s="399"/>
    </row>
    <row r="55" spans="2:26">
      <c r="B55" s="29"/>
      <c r="C55" s="29"/>
      <c r="D55" s="29"/>
      <c r="E55" s="29"/>
      <c r="F55" s="29"/>
      <c r="G55" s="29"/>
      <c r="H55" s="29"/>
      <c r="I55" s="29"/>
      <c r="J55" s="29"/>
      <c r="K55" s="29"/>
      <c r="L55" s="29"/>
      <c r="M55" s="29"/>
      <c r="N55" s="29"/>
      <c r="O55" s="397"/>
      <c r="P55" s="399"/>
      <c r="Q55" s="399"/>
      <c r="R55" s="399"/>
      <c r="S55" s="399"/>
      <c r="T55" s="399"/>
      <c r="U55" s="399"/>
      <c r="V55" s="399"/>
      <c r="W55" s="399"/>
      <c r="X55" s="399"/>
      <c r="Y55" s="399"/>
      <c r="Z55" s="399"/>
    </row>
    <row r="56" spans="2:26">
      <c r="B56" s="29"/>
      <c r="C56" s="29"/>
      <c r="D56" s="29"/>
      <c r="E56" s="29"/>
      <c r="F56" s="29"/>
      <c r="G56" s="29"/>
      <c r="H56" s="29"/>
      <c r="I56" s="29"/>
      <c r="J56" s="29"/>
      <c r="K56" s="29"/>
      <c r="L56" s="29"/>
      <c r="M56" s="29"/>
      <c r="N56" s="29"/>
      <c r="O56" s="397"/>
      <c r="P56" s="399"/>
      <c r="Q56" s="399"/>
      <c r="R56" s="399"/>
      <c r="S56" s="399"/>
      <c r="T56" s="399"/>
      <c r="U56" s="399"/>
      <c r="V56" s="399"/>
      <c r="W56" s="399"/>
      <c r="X56" s="399"/>
      <c r="Y56" s="399"/>
      <c r="Z56" s="399"/>
    </row>
    <row r="57" spans="2:26">
      <c r="B57" s="29"/>
      <c r="C57" s="29"/>
      <c r="D57" s="29"/>
      <c r="E57" s="29"/>
      <c r="F57" s="29"/>
      <c r="G57" s="29"/>
      <c r="H57" s="29"/>
      <c r="I57" s="29"/>
      <c r="J57" s="29"/>
      <c r="K57" s="29"/>
      <c r="L57" s="29"/>
      <c r="M57" s="29"/>
      <c r="N57" s="29"/>
      <c r="O57" s="397"/>
      <c r="P57" s="399"/>
      <c r="Q57" s="399"/>
      <c r="R57" s="399"/>
      <c r="S57" s="399"/>
      <c r="T57" s="399"/>
      <c r="U57" s="399"/>
      <c r="V57" s="399"/>
      <c r="W57" s="399"/>
      <c r="X57" s="399"/>
      <c r="Y57" s="399"/>
      <c r="Z57" s="399"/>
    </row>
    <row r="58" spans="2:26">
      <c r="B58" s="29"/>
      <c r="C58" s="29"/>
      <c r="D58" s="29"/>
      <c r="E58" s="29"/>
      <c r="F58" s="29"/>
      <c r="G58" s="29"/>
      <c r="H58" s="29"/>
      <c r="I58" s="29"/>
      <c r="J58" s="29"/>
      <c r="K58" s="29"/>
      <c r="L58" s="29"/>
      <c r="M58" s="29"/>
      <c r="N58" s="29"/>
      <c r="O58" s="397"/>
      <c r="P58" s="399"/>
      <c r="Q58" s="399"/>
      <c r="R58" s="399"/>
      <c r="S58" s="399"/>
      <c r="T58" s="399"/>
      <c r="U58" s="399"/>
      <c r="V58" s="399"/>
      <c r="W58" s="399"/>
      <c r="X58" s="399"/>
      <c r="Y58" s="399"/>
      <c r="Z58" s="399"/>
    </row>
    <row r="59" spans="2:26">
      <c r="B59" s="3"/>
      <c r="C59" s="3"/>
      <c r="D59" s="3"/>
      <c r="E59" s="3"/>
      <c r="F59" s="3"/>
      <c r="G59" s="3"/>
      <c r="H59" s="3"/>
      <c r="I59" s="3"/>
      <c r="J59" s="3"/>
      <c r="K59" s="3"/>
      <c r="L59" s="3"/>
      <c r="M59" s="3"/>
      <c r="N59" s="3"/>
      <c r="O59" s="394"/>
      <c r="P59" s="399"/>
      <c r="Q59" s="399"/>
      <c r="R59" s="399"/>
      <c r="S59" s="399"/>
      <c r="T59" s="399"/>
      <c r="U59" s="399"/>
      <c r="V59" s="399"/>
      <c r="W59" s="399"/>
      <c r="X59" s="399"/>
      <c r="Y59" s="399"/>
      <c r="Z59" s="399"/>
    </row>
    <row r="60" spans="2:26">
      <c r="B60" s="3"/>
      <c r="C60" s="3"/>
      <c r="D60" s="3"/>
      <c r="E60" s="3"/>
      <c r="F60" s="3"/>
      <c r="G60" s="3"/>
      <c r="H60" s="3"/>
      <c r="I60" s="3"/>
      <c r="J60" s="3"/>
      <c r="K60" s="3"/>
      <c r="L60" s="3"/>
      <c r="M60" s="3"/>
      <c r="N60" s="3"/>
      <c r="O60" s="394"/>
      <c r="P60" s="399"/>
      <c r="Q60" s="399"/>
      <c r="R60" s="399"/>
      <c r="S60" s="399"/>
      <c r="T60" s="399"/>
      <c r="U60" s="399"/>
      <c r="V60" s="399"/>
      <c r="W60" s="399"/>
      <c r="X60" s="399"/>
      <c r="Y60" s="399"/>
      <c r="Z60" s="399"/>
    </row>
    <row r="61" spans="2:26">
      <c r="B61" s="3"/>
      <c r="C61" s="3"/>
      <c r="D61" s="3"/>
      <c r="E61" s="3"/>
      <c r="F61" s="3"/>
      <c r="G61" s="3"/>
      <c r="H61" s="3"/>
      <c r="I61" s="3"/>
      <c r="J61" s="3"/>
      <c r="K61" s="3"/>
      <c r="L61" s="3"/>
      <c r="M61" s="3"/>
      <c r="N61" s="3"/>
      <c r="O61" s="394"/>
      <c r="P61" s="399"/>
      <c r="Q61" s="399"/>
      <c r="R61" s="399"/>
      <c r="S61" s="399"/>
      <c r="T61" s="399"/>
      <c r="U61" s="399"/>
      <c r="V61" s="399"/>
      <c r="W61" s="399"/>
      <c r="X61" s="399"/>
      <c r="Y61" s="399"/>
      <c r="Z61" s="399"/>
    </row>
    <row r="62" spans="2:26">
      <c r="O62" s="394"/>
      <c r="P62" s="399"/>
      <c r="Q62" s="399"/>
      <c r="R62" s="399"/>
      <c r="S62" s="399"/>
      <c r="T62" s="399"/>
      <c r="U62" s="399"/>
      <c r="V62" s="399"/>
      <c r="W62" s="399"/>
      <c r="X62" s="399"/>
      <c r="Y62" s="399"/>
      <c r="Z62" s="399"/>
    </row>
    <row r="63" spans="2:26">
      <c r="O63" s="394"/>
      <c r="P63" s="399"/>
      <c r="Q63" s="399"/>
      <c r="R63" s="399"/>
      <c r="S63" s="399"/>
      <c r="T63" s="399"/>
      <c r="U63" s="399"/>
      <c r="V63" s="399"/>
      <c r="W63" s="399"/>
      <c r="X63" s="399"/>
      <c r="Y63" s="399"/>
      <c r="Z63" s="399"/>
    </row>
    <row r="64" spans="2:26">
      <c r="O64" s="394"/>
      <c r="P64" s="399"/>
      <c r="Q64" s="399"/>
      <c r="R64" s="399"/>
      <c r="S64" s="399"/>
      <c r="T64" s="399"/>
      <c r="U64" s="399"/>
      <c r="V64" s="399"/>
      <c r="W64" s="399"/>
      <c r="X64" s="399"/>
      <c r="Y64" s="399"/>
      <c r="Z64" s="399"/>
    </row>
    <row r="65" spans="15:26">
      <c r="O65" s="394"/>
      <c r="P65" s="399"/>
      <c r="Q65" s="399"/>
      <c r="R65" s="399"/>
      <c r="S65" s="399"/>
      <c r="T65" s="399"/>
      <c r="U65" s="399"/>
      <c r="V65" s="399"/>
      <c r="W65" s="399"/>
      <c r="X65" s="399"/>
      <c r="Y65" s="399"/>
      <c r="Z65" s="399"/>
    </row>
    <row r="66" spans="15:26">
      <c r="O66" s="394"/>
      <c r="P66" s="399"/>
      <c r="Q66" s="399"/>
      <c r="R66" s="399"/>
      <c r="S66" s="399"/>
      <c r="T66" s="399"/>
      <c r="U66" s="399"/>
      <c r="V66" s="399"/>
      <c r="W66" s="399"/>
      <c r="X66" s="399"/>
      <c r="Y66" s="399"/>
      <c r="Z66" s="399"/>
    </row>
    <row r="67" spans="15:26">
      <c r="O67" s="394"/>
      <c r="P67" s="399"/>
      <c r="Q67" s="399"/>
      <c r="R67" s="399"/>
      <c r="S67" s="399"/>
      <c r="T67" s="399"/>
      <c r="U67" s="399"/>
      <c r="V67" s="399"/>
      <c r="W67" s="399"/>
      <c r="X67" s="399"/>
      <c r="Y67" s="399"/>
      <c r="Z67" s="399"/>
    </row>
    <row r="68" spans="15:26">
      <c r="O68" s="394"/>
      <c r="P68" s="399"/>
      <c r="Q68" s="399"/>
      <c r="R68" s="399"/>
      <c r="S68" s="399"/>
      <c r="T68" s="399"/>
      <c r="U68" s="399"/>
      <c r="V68" s="399"/>
      <c r="W68" s="399"/>
      <c r="X68" s="399"/>
      <c r="Y68" s="399"/>
      <c r="Z68" s="399"/>
    </row>
    <row r="69" spans="15:26">
      <c r="O69" s="394"/>
      <c r="P69" s="399"/>
      <c r="Q69" s="399"/>
      <c r="R69" s="399"/>
      <c r="S69" s="399"/>
      <c r="T69" s="399"/>
      <c r="U69" s="399"/>
      <c r="V69" s="399"/>
      <c r="W69" s="399"/>
      <c r="X69" s="399"/>
      <c r="Y69" s="399"/>
      <c r="Z69" s="399"/>
    </row>
  </sheetData>
  <phoneticPr fontId="0" type="noConversion"/>
  <hyperlinks>
    <hyperlink ref="O6" location="INDICE!A40" display="VOLVER A INDICE"/>
  </hyperlinks>
  <pageMargins left="0.75" right="0.75" top="1" bottom="1" header="0" footer="0"/>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95"/>
  <sheetViews>
    <sheetView workbookViewId="0">
      <selection activeCell="H28" sqref="H28"/>
    </sheetView>
  </sheetViews>
  <sheetFormatPr baseColWidth="10" defaultRowHeight="12.75"/>
  <cols>
    <col min="1" max="1" width="1.42578125" style="260" customWidth="1"/>
    <col min="2" max="2" width="30" style="260" customWidth="1"/>
    <col min="3" max="3" width="13.85546875" style="260" customWidth="1"/>
    <col min="4" max="6" width="11.42578125" style="260"/>
    <col min="7" max="17" width="11.42578125" style="3"/>
    <col min="18" max="16384" width="11.42578125" style="260"/>
  </cols>
  <sheetData>
    <row r="1" spans="1:9" ht="6.75" customHeight="1" thickBot="1">
      <c r="A1" s="459"/>
      <c r="B1" s="459"/>
      <c r="C1" s="459"/>
      <c r="D1" s="459"/>
      <c r="E1" s="459"/>
      <c r="F1" s="459"/>
      <c r="G1" s="62"/>
      <c r="H1" s="62"/>
      <c r="I1" s="62"/>
    </row>
    <row r="2" spans="1:9" ht="15.75" customHeight="1" thickBot="1">
      <c r="A2" s="459"/>
      <c r="B2" s="805"/>
      <c r="C2" s="806"/>
      <c r="D2" s="806"/>
      <c r="E2" s="806"/>
      <c r="F2" s="807"/>
      <c r="G2" s="808"/>
      <c r="H2" s="808"/>
      <c r="I2" s="808"/>
    </row>
    <row r="3" spans="1:9" ht="15.75">
      <c r="A3" s="459"/>
      <c r="B3" s="809"/>
      <c r="C3" s="686" t="s">
        <v>90</v>
      </c>
      <c r="D3" s="810"/>
      <c r="E3" s="810"/>
      <c r="F3" s="811"/>
      <c r="G3" s="464" t="s">
        <v>606</v>
      </c>
      <c r="H3" s="808"/>
      <c r="I3" s="808"/>
    </row>
    <row r="4" spans="1:9" ht="15.75">
      <c r="A4" s="459"/>
      <c r="B4" s="812"/>
      <c r="C4" s="813" t="s">
        <v>774</v>
      </c>
      <c r="D4" s="814"/>
      <c r="E4" s="815"/>
      <c r="F4" s="816"/>
      <c r="G4" s="808"/>
      <c r="H4" s="808"/>
      <c r="I4" s="808"/>
    </row>
    <row r="5" spans="1:9" ht="15.75">
      <c r="A5" s="459"/>
      <c r="B5" s="812"/>
      <c r="C5" s="815" t="s">
        <v>514</v>
      </c>
      <c r="D5" s="815"/>
      <c r="E5" s="815"/>
      <c r="F5" s="816"/>
      <c r="G5" s="808"/>
      <c r="H5" s="808"/>
      <c r="I5" s="808"/>
    </row>
    <row r="6" spans="1:9" ht="15.75">
      <c r="A6" s="459"/>
      <c r="B6" s="812"/>
      <c r="C6" s="815" t="s">
        <v>667</v>
      </c>
      <c r="D6" s="815"/>
      <c r="E6" s="815"/>
      <c r="F6" s="816"/>
      <c r="G6" s="808"/>
      <c r="H6" s="808"/>
      <c r="I6" s="808"/>
    </row>
    <row r="7" spans="1:9" ht="15.75">
      <c r="A7" s="459"/>
      <c r="B7" s="812"/>
      <c r="C7" s="813" t="s">
        <v>668</v>
      </c>
      <c r="D7" s="815"/>
      <c r="E7" s="815"/>
      <c r="F7" s="816"/>
      <c r="G7" s="808"/>
      <c r="H7" s="808"/>
      <c r="I7" s="808"/>
    </row>
    <row r="8" spans="1:9" ht="15.75">
      <c r="A8" s="459"/>
      <c r="B8" s="812"/>
      <c r="C8" s="815"/>
      <c r="D8" s="815"/>
      <c r="E8" s="815"/>
      <c r="F8" s="816"/>
      <c r="G8" s="808"/>
      <c r="H8" s="808"/>
      <c r="I8" s="808"/>
    </row>
    <row r="9" spans="1:9" ht="15.75">
      <c r="A9" s="459"/>
      <c r="B9" s="817" t="s">
        <v>20</v>
      </c>
      <c r="C9" s="831" t="s">
        <v>128</v>
      </c>
      <c r="D9" s="831" t="s">
        <v>129</v>
      </c>
      <c r="E9" s="831" t="s">
        <v>130</v>
      </c>
      <c r="F9" s="832" t="s">
        <v>28</v>
      </c>
      <c r="G9" s="808"/>
      <c r="H9" s="808"/>
      <c r="I9" s="808"/>
    </row>
    <row r="10" spans="1:9" ht="13.5" thickBot="1">
      <c r="A10" s="459"/>
      <c r="B10" s="818"/>
      <c r="C10" s="819"/>
      <c r="D10" s="819"/>
      <c r="E10" s="819"/>
      <c r="F10" s="820"/>
      <c r="G10" s="808"/>
      <c r="H10" s="808"/>
      <c r="I10" s="808"/>
    </row>
    <row r="11" spans="1:9">
      <c r="A11" s="459"/>
      <c r="B11" s="821" t="s">
        <v>131</v>
      </c>
      <c r="C11" s="829">
        <f>CONS_U.FIS!D29</f>
        <v>41.226286074000001</v>
      </c>
      <c r="D11" s="829">
        <f>CONS_U.FIS!D30</f>
        <v>4.5820412029999993</v>
      </c>
      <c r="E11" s="829">
        <f>CONS_U.FIS!D31</f>
        <v>0</v>
      </c>
      <c r="F11" s="830">
        <f>SUM(C11:E11)</f>
        <v>45.808327277000004</v>
      </c>
      <c r="G11" s="824"/>
      <c r="H11" s="824"/>
      <c r="I11" s="808"/>
    </row>
    <row r="12" spans="1:9">
      <c r="A12" s="459"/>
      <c r="B12" s="825" t="s">
        <v>178</v>
      </c>
      <c r="C12" s="829"/>
      <c r="D12" s="829"/>
      <c r="E12" s="829"/>
      <c r="F12" s="830"/>
      <c r="G12" s="808"/>
      <c r="H12" s="824"/>
      <c r="I12" s="808"/>
    </row>
    <row r="13" spans="1:9">
      <c r="A13" s="459"/>
      <c r="B13" s="821" t="s">
        <v>132</v>
      </c>
      <c r="C13" s="829">
        <f>CONS_U.FIS!C29</f>
        <v>146.49193734190476</v>
      </c>
      <c r="D13" s="829">
        <f>CONS_U.FIS!C30</f>
        <v>8.6660000000000004</v>
      </c>
      <c r="E13" s="829">
        <f>CONS_U.FIS!C31</f>
        <v>6.9408312380952371</v>
      </c>
      <c r="F13" s="830">
        <f>SUM(C13:E13)</f>
        <v>162.09876857999998</v>
      </c>
      <c r="G13" s="824"/>
      <c r="H13" s="824"/>
      <c r="I13" s="808"/>
    </row>
    <row r="14" spans="1:9">
      <c r="A14" s="459"/>
      <c r="B14" s="825" t="s">
        <v>177</v>
      </c>
      <c r="C14" s="829"/>
      <c r="D14" s="829"/>
      <c r="E14" s="829"/>
      <c r="F14" s="830"/>
      <c r="G14" s="808"/>
      <c r="H14" s="824"/>
      <c r="I14" s="808"/>
    </row>
    <row r="15" spans="1:9">
      <c r="A15" s="459"/>
      <c r="B15" s="821" t="s">
        <v>73</v>
      </c>
      <c r="C15" s="829">
        <f>CONS_U.FIS!F29</f>
        <v>1.1133</v>
      </c>
      <c r="D15" s="829">
        <f>CONS_U.FIS!F30</f>
        <v>2.3388900000000001</v>
      </c>
      <c r="E15" s="829">
        <f>CONS_U.FIS!F31</f>
        <v>93.521709999999999</v>
      </c>
      <c r="F15" s="830">
        <f>SUM(C15:E15)</f>
        <v>96.9739</v>
      </c>
      <c r="G15" s="824"/>
      <c r="H15" s="824"/>
      <c r="I15" s="808"/>
    </row>
    <row r="16" spans="1:9">
      <c r="A16" s="459"/>
      <c r="B16" s="825" t="s">
        <v>177</v>
      </c>
      <c r="C16" s="829"/>
      <c r="D16" s="829"/>
      <c r="E16" s="829"/>
      <c r="F16" s="830"/>
      <c r="G16" s="808"/>
      <c r="H16" s="824"/>
      <c r="I16" s="808"/>
    </row>
    <row r="17" spans="1:9">
      <c r="A17" s="459"/>
      <c r="B17" s="351" t="s">
        <v>77</v>
      </c>
      <c r="C17" s="829">
        <f>CONS_U.FIS!J29</f>
        <v>0</v>
      </c>
      <c r="D17" s="829">
        <f>CONS_U.FIS!J30</f>
        <v>0</v>
      </c>
      <c r="E17" s="829">
        <f>CONS_U.FIS!J31</f>
        <v>0</v>
      </c>
      <c r="F17" s="830">
        <f>SUM(C17:E17)</f>
        <v>0</v>
      </c>
      <c r="G17" s="808"/>
      <c r="H17" s="824"/>
      <c r="I17" s="808"/>
    </row>
    <row r="18" spans="1:9">
      <c r="A18" s="459"/>
      <c r="B18" s="825" t="s">
        <v>177</v>
      </c>
      <c r="C18" s="829"/>
      <c r="D18" s="829"/>
      <c r="E18" s="829"/>
      <c r="F18" s="830"/>
      <c r="G18" s="808"/>
      <c r="H18" s="824"/>
      <c r="I18" s="808"/>
    </row>
    <row r="19" spans="1:9">
      <c r="A19" s="459"/>
      <c r="B19" s="821" t="s">
        <v>74</v>
      </c>
      <c r="C19" s="829">
        <f>CONS_U.FIS!G29</f>
        <v>114.60916217503264</v>
      </c>
      <c r="D19" s="829">
        <f>CONS_U.FIS!G30</f>
        <v>7.7737364766794101</v>
      </c>
      <c r="E19" s="829">
        <f>CONS_U.FIS!G31</f>
        <v>770.77685705772183</v>
      </c>
      <c r="F19" s="830">
        <f>SUM(C19:E19)</f>
        <v>893.15975570943385</v>
      </c>
      <c r="G19" s="824"/>
      <c r="H19" s="824"/>
      <c r="I19" s="808"/>
    </row>
    <row r="20" spans="1:9">
      <c r="A20" s="459"/>
      <c r="B20" s="825" t="s">
        <v>178</v>
      </c>
      <c r="C20" s="829"/>
      <c r="D20" s="829"/>
      <c r="E20" s="829"/>
      <c r="F20" s="830"/>
      <c r="G20" s="808"/>
      <c r="H20" s="824"/>
      <c r="I20" s="808"/>
    </row>
    <row r="21" spans="1:9">
      <c r="A21" s="459"/>
      <c r="B21" s="821" t="s">
        <v>35</v>
      </c>
      <c r="C21" s="829">
        <f>CONS_U.FIS!L29</f>
        <v>6386.3328231718206</v>
      </c>
      <c r="D21" s="829">
        <f>CONS_U.FIS!L30</f>
        <v>1572.4761454330112</v>
      </c>
      <c r="E21" s="829">
        <f>CONS_U.FIS!L31</f>
        <v>8901.4570758358641</v>
      </c>
      <c r="F21" s="830">
        <f>SUM(C21:E21)</f>
        <v>16860.266044440694</v>
      </c>
      <c r="G21" s="824"/>
      <c r="H21" s="824"/>
      <c r="I21" s="808"/>
    </row>
    <row r="22" spans="1:9">
      <c r="A22" s="459"/>
      <c r="B22" s="825" t="s">
        <v>180</v>
      </c>
      <c r="C22" s="829"/>
      <c r="D22" s="829"/>
      <c r="E22" s="829"/>
      <c r="F22" s="830"/>
      <c r="G22" s="808"/>
      <c r="H22" s="824"/>
      <c r="I22" s="808"/>
    </row>
    <row r="23" spans="1:9">
      <c r="A23" s="459"/>
      <c r="B23" s="821" t="s">
        <v>24</v>
      </c>
      <c r="C23" s="829">
        <f>CONS_U.FIS!M29</f>
        <v>0</v>
      </c>
      <c r="D23" s="829">
        <f>CONS_U.FIS!M30</f>
        <v>3.9070857142857145</v>
      </c>
      <c r="E23" s="829">
        <f>CONS_U.FIS!M31</f>
        <v>1.457142857142857E-2</v>
      </c>
      <c r="F23" s="830">
        <f>SUM(C23:E23)</f>
        <v>3.9216571428571432</v>
      </c>
      <c r="G23" s="824"/>
      <c r="H23" s="824"/>
      <c r="I23" s="808"/>
    </row>
    <row r="24" spans="1:9">
      <c r="A24" s="459"/>
      <c r="B24" s="825" t="s">
        <v>178</v>
      </c>
      <c r="C24" s="829"/>
      <c r="D24" s="829"/>
      <c r="E24" s="829"/>
      <c r="F24" s="830"/>
      <c r="G24" s="808"/>
      <c r="H24" s="824"/>
      <c r="I24" s="808"/>
    </row>
    <row r="25" spans="1:9">
      <c r="A25" s="459"/>
      <c r="B25" s="821" t="s">
        <v>37</v>
      </c>
      <c r="C25" s="829">
        <f>CONS_U.FIS!P29</f>
        <v>25.446561069384675</v>
      </c>
      <c r="D25" s="829">
        <f>CONS_U.FIS!P30</f>
        <v>4.8901539239999998</v>
      </c>
      <c r="E25" s="829">
        <f>CONS_U.FIS!P31</f>
        <v>28.203642565001946</v>
      </c>
      <c r="F25" s="830">
        <f>SUM(C25:E25)</f>
        <v>58.540357558386617</v>
      </c>
      <c r="G25" s="824"/>
      <c r="H25" s="824"/>
      <c r="I25" s="808"/>
    </row>
    <row r="26" spans="1:9">
      <c r="A26" s="459"/>
      <c r="B26" s="825" t="s">
        <v>179</v>
      </c>
      <c r="C26" s="829"/>
      <c r="D26" s="829"/>
      <c r="E26" s="829"/>
      <c r="F26" s="830"/>
      <c r="G26" s="808"/>
      <c r="H26" s="824"/>
      <c r="I26" s="808"/>
    </row>
    <row r="27" spans="1:9">
      <c r="A27" s="459"/>
      <c r="B27" s="821" t="s">
        <v>23</v>
      </c>
      <c r="C27" s="829">
        <f>CONS_U.FIS!R29</f>
        <v>136.55735696554902</v>
      </c>
      <c r="D27" s="829">
        <f>CONS_U.FIS!R30</f>
        <v>20.073161046997111</v>
      </c>
      <c r="E27" s="829">
        <f>CONS_U.FIS!R31</f>
        <v>438.84250168391435</v>
      </c>
      <c r="F27" s="830">
        <f>SUM(C27:E27)</f>
        <v>595.47301969646048</v>
      </c>
      <c r="G27" s="824"/>
      <c r="H27" s="824"/>
      <c r="I27" s="808"/>
    </row>
    <row r="28" spans="1:9">
      <c r="A28" s="459"/>
      <c r="B28" s="825" t="s">
        <v>179</v>
      </c>
      <c r="C28" s="829"/>
      <c r="D28" s="829"/>
      <c r="E28" s="829"/>
      <c r="F28" s="830"/>
      <c r="G28" s="808"/>
      <c r="H28" s="824"/>
      <c r="I28" s="808"/>
    </row>
    <row r="29" spans="1:9">
      <c r="A29" s="459"/>
      <c r="B29" s="821" t="s">
        <v>26</v>
      </c>
      <c r="C29" s="829">
        <f>CONS_U.FIS!U29</f>
        <v>0</v>
      </c>
      <c r="D29" s="829">
        <f>CONS_U.FIS!U30</f>
        <v>0</v>
      </c>
      <c r="E29" s="829">
        <f>CONS_U.FIS!U31</f>
        <v>8472.2122023734555</v>
      </c>
      <c r="F29" s="830">
        <f>SUM(C29:E29)</f>
        <v>8472.2122023734555</v>
      </c>
      <c r="G29" s="824"/>
      <c r="H29" s="824"/>
      <c r="I29" s="808"/>
    </row>
    <row r="30" spans="1:9">
      <c r="A30" s="459"/>
      <c r="B30" s="825" t="s">
        <v>178</v>
      </c>
      <c r="C30" s="822"/>
      <c r="D30" s="822"/>
      <c r="E30" s="822"/>
      <c r="F30" s="823"/>
      <c r="G30" s="808"/>
      <c r="H30" s="808"/>
      <c r="I30" s="808"/>
    </row>
    <row r="31" spans="1:9" ht="13.5" thickBot="1">
      <c r="A31" s="459"/>
      <c r="B31" s="826"/>
      <c r="C31" s="827"/>
      <c r="D31" s="827"/>
      <c r="E31" s="827"/>
      <c r="F31" s="828"/>
      <c r="G31" s="808"/>
      <c r="H31" s="808"/>
      <c r="I31" s="808"/>
    </row>
    <row r="32" spans="1:9">
      <c r="A32" s="459"/>
      <c r="B32" s="455" t="s">
        <v>795</v>
      </c>
      <c r="C32" s="455"/>
      <c r="D32" s="455"/>
      <c r="E32" s="455"/>
      <c r="F32" s="455"/>
      <c r="G32" s="455"/>
      <c r="H32" s="455"/>
      <c r="I32" s="415"/>
    </row>
    <row r="33" spans="1:9">
      <c r="A33" s="459"/>
      <c r="B33" s="455" t="s">
        <v>773</v>
      </c>
      <c r="C33" s="455"/>
      <c r="D33" s="455"/>
      <c r="E33" s="455"/>
      <c r="F33" s="455"/>
      <c r="G33" s="455"/>
      <c r="H33" s="455"/>
      <c r="I33" s="415"/>
    </row>
    <row r="34" spans="1:9">
      <c r="A34" s="459"/>
      <c r="B34" s="808"/>
      <c r="C34" s="808"/>
      <c r="D34" s="808"/>
      <c r="E34" s="808"/>
      <c r="F34" s="808"/>
      <c r="G34" s="808"/>
      <c r="H34" s="808"/>
      <c r="I34" s="808"/>
    </row>
    <row r="35" spans="1:9">
      <c r="A35" s="459"/>
      <c r="B35" s="808"/>
      <c r="C35" s="808"/>
      <c r="D35" s="808"/>
      <c r="E35" s="808"/>
      <c r="F35" s="808"/>
      <c r="G35" s="808"/>
      <c r="H35" s="808"/>
      <c r="I35" s="808"/>
    </row>
    <row r="36" spans="1:9">
      <c r="A36" s="459"/>
      <c r="B36" s="62"/>
      <c r="C36" s="62"/>
      <c r="D36" s="62"/>
      <c r="E36" s="62"/>
      <c r="F36" s="62"/>
      <c r="G36" s="62"/>
      <c r="H36" s="62"/>
      <c r="I36" s="62"/>
    </row>
    <row r="37" spans="1:9">
      <c r="A37" s="459"/>
      <c r="B37" s="62"/>
      <c r="C37" s="62"/>
      <c r="D37" s="62"/>
      <c r="E37" s="62"/>
      <c r="F37" s="62"/>
      <c r="G37" s="62"/>
      <c r="H37" s="62"/>
      <c r="I37" s="62"/>
    </row>
    <row r="38" spans="1:9">
      <c r="A38" s="459"/>
      <c r="B38" s="62"/>
      <c r="C38" s="62"/>
      <c r="D38" s="62"/>
      <c r="E38" s="62"/>
      <c r="F38" s="62"/>
      <c r="G38" s="62"/>
      <c r="H38" s="62"/>
      <c r="I38" s="62"/>
    </row>
    <row r="39" spans="1:9">
      <c r="A39" s="459"/>
      <c r="B39" s="62"/>
      <c r="C39" s="62"/>
      <c r="D39" s="62"/>
      <c r="E39" s="62"/>
      <c r="F39" s="62"/>
      <c r="G39" s="62"/>
      <c r="H39" s="62"/>
      <c r="I39" s="62"/>
    </row>
    <row r="40" spans="1:9">
      <c r="B40" s="3"/>
      <c r="C40" s="3"/>
      <c r="D40" s="3"/>
      <c r="E40" s="3"/>
      <c r="F40" s="3"/>
    </row>
    <row r="41" spans="1:9">
      <c r="B41" s="3"/>
      <c r="C41" s="3"/>
      <c r="D41" s="3"/>
      <c r="E41" s="3"/>
      <c r="F41" s="3"/>
    </row>
    <row r="42" spans="1:9">
      <c r="B42" s="3"/>
      <c r="C42" s="3"/>
      <c r="D42" s="3"/>
      <c r="E42" s="3"/>
      <c r="F42" s="3"/>
    </row>
    <row r="43" spans="1:9">
      <c r="B43" s="3"/>
      <c r="C43" s="3"/>
      <c r="D43" s="3"/>
      <c r="E43" s="3"/>
      <c r="F43" s="3"/>
    </row>
    <row r="44" spans="1:9">
      <c r="B44" s="3"/>
      <c r="C44" s="3"/>
      <c r="D44" s="3"/>
      <c r="E44" s="3"/>
      <c r="F44" s="3"/>
    </row>
    <row r="45" spans="1:9">
      <c r="B45" s="3"/>
      <c r="C45" s="3"/>
      <c r="D45" s="3"/>
      <c r="E45" s="3"/>
      <c r="F45" s="3"/>
    </row>
    <row r="46" spans="1:9">
      <c r="B46" s="3"/>
      <c r="C46" s="3"/>
      <c r="D46" s="3"/>
      <c r="E46" s="3"/>
      <c r="F46" s="3"/>
    </row>
    <row r="47" spans="1:9">
      <c r="B47" s="3"/>
      <c r="C47" s="3"/>
      <c r="D47" s="3"/>
      <c r="E47" s="3"/>
      <c r="F47" s="3"/>
    </row>
    <row r="48" spans="1:9">
      <c r="B48" s="3"/>
      <c r="C48" s="3"/>
      <c r="D48" s="3"/>
      <c r="E48" s="3"/>
      <c r="F48" s="3"/>
    </row>
    <row r="49" spans="2:6">
      <c r="B49" s="3"/>
      <c r="C49" s="3"/>
      <c r="D49" s="3"/>
      <c r="E49" s="3"/>
      <c r="F49" s="3"/>
    </row>
    <row r="50" spans="2:6">
      <c r="B50" s="3"/>
      <c r="C50" s="3"/>
      <c r="D50" s="3"/>
      <c r="E50" s="3"/>
      <c r="F50" s="3"/>
    </row>
    <row r="51" spans="2:6" s="3" customFormat="1"/>
    <row r="52" spans="2:6" s="3" customFormat="1"/>
    <row r="53" spans="2:6" s="3" customFormat="1"/>
    <row r="54" spans="2:6" s="3" customFormat="1"/>
    <row r="55" spans="2:6" s="3" customFormat="1"/>
    <row r="56" spans="2:6" s="3" customFormat="1"/>
    <row r="57" spans="2:6" s="3" customFormat="1"/>
    <row r="58" spans="2:6" s="3" customFormat="1"/>
    <row r="59" spans="2:6" s="3" customFormat="1"/>
    <row r="60" spans="2:6" s="3" customFormat="1"/>
    <row r="61" spans="2:6" s="3" customFormat="1"/>
    <row r="62" spans="2:6" s="3" customFormat="1"/>
    <row r="63" spans="2:6" s="3" customFormat="1"/>
    <row r="64" spans="2:6" s="3" customFormat="1"/>
    <row r="65" s="3" customFormat="1"/>
    <row r="66" s="3" customFormat="1"/>
    <row r="67" s="3" customFormat="1"/>
    <row r="68" s="3" customFormat="1"/>
    <row r="69" s="3" customFormat="1"/>
    <row r="70" s="3" customFormat="1"/>
    <row r="71" s="3" customFormat="1"/>
    <row r="72" s="3" customFormat="1"/>
    <row r="73" s="3" customFormat="1"/>
    <row r="74" s="3" customFormat="1"/>
    <row r="75" s="3" customFormat="1"/>
    <row r="76" s="3" customFormat="1"/>
    <row r="77" s="3" customFormat="1"/>
    <row r="78" s="3" customFormat="1"/>
    <row r="79" s="3" customFormat="1"/>
    <row r="80" s="3" customFormat="1"/>
    <row r="81" s="3" customFormat="1"/>
    <row r="82" s="3" customFormat="1"/>
    <row r="83" s="3" customFormat="1"/>
    <row r="84" s="3" customFormat="1"/>
    <row r="85" s="3" customFormat="1"/>
    <row r="86" s="3" customFormat="1"/>
    <row r="87" s="3" customFormat="1"/>
    <row r="88" s="3" customFormat="1"/>
    <row r="89" s="3" customFormat="1"/>
    <row r="90" s="3" customFormat="1"/>
    <row r="91" s="3" customFormat="1"/>
    <row r="92" s="3" customFormat="1"/>
    <row r="93" s="3" customFormat="1"/>
    <row r="94" s="3" customFormat="1"/>
    <row r="95" s="3" customFormat="1"/>
  </sheetData>
  <phoneticPr fontId="0" type="noConversion"/>
  <hyperlinks>
    <hyperlink ref="G3" location="INDICE!A40" display="VOLVER A INDICE"/>
  </hyperlinks>
  <pageMargins left="0.75" right="0.75" top="1" bottom="1" header="0" footer="0"/>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5"/>
  <sheetViews>
    <sheetView showGridLines="0" workbookViewId="0">
      <selection activeCell="I38" sqref="I38"/>
    </sheetView>
  </sheetViews>
  <sheetFormatPr baseColWidth="10" defaultRowHeight="12.75"/>
  <cols>
    <col min="1" max="1" width="2.85546875" customWidth="1"/>
    <col min="2" max="2" width="31.28515625" customWidth="1"/>
    <col min="3" max="3" width="15.7109375" customWidth="1"/>
    <col min="4" max="4" width="13.7109375" customWidth="1"/>
  </cols>
  <sheetData>
    <row r="1" spans="1:9" ht="7.5" customHeight="1" thickBot="1">
      <c r="A1" s="770"/>
      <c r="B1" s="770"/>
      <c r="C1" s="770"/>
      <c r="D1" s="770"/>
      <c r="E1" s="770"/>
      <c r="F1" s="770"/>
      <c r="G1" s="770"/>
      <c r="H1" s="770"/>
      <c r="I1" s="770"/>
    </row>
    <row r="2" spans="1:9" ht="13.5" thickBot="1">
      <c r="A2" s="770"/>
      <c r="B2" s="833"/>
      <c r="C2" s="834"/>
      <c r="D2" s="834"/>
      <c r="E2" s="834"/>
      <c r="F2" s="834"/>
      <c r="G2" s="834"/>
      <c r="H2" s="835"/>
      <c r="I2" s="770"/>
    </row>
    <row r="3" spans="1:9" ht="15.75">
      <c r="A3" s="770"/>
      <c r="B3" s="836"/>
      <c r="C3" s="837"/>
      <c r="D3" s="686" t="s">
        <v>90</v>
      </c>
      <c r="E3" s="837"/>
      <c r="F3" s="837"/>
      <c r="G3" s="837"/>
      <c r="H3" s="838"/>
      <c r="I3" s="770"/>
    </row>
    <row r="4" spans="1:9" ht="15.75">
      <c r="A4" s="770"/>
      <c r="B4" s="839"/>
      <c r="C4" s="840"/>
      <c r="D4" s="841" t="s">
        <v>781</v>
      </c>
      <c r="E4" s="840"/>
      <c r="F4" s="840"/>
      <c r="G4" s="840"/>
      <c r="H4" s="842"/>
      <c r="I4" s="770"/>
    </row>
    <row r="5" spans="1:9" ht="15.75">
      <c r="A5" s="770"/>
      <c r="B5" s="839"/>
      <c r="C5" s="840"/>
      <c r="D5" s="840" t="s">
        <v>515</v>
      </c>
      <c r="E5" s="840"/>
      <c r="F5" s="840"/>
      <c r="G5" s="840"/>
      <c r="H5" s="842"/>
      <c r="I5" s="464" t="s">
        <v>606</v>
      </c>
    </row>
    <row r="6" spans="1:9" ht="15.75">
      <c r="A6" s="770"/>
      <c r="B6" s="839"/>
      <c r="C6" s="840"/>
      <c r="D6" s="843" t="s">
        <v>658</v>
      </c>
      <c r="E6" s="840"/>
      <c r="F6" s="840"/>
      <c r="G6" s="840"/>
      <c r="H6" s="842"/>
      <c r="I6" s="770"/>
    </row>
    <row r="7" spans="1:9" ht="15.75">
      <c r="A7" s="770"/>
      <c r="B7" s="839"/>
      <c r="C7" s="840"/>
      <c r="D7" s="840"/>
      <c r="E7" s="840"/>
      <c r="F7" s="840"/>
      <c r="G7" s="840"/>
      <c r="H7" s="842"/>
      <c r="I7" s="770"/>
    </row>
    <row r="8" spans="1:9" ht="15.75">
      <c r="A8" s="770"/>
      <c r="B8" s="839"/>
      <c r="C8" s="843"/>
      <c r="D8" s="843"/>
      <c r="E8" s="843"/>
      <c r="F8" s="843"/>
      <c r="G8" s="843"/>
      <c r="H8" s="844"/>
      <c r="I8" s="770"/>
    </row>
    <row r="9" spans="1:9" ht="15.75">
      <c r="A9" s="770"/>
      <c r="B9" s="839" t="s">
        <v>20</v>
      </c>
      <c r="C9" s="845" t="s">
        <v>680</v>
      </c>
      <c r="D9" s="845" t="s">
        <v>681</v>
      </c>
      <c r="E9" s="845" t="s">
        <v>134</v>
      </c>
      <c r="F9" s="845" t="s">
        <v>135</v>
      </c>
      <c r="G9" s="845" t="s">
        <v>23</v>
      </c>
      <c r="H9" s="846" t="s">
        <v>28</v>
      </c>
      <c r="I9" s="770"/>
    </row>
    <row r="10" spans="1:9" ht="16.5" thickBot="1">
      <c r="A10" s="770"/>
      <c r="B10" s="847"/>
      <c r="C10" s="848"/>
      <c r="D10" s="848"/>
      <c r="E10" s="848" t="s">
        <v>23</v>
      </c>
      <c r="F10" s="848" t="s">
        <v>682</v>
      </c>
      <c r="G10" s="848" t="s">
        <v>683</v>
      </c>
      <c r="H10" s="849"/>
      <c r="I10" s="770"/>
    </row>
    <row r="11" spans="1:9">
      <c r="A11" s="770"/>
      <c r="B11" s="697" t="s">
        <v>71</v>
      </c>
      <c r="C11" s="829">
        <f>CONS_U.FIS!D36+CONS_U.FIS!D37</f>
        <v>0</v>
      </c>
      <c r="D11" s="829">
        <f>CONS_U.FIS!D38+CONS_U.FIS!D39</f>
        <v>40.725000000000001</v>
      </c>
      <c r="E11" s="829">
        <f>CONS_U.FIS!D40</f>
        <v>40.303379999999997</v>
      </c>
      <c r="F11" s="829">
        <f>CONS_U.FIS!D41</f>
        <v>0</v>
      </c>
      <c r="G11" s="829">
        <f>CONS_U.FIS!D42</f>
        <v>0</v>
      </c>
      <c r="H11" s="830">
        <f>SUM(C11:G11)</f>
        <v>81.028379999999999</v>
      </c>
      <c r="I11" s="770"/>
    </row>
    <row r="12" spans="1:9">
      <c r="A12" s="770"/>
      <c r="B12" s="701" t="s">
        <v>198</v>
      </c>
      <c r="C12" s="829"/>
      <c r="D12" s="829"/>
      <c r="E12" s="829"/>
      <c r="F12" s="829"/>
      <c r="G12" s="829"/>
      <c r="H12" s="830"/>
      <c r="I12" s="770"/>
    </row>
    <row r="13" spans="1:9">
      <c r="A13" s="770"/>
      <c r="B13" s="697" t="s">
        <v>72</v>
      </c>
      <c r="C13" s="829">
        <f>CONS_U.FIS!C36+CONS_U.FIS!C37</f>
        <v>0</v>
      </c>
      <c r="D13" s="829">
        <f>CONS_U.FIS!C38+CONS_U.FIS!C39</f>
        <v>0</v>
      </c>
      <c r="E13" s="829">
        <f>CONS_U.FIS!C40</f>
        <v>2.9052000000000002</v>
      </c>
      <c r="F13" s="829">
        <f>CONS_U.FIS!C41</f>
        <v>0.10829199999999999</v>
      </c>
      <c r="G13" s="829">
        <f>CONS_U.FIS!C42</f>
        <v>0</v>
      </c>
      <c r="H13" s="830">
        <f>SUM(C13:G13)</f>
        <v>3.0134920000000003</v>
      </c>
      <c r="I13" s="770"/>
    </row>
    <row r="14" spans="1:9">
      <c r="A14" s="770"/>
      <c r="B14" s="701" t="s">
        <v>177</v>
      </c>
      <c r="C14" s="829"/>
      <c r="D14" s="829"/>
      <c r="E14" s="829"/>
      <c r="F14" s="829"/>
      <c r="G14" s="829"/>
      <c r="H14" s="830"/>
      <c r="I14" s="770"/>
    </row>
    <row r="15" spans="1:9">
      <c r="A15" s="770"/>
      <c r="B15" s="697" t="s">
        <v>188</v>
      </c>
      <c r="C15" s="829">
        <f>CONS_U.FIS!E36+CONS_U.FIS!E37</f>
        <v>0</v>
      </c>
      <c r="D15" s="829">
        <f>CONS_U.FIS!E38+CONS_U.FIS!E39</f>
        <v>0</v>
      </c>
      <c r="E15" s="829">
        <f>CONS_U.FIS!E40</f>
        <v>4.229999999999999E-2</v>
      </c>
      <c r="F15" s="829">
        <f>CONS_U.FIS!E41</f>
        <v>0</v>
      </c>
      <c r="G15" s="829">
        <f>CONS_U.FIS!E42</f>
        <v>0</v>
      </c>
      <c r="H15" s="830">
        <f>SUM(C15:G15)</f>
        <v>4.229999999999999E-2</v>
      </c>
      <c r="I15" s="770"/>
    </row>
    <row r="16" spans="1:9">
      <c r="A16" s="770"/>
      <c r="B16" s="701" t="s">
        <v>177</v>
      </c>
      <c r="C16" s="829"/>
      <c r="D16" s="829"/>
      <c r="E16" s="829"/>
      <c r="F16" s="829"/>
      <c r="G16" s="829"/>
      <c r="H16" s="830"/>
      <c r="I16" s="770"/>
    </row>
    <row r="17" spans="1:9">
      <c r="A17" s="770"/>
      <c r="B17" s="697" t="s">
        <v>74</v>
      </c>
      <c r="C17" s="829">
        <f>CONS_U.FIS!G36+CONS_U.FIS!G37</f>
        <v>0</v>
      </c>
      <c r="D17" s="829">
        <f>CONS_U.FIS!G38+CONS_U.FIS!G39</f>
        <v>0.52225219507413223</v>
      </c>
      <c r="E17" s="829">
        <f>CONS_U.FIS!G40</f>
        <v>109.36927800000001</v>
      </c>
      <c r="F17" s="829">
        <f>CONS_U.FIS!G41</f>
        <v>0</v>
      </c>
      <c r="G17" s="829">
        <f>CONS_U.FIS!G42</f>
        <v>0</v>
      </c>
      <c r="H17" s="830">
        <f>SUM(C17:G17)</f>
        <v>109.89153019507414</v>
      </c>
      <c r="I17" s="770"/>
    </row>
    <row r="18" spans="1:9">
      <c r="A18" s="770"/>
      <c r="B18" s="701" t="s">
        <v>178</v>
      </c>
      <c r="C18" s="829"/>
      <c r="D18" s="829"/>
      <c r="E18" s="829"/>
      <c r="F18" s="829"/>
      <c r="G18" s="829"/>
      <c r="H18" s="830"/>
      <c r="I18" s="770"/>
    </row>
    <row r="19" spans="1:9">
      <c r="A19" s="770"/>
      <c r="B19" s="697" t="s">
        <v>77</v>
      </c>
      <c r="C19" s="829">
        <f>CONS_U.FIS!J36+CONS_U.FIS!J37</f>
        <v>0</v>
      </c>
      <c r="D19" s="829">
        <f>CONS_U.FIS!J38+CONS_U.FIS!J39</f>
        <v>0</v>
      </c>
      <c r="E19" s="829">
        <f>CONS_U.FIS!J40</f>
        <v>131.38269099999997</v>
      </c>
      <c r="F19" s="829">
        <f>CONS_U.FIS!J41</f>
        <v>0</v>
      </c>
      <c r="G19" s="829">
        <f>CONS_U.FIS!J42</f>
        <v>0</v>
      </c>
      <c r="H19" s="830">
        <f>SUM(C19:G19)</f>
        <v>131.38269099999997</v>
      </c>
      <c r="I19" s="770"/>
    </row>
    <row r="20" spans="1:9">
      <c r="A20" s="770"/>
      <c r="B20" s="701" t="s">
        <v>177</v>
      </c>
      <c r="C20" s="829"/>
      <c r="D20" s="829"/>
      <c r="E20" s="829"/>
      <c r="F20" s="829"/>
      <c r="G20" s="829"/>
      <c r="H20" s="830"/>
      <c r="I20" s="770"/>
    </row>
    <row r="21" spans="1:9">
      <c r="A21" s="770"/>
      <c r="B21" s="697" t="s">
        <v>78</v>
      </c>
      <c r="C21" s="829">
        <f>CONS_U.FIS!K36+CONS_U.FIS!K37</f>
        <v>0</v>
      </c>
      <c r="D21" s="829">
        <f>CONS_U.FIS!K38+CONS_U.FIS!K39</f>
        <v>0</v>
      </c>
      <c r="E21" s="829">
        <f>CONS_U.FIS!K40</f>
        <v>800.58413800000017</v>
      </c>
      <c r="F21" s="829">
        <f>CONS_U.FIS!K41</f>
        <v>0</v>
      </c>
      <c r="G21" s="829">
        <f>CONS_U.FIS!K42</f>
        <v>0</v>
      </c>
      <c r="H21" s="830">
        <f>SUM(C21:G21)</f>
        <v>800.58413800000017</v>
      </c>
      <c r="I21" s="770"/>
    </row>
    <row r="22" spans="1:9">
      <c r="A22" s="770"/>
      <c r="B22" s="701" t="s">
        <v>177</v>
      </c>
      <c r="C22" s="829"/>
      <c r="D22" s="829"/>
      <c r="E22" s="829"/>
      <c r="F22" s="829"/>
      <c r="G22" s="829"/>
      <c r="H22" s="830"/>
      <c r="I22" s="770"/>
    </row>
    <row r="23" spans="1:9">
      <c r="A23" s="770"/>
      <c r="B23" s="697" t="s">
        <v>35</v>
      </c>
      <c r="C23" s="829">
        <f>CONS_U.FIS!L36+CONS_U.FIS!L37</f>
        <v>1646.92278963476</v>
      </c>
      <c r="D23" s="829">
        <f>CONS_U.FIS!L38+CONS_U.FIS!L39</f>
        <v>11.612317000000001</v>
      </c>
      <c r="E23" s="829">
        <f>CONS_U.FIS!L40</f>
        <v>475.19397500000002</v>
      </c>
      <c r="F23" s="829">
        <f>CONS_U.FIS!L41</f>
        <v>0.77107899999999996</v>
      </c>
      <c r="G23" s="829">
        <f>CONS_U.FIS!L42</f>
        <v>38.646000000000001</v>
      </c>
      <c r="H23" s="830">
        <f>SUM(C23:G23)</f>
        <v>2173.1461606347602</v>
      </c>
      <c r="I23" s="770"/>
    </row>
    <row r="24" spans="1:9">
      <c r="A24" s="770"/>
      <c r="B24" s="701" t="s">
        <v>180</v>
      </c>
      <c r="C24" s="829"/>
      <c r="D24" s="829"/>
      <c r="E24" s="829"/>
      <c r="F24" s="829"/>
      <c r="G24" s="829"/>
      <c r="H24" s="830"/>
      <c r="I24" s="770"/>
    </row>
    <row r="25" spans="1:9">
      <c r="A25" s="770"/>
      <c r="B25" s="697" t="s">
        <v>24</v>
      </c>
      <c r="C25" s="829">
        <f>CONS_U.FIS!M36+CONS_U.FIS!M37</f>
        <v>0</v>
      </c>
      <c r="D25" s="829">
        <f>CONS_U.FIS!M38+CONS_U.FIS!M39</f>
        <v>0</v>
      </c>
      <c r="E25" s="829">
        <f>CONS_U.FIS!M40</f>
        <v>0</v>
      </c>
      <c r="F25" s="829">
        <f>CONS_U.FIS!M41</f>
        <v>0</v>
      </c>
      <c r="G25" s="829">
        <f>CONS_U.FIS!M42</f>
        <v>0</v>
      </c>
      <c r="H25" s="830">
        <f>SUM(C25:G25)</f>
        <v>0</v>
      </c>
      <c r="I25" s="770"/>
    </row>
    <row r="26" spans="1:9">
      <c r="A26" s="770"/>
      <c r="B26" s="701" t="s">
        <v>178</v>
      </c>
      <c r="C26" s="829"/>
      <c r="D26" s="829"/>
      <c r="E26" s="829"/>
      <c r="F26" s="829"/>
      <c r="G26" s="829"/>
      <c r="H26" s="830"/>
      <c r="I26" s="770"/>
    </row>
    <row r="27" spans="1:9">
      <c r="A27" s="770"/>
      <c r="B27" s="697" t="s">
        <v>181</v>
      </c>
      <c r="C27" s="829">
        <f>CONS_U.FIS!O36+CONS_U.FIS!O37</f>
        <v>0</v>
      </c>
      <c r="D27" s="829">
        <f>CONS_U.FIS!O38+CONS_U.FIS!O39</f>
        <v>15762.980769230771</v>
      </c>
      <c r="E27" s="829">
        <f>CONS_U.FIS!O40</f>
        <v>0</v>
      </c>
      <c r="F27" s="829">
        <f>CONS_U.FIS!O41</f>
        <v>0</v>
      </c>
      <c r="G27" s="829">
        <f>CONS_U.FIS!O42</f>
        <v>0</v>
      </c>
      <c r="H27" s="830">
        <f>SUM(C27:G27)</f>
        <v>15762.980769230771</v>
      </c>
      <c r="I27" s="770"/>
    </row>
    <row r="28" spans="1:9">
      <c r="A28" s="770"/>
      <c r="B28" s="701" t="s">
        <v>177</v>
      </c>
      <c r="C28" s="829"/>
      <c r="D28" s="829"/>
      <c r="E28" s="829"/>
      <c r="F28" s="829"/>
      <c r="G28" s="829"/>
      <c r="H28" s="830"/>
      <c r="I28" s="770"/>
    </row>
    <row r="29" spans="1:9">
      <c r="A29" s="770"/>
      <c r="B29" s="697" t="s">
        <v>37</v>
      </c>
      <c r="C29" s="829">
        <f>CONS_U.FIS!P36+CONS_U.FIS!P37</f>
        <v>0</v>
      </c>
      <c r="D29" s="829">
        <f>CONS_U.FIS!P38+CONS_U.FIS!P39</f>
        <v>67.550708322204429</v>
      </c>
      <c r="E29" s="829">
        <f>CONS_U.FIS!P40</f>
        <v>0</v>
      </c>
      <c r="F29" s="829">
        <f>CONS_U.FIS!P41</f>
        <v>0</v>
      </c>
      <c r="G29" s="829">
        <f>CONS_U.FIS!P42</f>
        <v>0</v>
      </c>
      <c r="H29" s="830">
        <f>SUM(C29:G29)</f>
        <v>67.550708322204429</v>
      </c>
      <c r="I29" s="770"/>
    </row>
    <row r="30" spans="1:9">
      <c r="A30" s="770"/>
      <c r="B30" s="701" t="s">
        <v>179</v>
      </c>
      <c r="C30" s="829"/>
      <c r="D30" s="829"/>
      <c r="E30" s="829"/>
      <c r="F30" s="829"/>
      <c r="G30" s="829"/>
      <c r="H30" s="830"/>
      <c r="I30" s="770"/>
    </row>
    <row r="31" spans="1:9">
      <c r="A31" s="770"/>
      <c r="B31" s="697" t="s">
        <v>83</v>
      </c>
      <c r="C31" s="829">
        <f>CONS_U.FIS!Q36+CONS_U.FIS!Q37</f>
        <v>0</v>
      </c>
      <c r="D31" s="829">
        <f>CONS_U.FIS!Q38+CONS_U.FIS!Q39</f>
        <v>793.5</v>
      </c>
      <c r="E31" s="829">
        <f>CONS_U.FIS!Q40</f>
        <v>0</v>
      </c>
      <c r="F31" s="829">
        <f>CONS_U.FIS!Q41</f>
        <v>0</v>
      </c>
      <c r="G31" s="829">
        <f>CONS_U.FIS!Q42</f>
        <v>0</v>
      </c>
      <c r="H31" s="830">
        <f>SUM(C31:G31)</f>
        <v>793.5</v>
      </c>
      <c r="I31" s="770"/>
    </row>
    <row r="32" spans="1:9">
      <c r="A32" s="770"/>
      <c r="B32" s="701" t="s">
        <v>178</v>
      </c>
      <c r="C32" s="829"/>
      <c r="D32" s="829"/>
      <c r="E32" s="829"/>
      <c r="F32" s="829"/>
      <c r="G32" s="829"/>
      <c r="H32" s="830"/>
      <c r="I32" s="770"/>
    </row>
    <row r="33" spans="1:9">
      <c r="A33" s="770"/>
      <c r="B33" s="697" t="s">
        <v>189</v>
      </c>
      <c r="C33" s="829">
        <f>CONS_U.FIS!R36+CONS_U.FIS!R37</f>
        <v>0</v>
      </c>
      <c r="D33" s="829">
        <f>CONS_U.FIS!R38+CONS_U.FIS!R39</f>
        <v>1.189901204344038</v>
      </c>
      <c r="E33" s="829">
        <f>CONS_U.FIS!R40</f>
        <v>0</v>
      </c>
      <c r="F33" s="829">
        <f>CONS_U.FIS!R41</f>
        <v>0</v>
      </c>
      <c r="G33" s="829">
        <f>CONS_U.FIS!R42</f>
        <v>0</v>
      </c>
      <c r="H33" s="830">
        <f>SUM(C33:G33)</f>
        <v>1.189901204344038</v>
      </c>
      <c r="I33" s="770"/>
    </row>
    <row r="34" spans="1:9">
      <c r="A34" s="770"/>
      <c r="B34" s="701" t="s">
        <v>179</v>
      </c>
      <c r="C34" s="829"/>
      <c r="D34" s="829"/>
      <c r="E34" s="829"/>
      <c r="F34" s="829"/>
      <c r="G34" s="829"/>
      <c r="H34" s="830"/>
      <c r="I34" s="770"/>
    </row>
    <row r="35" spans="1:9">
      <c r="A35" s="770"/>
      <c r="B35" s="697" t="s">
        <v>39</v>
      </c>
      <c r="C35" s="829">
        <f>CONS_U.FIS!S36+CONS_U.FIS!S37</f>
        <v>0</v>
      </c>
      <c r="D35" s="829">
        <f>CONS_U.FIS!S38+CONS_U.FIS!S39</f>
        <v>0</v>
      </c>
      <c r="E35" s="829">
        <f>CONS_U.FIS!S40</f>
        <v>0</v>
      </c>
      <c r="F35" s="829">
        <f>CONS_U.FIS!S41</f>
        <v>0</v>
      </c>
      <c r="G35" s="829">
        <f>CONS_U.FIS!S42</f>
        <v>0</v>
      </c>
      <c r="H35" s="830">
        <f>SUM(C35:G35)</f>
        <v>0</v>
      </c>
      <c r="I35" s="770"/>
    </row>
    <row r="36" spans="1:9" ht="13.5" thickBot="1">
      <c r="A36" s="770"/>
      <c r="B36" s="703" t="s">
        <v>178</v>
      </c>
      <c r="C36" s="850"/>
      <c r="D36" s="850"/>
      <c r="E36" s="850"/>
      <c r="F36" s="850"/>
      <c r="G36" s="850"/>
      <c r="H36" s="851"/>
      <c r="I36" s="770"/>
    </row>
    <row r="37" spans="1:9" s="358" customFormat="1">
      <c r="A37" s="852"/>
      <c r="B37" s="385" t="s">
        <v>676</v>
      </c>
      <c r="C37" s="853"/>
      <c r="D37" s="853"/>
      <c r="E37" s="853"/>
      <c r="F37" s="853"/>
      <c r="G37" s="853"/>
      <c r="H37" s="853"/>
      <c r="I37" s="852"/>
    </row>
    <row r="38" spans="1:9" s="358" customFormat="1">
      <c r="A38" s="852"/>
      <c r="B38" s="385" t="s">
        <v>677</v>
      </c>
      <c r="C38" s="853"/>
      <c r="D38" s="853"/>
      <c r="E38" s="853"/>
      <c r="F38" s="853"/>
      <c r="G38" s="853"/>
      <c r="H38" s="853"/>
      <c r="I38" s="852"/>
    </row>
    <row r="39" spans="1:9" s="358" customFormat="1">
      <c r="A39" s="852"/>
      <c r="B39" s="385" t="s">
        <v>678</v>
      </c>
      <c r="C39" s="853"/>
      <c r="D39" s="853"/>
      <c r="E39" s="853"/>
      <c r="F39" s="853"/>
      <c r="G39" s="853"/>
      <c r="H39" s="853"/>
      <c r="I39" s="852"/>
    </row>
    <row r="40" spans="1:9" s="358" customFormat="1">
      <c r="A40" s="852"/>
      <c r="B40" s="385" t="s">
        <v>679</v>
      </c>
      <c r="C40" s="853"/>
      <c r="D40" s="853"/>
      <c r="E40" s="853"/>
      <c r="F40" s="853"/>
      <c r="G40" s="853"/>
      <c r="H40" s="853"/>
      <c r="I40" s="852"/>
    </row>
    <row r="41" spans="1:9">
      <c r="A41" s="770"/>
      <c r="B41" s="455" t="s">
        <v>795</v>
      </c>
      <c r="C41" s="455"/>
      <c r="D41" s="455"/>
      <c r="E41" s="455"/>
      <c r="F41" s="455"/>
      <c r="G41" s="455"/>
      <c r="H41" s="455"/>
      <c r="I41" s="770"/>
    </row>
    <row r="42" spans="1:9">
      <c r="A42" s="770"/>
      <c r="B42" s="455" t="s">
        <v>773</v>
      </c>
      <c r="C42" s="455"/>
      <c r="D42" s="455"/>
      <c r="E42" s="455"/>
      <c r="F42" s="455"/>
      <c r="G42" s="455"/>
      <c r="H42" s="455"/>
      <c r="I42" s="770"/>
    </row>
    <row r="43" spans="1:9">
      <c r="A43" s="770"/>
      <c r="B43" s="770"/>
      <c r="C43" s="770"/>
      <c r="D43" s="770"/>
      <c r="E43" s="770"/>
      <c r="F43" s="770"/>
      <c r="G43" s="770"/>
      <c r="H43" s="770"/>
      <c r="I43" s="770"/>
    </row>
    <row r="44" spans="1:9">
      <c r="A44" s="770"/>
      <c r="B44" s="770"/>
      <c r="C44" s="770"/>
      <c r="D44" s="770"/>
      <c r="E44" s="770"/>
      <c r="F44" s="770"/>
      <c r="G44" s="770"/>
      <c r="H44" s="770"/>
      <c r="I44" s="770"/>
    </row>
    <row r="45" spans="1:9">
      <c r="A45" s="770"/>
      <c r="B45" s="770"/>
      <c r="C45" s="770"/>
      <c r="D45" s="770"/>
      <c r="E45" s="770"/>
      <c r="F45" s="770"/>
      <c r="G45" s="770"/>
      <c r="H45" s="770"/>
      <c r="I45" s="770"/>
    </row>
  </sheetData>
  <phoneticPr fontId="50" type="noConversion"/>
  <hyperlinks>
    <hyperlink ref="I5" location="INDICE!A40" display="VOLVER A INDICE"/>
  </hyperlinks>
  <pageMargins left="0.75" right="0.75" top="1" bottom="1" header="0" footer="0"/>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5"/>
  <sheetViews>
    <sheetView workbookViewId="0">
      <selection activeCell="J27" sqref="J27"/>
    </sheetView>
  </sheetViews>
  <sheetFormatPr baseColWidth="10" defaultRowHeight="12.75"/>
  <cols>
    <col min="1" max="1" width="1.85546875" style="260" customWidth="1"/>
    <col min="2" max="2" width="30.140625" style="260" customWidth="1"/>
    <col min="3" max="3" width="15.42578125" style="260" customWidth="1"/>
    <col min="4" max="4" width="13.5703125" style="260" customWidth="1"/>
    <col min="5" max="5" width="12.7109375" style="260" customWidth="1"/>
    <col min="6" max="6" width="11.7109375" style="260" customWidth="1"/>
    <col min="7" max="9" width="11.42578125" style="260"/>
    <col min="10" max="14" width="11.42578125" style="3"/>
    <col min="15" max="16384" width="11.42578125" style="260"/>
  </cols>
  <sheetData>
    <row r="1" spans="1:9" ht="6" customHeight="1" thickBot="1">
      <c r="A1" s="459"/>
      <c r="B1" s="459"/>
      <c r="C1" s="459"/>
      <c r="D1" s="459"/>
      <c r="E1" s="459"/>
      <c r="F1" s="459"/>
      <c r="G1" s="459"/>
      <c r="H1" s="459"/>
      <c r="I1" s="459"/>
    </row>
    <row r="2" spans="1:9" ht="13.5" thickBot="1">
      <c r="A2" s="459"/>
      <c r="B2" s="833"/>
      <c r="C2" s="834"/>
      <c r="D2" s="834"/>
      <c r="E2" s="834"/>
      <c r="F2" s="834"/>
      <c r="G2" s="834"/>
      <c r="H2" s="835"/>
      <c r="I2" s="854"/>
    </row>
    <row r="3" spans="1:9" ht="15.75">
      <c r="A3" s="459"/>
      <c r="B3" s="836"/>
      <c r="C3" s="837"/>
      <c r="D3" s="686" t="s">
        <v>90</v>
      </c>
      <c r="E3" s="837"/>
      <c r="F3" s="837"/>
      <c r="G3" s="837"/>
      <c r="H3" s="838"/>
      <c r="I3" s="464" t="s">
        <v>606</v>
      </c>
    </row>
    <row r="4" spans="1:9" ht="15.75">
      <c r="A4" s="459"/>
      <c r="B4" s="839"/>
      <c r="C4" s="840"/>
      <c r="D4" s="841" t="s">
        <v>781</v>
      </c>
      <c r="E4" s="840"/>
      <c r="F4" s="840"/>
      <c r="G4" s="840"/>
      <c r="H4" s="842"/>
      <c r="I4" s="855"/>
    </row>
    <row r="5" spans="1:9" ht="15.75">
      <c r="A5" s="459"/>
      <c r="B5" s="839"/>
      <c r="C5" s="840"/>
      <c r="D5" s="840" t="s">
        <v>515</v>
      </c>
      <c r="E5" s="840"/>
      <c r="F5" s="840"/>
      <c r="G5" s="840"/>
      <c r="H5" s="842"/>
      <c r="I5" s="855"/>
    </row>
    <row r="6" spans="1:9" ht="15.75">
      <c r="A6" s="459"/>
      <c r="B6" s="839"/>
      <c r="C6" s="840"/>
      <c r="D6" s="843" t="s">
        <v>197</v>
      </c>
      <c r="E6" s="840"/>
      <c r="F6" s="840"/>
      <c r="G6" s="840"/>
      <c r="H6" s="842"/>
      <c r="I6" s="855"/>
    </row>
    <row r="7" spans="1:9" ht="15.75">
      <c r="A7" s="459"/>
      <c r="B7" s="839"/>
      <c r="C7" s="840"/>
      <c r="D7" s="840"/>
      <c r="E7" s="840"/>
      <c r="F7" s="840"/>
      <c r="G7" s="840"/>
      <c r="H7" s="842"/>
      <c r="I7" s="855"/>
    </row>
    <row r="8" spans="1:9" ht="15.75">
      <c r="A8" s="459"/>
      <c r="B8" s="839"/>
      <c r="C8" s="843"/>
      <c r="D8" s="843"/>
      <c r="E8" s="843"/>
      <c r="F8" s="843"/>
      <c r="G8" s="843"/>
      <c r="H8" s="844"/>
      <c r="I8" s="855"/>
    </row>
    <row r="9" spans="1:9" ht="15.75">
      <c r="A9" s="459"/>
      <c r="B9" s="839" t="s">
        <v>20</v>
      </c>
      <c r="C9" s="845" t="s">
        <v>680</v>
      </c>
      <c r="D9" s="845" t="s">
        <v>681</v>
      </c>
      <c r="E9" s="845" t="s">
        <v>134</v>
      </c>
      <c r="F9" s="845" t="s">
        <v>135</v>
      </c>
      <c r="G9" s="845" t="s">
        <v>23</v>
      </c>
      <c r="H9" s="846" t="s">
        <v>28</v>
      </c>
      <c r="I9" s="855"/>
    </row>
    <row r="10" spans="1:9" ht="16.5" thickBot="1">
      <c r="A10" s="459"/>
      <c r="B10" s="839"/>
      <c r="C10" s="845"/>
      <c r="D10" s="845"/>
      <c r="E10" s="845" t="s">
        <v>23</v>
      </c>
      <c r="F10" s="845" t="s">
        <v>682</v>
      </c>
      <c r="G10" s="845" t="s">
        <v>683</v>
      </c>
      <c r="H10" s="846"/>
      <c r="I10" s="855"/>
    </row>
    <row r="11" spans="1:9">
      <c r="A11" s="459"/>
      <c r="B11" s="1299" t="s">
        <v>71</v>
      </c>
      <c r="C11" s="1300">
        <f>CONS_U.FIS!D49+CONS_U.FIS!D50</f>
        <v>244.72426157800001</v>
      </c>
      <c r="D11" s="1301">
        <f>CONS_U.FIS!D51+CONS_U.FIS!D52</f>
        <v>0</v>
      </c>
      <c r="E11" s="1301">
        <f>CONS_U.FIS!D53</f>
        <v>0</v>
      </c>
      <c r="F11" s="1301">
        <f>CONS_U.FIS!D54</f>
        <v>0</v>
      </c>
      <c r="G11" s="1301">
        <f>CONS_U.FIS!D55</f>
        <v>0</v>
      </c>
      <c r="H11" s="1302">
        <f>SUM(C11:G11)</f>
        <v>244.72426157800001</v>
      </c>
      <c r="I11" s="859"/>
    </row>
    <row r="12" spans="1:9">
      <c r="A12" s="459"/>
      <c r="B12" s="1303" t="s">
        <v>198</v>
      </c>
      <c r="C12" s="856"/>
      <c r="D12" s="856"/>
      <c r="E12" s="856"/>
      <c r="F12" s="856"/>
      <c r="G12" s="856"/>
      <c r="H12" s="860"/>
      <c r="I12" s="859"/>
    </row>
    <row r="13" spans="1:9">
      <c r="A13" s="459"/>
      <c r="B13" s="1304" t="s">
        <v>72</v>
      </c>
      <c r="C13" s="856">
        <f>CONS_U.FIS!C49+CONS_U.FIS!C50</f>
        <v>2194.6202425061811</v>
      </c>
      <c r="D13" s="857">
        <f>CONS_U.FIS!C51+CONS_U.FIS!C52</f>
        <v>0</v>
      </c>
      <c r="E13" s="857">
        <f>CONS_U.FIS!C53</f>
        <v>0</v>
      </c>
      <c r="F13" s="857">
        <f>CONS_U.FIS!C54</f>
        <v>0</v>
      </c>
      <c r="G13" s="857">
        <f>CONS_U.FIS!C55</f>
        <v>0</v>
      </c>
      <c r="H13" s="858">
        <f>SUM(C13:G13)</f>
        <v>2194.6202425061811</v>
      </c>
      <c r="I13" s="859"/>
    </row>
    <row r="14" spans="1:9">
      <c r="A14" s="459"/>
      <c r="B14" s="1303" t="s">
        <v>177</v>
      </c>
      <c r="C14" s="856"/>
      <c r="D14" s="857"/>
      <c r="E14" s="857"/>
      <c r="F14" s="857"/>
      <c r="G14" s="857"/>
      <c r="H14" s="858"/>
      <c r="I14" s="859"/>
    </row>
    <row r="15" spans="1:9">
      <c r="A15" s="459"/>
      <c r="B15" s="1304" t="s">
        <v>74</v>
      </c>
      <c r="C15" s="856">
        <f>CONS_U.FIS!G49+CONS_U.FIS!G50</f>
        <v>10.770076803466363</v>
      </c>
      <c r="D15" s="857">
        <f>CONS_U.FIS!G51+CONS_U.FIS!G52</f>
        <v>66.479571836937922</v>
      </c>
      <c r="E15" s="857">
        <f>CONS_U.FIS!G53</f>
        <v>0</v>
      </c>
      <c r="F15" s="857">
        <f>CONS_U.FIS!G54</f>
        <v>0</v>
      </c>
      <c r="G15" s="857">
        <f>CONS_U.FIS!G55</f>
        <v>0</v>
      </c>
      <c r="H15" s="858">
        <f>SUM(C15:G15)</f>
        <v>77.249648640404288</v>
      </c>
      <c r="I15" s="859"/>
    </row>
    <row r="16" spans="1:9">
      <c r="A16" s="459"/>
      <c r="B16" s="1303" t="s">
        <v>198</v>
      </c>
      <c r="C16" s="856"/>
      <c r="D16" s="857"/>
      <c r="E16" s="857"/>
      <c r="F16" s="857"/>
      <c r="G16" s="857"/>
      <c r="H16" s="858"/>
      <c r="I16" s="859"/>
    </row>
    <row r="17" spans="1:9">
      <c r="A17" s="459"/>
      <c r="B17" s="1304" t="s">
        <v>199</v>
      </c>
      <c r="C17" s="856">
        <f>CONS_U.FIS!K49+CONS_U.FIS!K50</f>
        <v>44.256811608920202</v>
      </c>
      <c r="D17" s="857">
        <f>CONS_U.FIS!K51+CONS_U.FIS!K52</f>
        <v>0</v>
      </c>
      <c r="E17" s="857">
        <f>CONS_U.FIS!K53</f>
        <v>0</v>
      </c>
      <c r="F17" s="857">
        <f>CONS_U.FIS!K54</f>
        <v>0</v>
      </c>
      <c r="G17" s="857">
        <f>CONS_U.FIS!K55</f>
        <v>0</v>
      </c>
      <c r="H17" s="858">
        <f>SUM(C17:G17)</f>
        <v>44.256811608920202</v>
      </c>
      <c r="I17" s="859"/>
    </row>
    <row r="18" spans="1:9">
      <c r="A18" s="459"/>
      <c r="B18" s="1303" t="s">
        <v>177</v>
      </c>
      <c r="C18" s="856"/>
      <c r="D18" s="857"/>
      <c r="E18" s="857"/>
      <c r="F18" s="857"/>
      <c r="G18" s="857"/>
      <c r="H18" s="858"/>
      <c r="I18" s="859"/>
    </row>
    <row r="19" spans="1:9">
      <c r="A19" s="459"/>
      <c r="B19" s="1304" t="s">
        <v>24</v>
      </c>
      <c r="C19" s="856">
        <f>CONS_U.FIS!M49+CONS_U.FIS!M50</f>
        <v>4786.6068244369335</v>
      </c>
      <c r="D19" s="857">
        <f>CONS_U.FIS!M51+CONS_U.FIS!M52</f>
        <v>607.80857142857133</v>
      </c>
      <c r="E19" s="857">
        <f>CONS_U.FIS!M53</f>
        <v>0</v>
      </c>
      <c r="F19" s="857">
        <f>CONS_U.FIS!M54</f>
        <v>0</v>
      </c>
      <c r="G19" s="857">
        <f>CONS_U.FIS!M55</f>
        <v>0</v>
      </c>
      <c r="H19" s="858">
        <f>SUM(C19:G19)</f>
        <v>5394.4153958655052</v>
      </c>
      <c r="I19" s="859"/>
    </row>
    <row r="20" spans="1:9">
      <c r="A20" s="459"/>
      <c r="B20" s="1303" t="s">
        <v>198</v>
      </c>
      <c r="C20" s="856"/>
      <c r="D20" s="857"/>
      <c r="E20" s="857"/>
      <c r="F20" s="857"/>
      <c r="G20" s="857"/>
      <c r="H20" s="858"/>
      <c r="I20" s="859"/>
    </row>
    <row r="21" spans="1:9">
      <c r="A21" s="459"/>
      <c r="B21" s="1304" t="s">
        <v>124</v>
      </c>
      <c r="C21" s="856">
        <f>CONS_U.FIS!N49+CONS_U.FIS!N50</f>
        <v>718.91169245280037</v>
      </c>
      <c r="D21" s="857">
        <f>CONS_U.FIS!N51+CONS_U.FIS!N52</f>
        <v>155.77485714285714</v>
      </c>
      <c r="E21" s="857">
        <f>CONS_U.FIS!N53</f>
        <v>0</v>
      </c>
      <c r="F21" s="857">
        <f>CONS_U.FIS!N54</f>
        <v>0</v>
      </c>
      <c r="G21" s="857">
        <f>CONS_U.FIS!N55</f>
        <v>0</v>
      </c>
      <c r="H21" s="858">
        <f>SUM(C21:G21)</f>
        <v>874.68654959565754</v>
      </c>
      <c r="I21" s="859"/>
    </row>
    <row r="22" spans="1:9">
      <c r="A22" s="459"/>
      <c r="B22" s="1303" t="s">
        <v>198</v>
      </c>
      <c r="C22" s="856"/>
      <c r="D22" s="857"/>
      <c r="E22" s="857"/>
      <c r="F22" s="857"/>
      <c r="G22" s="857"/>
      <c r="H22" s="858"/>
      <c r="I22" s="859"/>
    </row>
    <row r="23" spans="1:9">
      <c r="A23" s="459"/>
      <c r="B23" s="1304" t="s">
        <v>23</v>
      </c>
      <c r="C23" s="856">
        <f>CONS_U.FIS!R49+CONS_U.FIS!R50</f>
        <v>919.81708555828652</v>
      </c>
      <c r="D23" s="857">
        <f>CONS_U.FIS!R51+CONS_U.FIS!R52</f>
        <v>19.430576031123376</v>
      </c>
      <c r="E23" s="857">
        <f>CONS_U.FIS!R53</f>
        <v>545.2308139999999</v>
      </c>
      <c r="F23" s="857">
        <f>CONS_U.FIS!R54</f>
        <v>0</v>
      </c>
      <c r="G23" s="857">
        <f>CONS_U.FIS!R55</f>
        <v>913.49675623594885</v>
      </c>
      <c r="H23" s="858">
        <f>SUM(C23:G23)</f>
        <v>2397.9752318253586</v>
      </c>
      <c r="I23" s="859"/>
    </row>
    <row r="24" spans="1:9">
      <c r="A24" s="459"/>
      <c r="B24" s="1303" t="s">
        <v>200</v>
      </c>
      <c r="C24" s="856"/>
      <c r="D24" s="857"/>
      <c r="E24" s="857"/>
      <c r="F24" s="857"/>
      <c r="G24" s="857"/>
      <c r="H24" s="858"/>
      <c r="I24" s="854"/>
    </row>
    <row r="25" spans="1:9">
      <c r="A25" s="459"/>
      <c r="B25" s="1304" t="s">
        <v>27</v>
      </c>
      <c r="C25" s="856">
        <f>CONS_U.FIS!T49+CONS_U.FIS!T50</f>
        <v>0</v>
      </c>
      <c r="D25" s="857">
        <f>CONS_U.FIS!T51+CONS_U.FIS!T52</f>
        <v>12.285881904209313</v>
      </c>
      <c r="E25" s="857">
        <f>CONS_U.FIS!T53</f>
        <v>0</v>
      </c>
      <c r="F25" s="857">
        <f>CONS_U.FIS!T54</f>
        <v>0</v>
      </c>
      <c r="G25" s="857">
        <f>CONS_U.FIS!T55</f>
        <v>0</v>
      </c>
      <c r="H25" s="858">
        <f>SUM(C25:G25)</f>
        <v>12.285881904209313</v>
      </c>
      <c r="I25" s="854"/>
    </row>
    <row r="26" spans="1:9">
      <c r="A26" s="459"/>
      <c r="B26" s="1303" t="s">
        <v>179</v>
      </c>
      <c r="C26" s="856"/>
      <c r="D26" s="857"/>
      <c r="E26" s="857"/>
      <c r="F26" s="857"/>
      <c r="G26" s="857"/>
      <c r="H26" s="858"/>
      <c r="I26" s="854"/>
    </row>
    <row r="27" spans="1:9">
      <c r="A27" s="459"/>
      <c r="B27" s="1304" t="s">
        <v>40</v>
      </c>
      <c r="C27" s="856">
        <f>CONS_U.FIS!U49+CONS_U.FIS!U50</f>
        <v>1680.0521138285931</v>
      </c>
      <c r="D27" s="857">
        <f>CONS_U.FIS!U51+CONS_U.FIS!U52</f>
        <v>0</v>
      </c>
      <c r="E27" s="857">
        <f>CONS_U.FIS!U53</f>
        <v>0</v>
      </c>
      <c r="F27" s="857">
        <f>CONS_U.FIS!U54</f>
        <v>0</v>
      </c>
      <c r="G27" s="857">
        <f>CONS_U.FIS!U55</f>
        <v>0</v>
      </c>
      <c r="H27" s="858">
        <f>SUM(C27:G27)</f>
        <v>1680.0521138285931</v>
      </c>
      <c r="I27" s="859"/>
    </row>
    <row r="28" spans="1:9" ht="13.5" thickBot="1">
      <c r="A28" s="459"/>
      <c r="B28" s="1305" t="s">
        <v>198</v>
      </c>
      <c r="C28" s="850"/>
      <c r="D28" s="850"/>
      <c r="E28" s="850"/>
      <c r="F28" s="850"/>
      <c r="G28" s="850"/>
      <c r="H28" s="851"/>
      <c r="I28" s="854"/>
    </row>
    <row r="29" spans="1:9">
      <c r="A29" s="459"/>
      <c r="B29" s="385" t="s">
        <v>676</v>
      </c>
      <c r="C29" s="455"/>
      <c r="D29" s="455"/>
      <c r="E29" s="455"/>
      <c r="F29" s="455"/>
      <c r="G29" s="455"/>
      <c r="H29" s="455"/>
      <c r="I29" s="415"/>
    </row>
    <row r="30" spans="1:9">
      <c r="A30" s="459"/>
      <c r="B30" s="385" t="s">
        <v>677</v>
      </c>
      <c r="C30" s="455"/>
      <c r="D30" s="455"/>
      <c r="E30" s="455"/>
      <c r="F30" s="455"/>
      <c r="G30" s="455"/>
      <c r="H30" s="455"/>
      <c r="I30" s="415"/>
    </row>
    <row r="31" spans="1:9">
      <c r="A31" s="459"/>
      <c r="B31" s="385" t="s">
        <v>678</v>
      </c>
      <c r="C31" s="854"/>
      <c r="D31" s="854"/>
      <c r="E31" s="854"/>
      <c r="F31" s="854"/>
      <c r="G31" s="854"/>
      <c r="H31" s="854"/>
      <c r="I31" s="854"/>
    </row>
    <row r="32" spans="1:9">
      <c r="A32" s="459"/>
      <c r="B32" s="385" t="s">
        <v>679</v>
      </c>
      <c r="C32" s="854"/>
      <c r="D32" s="854"/>
      <c r="E32" s="854"/>
      <c r="F32" s="854"/>
      <c r="G32" s="854"/>
      <c r="H32" s="854"/>
      <c r="I32" s="854"/>
    </row>
    <row r="33" spans="1:9">
      <c r="A33" s="459"/>
      <c r="B33" s="455" t="s">
        <v>795</v>
      </c>
      <c r="C33" s="62"/>
      <c r="D33" s="62"/>
      <c r="E33" s="62"/>
      <c r="F33" s="62"/>
      <c r="G33" s="62"/>
      <c r="H33" s="62"/>
      <c r="I33" s="62"/>
    </row>
    <row r="34" spans="1:9">
      <c r="A34" s="459"/>
      <c r="B34" s="455" t="s">
        <v>773</v>
      </c>
      <c r="C34" s="62"/>
      <c r="D34" s="62"/>
      <c r="E34" s="62"/>
      <c r="F34" s="62"/>
      <c r="G34" s="62"/>
      <c r="H34" s="62"/>
      <c r="I34" s="62"/>
    </row>
    <row r="35" spans="1:9">
      <c r="A35" s="459"/>
      <c r="B35" s="62"/>
      <c r="C35" s="62"/>
      <c r="D35" s="62"/>
      <c r="E35" s="62"/>
      <c r="F35" s="62"/>
      <c r="G35" s="62"/>
      <c r="H35" s="62"/>
      <c r="I35" s="3"/>
    </row>
    <row r="36" spans="1:9">
      <c r="A36" s="459"/>
      <c r="B36" s="62"/>
      <c r="C36" s="62"/>
      <c r="D36" s="62"/>
      <c r="E36" s="62"/>
      <c r="F36" s="62"/>
      <c r="G36" s="62"/>
      <c r="H36" s="62"/>
      <c r="I36" s="3"/>
    </row>
    <row r="37" spans="1:9">
      <c r="A37" s="459"/>
      <c r="B37" s="62"/>
      <c r="C37" s="62"/>
      <c r="D37" s="62"/>
      <c r="E37" s="62"/>
      <c r="F37" s="62"/>
      <c r="G37" s="62"/>
      <c r="H37" s="62"/>
      <c r="I37" s="3"/>
    </row>
    <row r="38" spans="1:9">
      <c r="A38" s="62"/>
      <c r="B38" s="62"/>
      <c r="C38" s="62"/>
      <c r="D38" s="62"/>
      <c r="E38" s="62"/>
      <c r="F38" s="62"/>
      <c r="G38" s="62"/>
      <c r="H38" s="62"/>
      <c r="I38" s="3"/>
    </row>
    <row r="39" spans="1:9">
      <c r="A39" s="3"/>
      <c r="B39" s="3"/>
      <c r="C39" s="3"/>
      <c r="D39" s="3"/>
      <c r="E39" s="3"/>
      <c r="F39" s="3"/>
      <c r="G39" s="3"/>
      <c r="H39" s="3"/>
      <c r="I39" s="3"/>
    </row>
    <row r="40" spans="1:9">
      <c r="A40" s="3"/>
      <c r="B40" s="3"/>
      <c r="C40" s="3"/>
      <c r="D40" s="3"/>
      <c r="E40" s="3"/>
      <c r="F40" s="3"/>
      <c r="G40" s="3"/>
      <c r="H40" s="3"/>
      <c r="I40" s="3"/>
    </row>
    <row r="41" spans="1:9">
      <c r="A41" s="3"/>
      <c r="B41" s="3"/>
      <c r="C41" s="3"/>
      <c r="D41" s="3"/>
      <c r="E41" s="3"/>
      <c r="F41" s="3"/>
      <c r="G41" s="3"/>
      <c r="H41" s="3"/>
      <c r="I41" s="3"/>
    </row>
    <row r="42" spans="1:9">
      <c r="A42" s="3"/>
      <c r="B42" s="3"/>
      <c r="C42" s="3"/>
      <c r="D42" s="3"/>
      <c r="E42" s="3"/>
      <c r="F42" s="3"/>
      <c r="G42" s="3"/>
      <c r="H42" s="3"/>
      <c r="I42" s="3"/>
    </row>
    <row r="43" spans="1:9">
      <c r="A43" s="3"/>
      <c r="B43" s="3"/>
      <c r="C43" s="3"/>
      <c r="D43" s="3"/>
      <c r="E43" s="3"/>
      <c r="F43" s="3"/>
      <c r="G43" s="3"/>
      <c r="H43" s="3"/>
      <c r="I43" s="3"/>
    </row>
    <row r="44" spans="1:9">
      <c r="A44" s="3"/>
      <c r="B44" s="3"/>
      <c r="C44" s="3"/>
      <c r="D44" s="3"/>
      <c r="E44" s="3"/>
      <c r="F44" s="3"/>
      <c r="G44" s="3"/>
      <c r="H44" s="3"/>
      <c r="I44" s="3"/>
    </row>
    <row r="45" spans="1:9">
      <c r="A45" s="3"/>
      <c r="B45" s="3"/>
      <c r="C45" s="3"/>
      <c r="D45" s="3"/>
      <c r="E45" s="3"/>
      <c r="F45" s="3"/>
      <c r="G45" s="3"/>
      <c r="H45" s="3"/>
      <c r="I45" s="3"/>
    </row>
  </sheetData>
  <phoneticPr fontId="0" type="noConversion"/>
  <hyperlinks>
    <hyperlink ref="I3" location="INDICE!A40" display="VOLVER A INDICE"/>
  </hyperlinks>
  <pageMargins left="0.75" right="0.75" top="1" bottom="1" header="0" footer="0"/>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1"/>
  <sheetViews>
    <sheetView workbookViewId="0">
      <selection activeCell="G38" sqref="G38"/>
    </sheetView>
  </sheetViews>
  <sheetFormatPr baseColWidth="10" defaultRowHeight="12.75"/>
  <cols>
    <col min="1" max="1" width="1.7109375" style="260" customWidth="1"/>
    <col min="2" max="2" width="11.42578125" style="260"/>
    <col min="3" max="3" width="15.28515625" style="260" customWidth="1"/>
    <col min="4" max="4" width="20.140625" style="260" customWidth="1"/>
    <col min="5" max="11" width="11.42578125" style="260"/>
    <col min="12" max="17" width="11.42578125" style="3"/>
    <col min="18" max="16384" width="11.42578125" style="260"/>
  </cols>
  <sheetData>
    <row r="1" spans="1:11" ht="6.75" customHeight="1" thickBot="1">
      <c r="A1" s="459"/>
      <c r="B1" s="459"/>
      <c r="C1" s="459"/>
      <c r="D1" s="459"/>
      <c r="E1" s="459"/>
      <c r="F1" s="459"/>
      <c r="G1" s="459"/>
    </row>
    <row r="2" spans="1:11" ht="13.5" thickBot="1">
      <c r="A2" s="459"/>
      <c r="B2" s="1142"/>
      <c r="C2" s="1143"/>
      <c r="D2" s="1144"/>
      <c r="E2" s="1145"/>
      <c r="F2" s="1145"/>
      <c r="G2" s="1145"/>
      <c r="H2" s="31"/>
      <c r="I2" s="3"/>
      <c r="J2" s="3"/>
      <c r="K2" s="3"/>
    </row>
    <row r="3" spans="1:11" ht="15.75">
      <c r="A3" s="459"/>
      <c r="B3" s="1146" t="s">
        <v>201</v>
      </c>
      <c r="C3" s="1147"/>
      <c r="D3" s="1148"/>
      <c r="E3" s="464" t="s">
        <v>606</v>
      </c>
      <c r="F3" s="1145"/>
      <c r="G3" s="1145"/>
      <c r="H3" s="31"/>
      <c r="I3" s="3"/>
      <c r="J3" s="3"/>
      <c r="K3" s="3"/>
    </row>
    <row r="4" spans="1:11" ht="15.75">
      <c r="A4" s="459"/>
      <c r="B4" s="1149" t="s">
        <v>202</v>
      </c>
      <c r="C4" s="1150"/>
      <c r="D4" s="1151"/>
      <c r="E4" s="1145"/>
      <c r="F4" s="1145"/>
      <c r="G4" s="1145"/>
      <c r="H4" s="31"/>
      <c r="I4" s="3"/>
      <c r="J4" s="3"/>
      <c r="K4" s="3"/>
    </row>
    <row r="5" spans="1:11" ht="15.75">
      <c r="A5" s="459"/>
      <c r="B5" s="1149" t="s">
        <v>203</v>
      </c>
      <c r="C5" s="1150"/>
      <c r="D5" s="1151"/>
      <c r="E5" s="1145"/>
      <c r="F5" s="1145"/>
      <c r="G5" s="1145"/>
      <c r="H5" s="31"/>
      <c r="I5" s="3"/>
      <c r="J5" s="3"/>
      <c r="K5" s="3"/>
    </row>
    <row r="6" spans="1:11" ht="15.75">
      <c r="A6" s="459"/>
      <c r="B6" s="1152"/>
      <c r="C6" s="1150">
        <v>2009</v>
      </c>
      <c r="D6" s="1151"/>
      <c r="E6" s="1145"/>
      <c r="F6" s="1145"/>
      <c r="G6" s="1145"/>
      <c r="H6" s="31"/>
      <c r="I6" s="3"/>
      <c r="J6" s="3"/>
      <c r="K6" s="3"/>
    </row>
    <row r="7" spans="1:11" ht="15.75">
      <c r="A7" s="459"/>
      <c r="B7" s="1149"/>
      <c r="C7" s="1150"/>
      <c r="D7" s="1151"/>
      <c r="E7" s="1145"/>
      <c r="F7" s="1145"/>
      <c r="G7" s="1145"/>
      <c r="H7" s="31"/>
      <c r="I7" s="3"/>
      <c r="J7" s="3"/>
      <c r="K7" s="3"/>
    </row>
    <row r="8" spans="1:11" ht="15.75">
      <c r="A8" s="459"/>
      <c r="B8" s="1149"/>
      <c r="C8" s="1150"/>
      <c r="D8" s="1153" t="s">
        <v>42</v>
      </c>
      <c r="E8" s="1145"/>
      <c r="F8" s="1145"/>
      <c r="G8" s="1145"/>
      <c r="H8" s="31"/>
      <c r="I8" s="3"/>
      <c r="J8" s="3"/>
      <c r="K8" s="3"/>
    </row>
    <row r="9" spans="1:11" ht="16.5" thickBot="1">
      <c r="A9" s="459"/>
      <c r="B9" s="1154" t="s">
        <v>139</v>
      </c>
      <c r="C9" s="1155"/>
      <c r="D9" s="1156" t="s">
        <v>47</v>
      </c>
      <c r="E9" s="1145"/>
      <c r="F9" s="1145"/>
      <c r="G9" s="1145"/>
      <c r="H9" s="31"/>
      <c r="I9" s="3"/>
      <c r="J9" s="3"/>
      <c r="K9" s="3"/>
    </row>
    <row r="10" spans="1:11" ht="16.5" customHeight="1">
      <c r="A10" s="459"/>
      <c r="B10" s="1157" t="s">
        <v>141</v>
      </c>
      <c r="C10" s="1158"/>
      <c r="D10" s="1159">
        <v>1.1477999999999999</v>
      </c>
      <c r="E10" s="1145"/>
      <c r="F10" s="1145"/>
      <c r="G10" s="1145"/>
      <c r="H10" s="31"/>
      <c r="I10" s="3"/>
      <c r="J10" s="3"/>
      <c r="K10" s="3"/>
    </row>
    <row r="11" spans="1:11" ht="16.5" customHeight="1">
      <c r="A11" s="459"/>
      <c r="B11" s="1160" t="s">
        <v>142</v>
      </c>
      <c r="C11" s="1161"/>
      <c r="D11" s="1159">
        <v>12.8096</v>
      </c>
      <c r="E11" s="1145"/>
      <c r="F11" s="1145"/>
      <c r="G11" s="1145"/>
      <c r="H11" s="31"/>
      <c r="I11" s="3"/>
      <c r="J11" s="3"/>
      <c r="K11" s="3"/>
    </row>
    <row r="12" spans="1:11" ht="16.5" customHeight="1">
      <c r="A12" s="459"/>
      <c r="B12" s="1160" t="s">
        <v>143</v>
      </c>
      <c r="C12" s="1161"/>
      <c r="D12" s="1159">
        <v>0.59199999999999997</v>
      </c>
      <c r="E12" s="1145"/>
      <c r="F12" s="1145"/>
      <c r="G12" s="1145"/>
      <c r="H12" s="31"/>
      <c r="I12" s="3"/>
      <c r="J12" s="3"/>
      <c r="K12" s="3"/>
    </row>
    <row r="13" spans="1:11" ht="16.5" customHeight="1">
      <c r="A13" s="459"/>
      <c r="B13" s="1160" t="s">
        <v>144</v>
      </c>
      <c r="C13" s="1161"/>
      <c r="D13" s="1159">
        <v>0</v>
      </c>
      <c r="E13" s="1145"/>
      <c r="F13" s="1145"/>
      <c r="G13" s="1145"/>
      <c r="H13" s="31"/>
      <c r="I13" s="3"/>
      <c r="J13" s="3"/>
      <c r="K13" s="3"/>
    </row>
    <row r="14" spans="1:11" ht="16.5" customHeight="1">
      <c r="A14" s="459"/>
      <c r="B14" s="1160" t="s">
        <v>145</v>
      </c>
      <c r="C14" s="1161"/>
      <c r="D14" s="1159">
        <v>0</v>
      </c>
      <c r="E14" s="1145"/>
      <c r="F14" s="1145"/>
      <c r="G14" s="1145"/>
      <c r="H14" s="31"/>
      <c r="I14" s="3"/>
      <c r="J14" s="3"/>
      <c r="K14" s="3"/>
    </row>
    <row r="15" spans="1:11" ht="16.5" customHeight="1">
      <c r="A15" s="459"/>
      <c r="B15" s="1160" t="s">
        <v>146</v>
      </c>
      <c r="C15" s="1161"/>
      <c r="D15" s="1159">
        <v>126.65417500000001</v>
      </c>
      <c r="E15" s="1145"/>
      <c r="F15" s="1145"/>
      <c r="G15" s="1145"/>
      <c r="H15" s="31"/>
      <c r="I15" s="3"/>
      <c r="J15" s="3"/>
      <c r="K15" s="3"/>
    </row>
    <row r="16" spans="1:11" ht="16.5" customHeight="1">
      <c r="A16" s="459"/>
      <c r="B16" s="1160" t="s">
        <v>147</v>
      </c>
      <c r="C16" s="1161"/>
      <c r="D16" s="1159">
        <v>139.93870000000001</v>
      </c>
      <c r="E16" s="1145"/>
      <c r="F16" s="1145"/>
      <c r="G16" s="1145"/>
      <c r="H16" s="31"/>
      <c r="I16" s="3"/>
      <c r="J16" s="3"/>
      <c r="K16" s="3"/>
    </row>
    <row r="17" spans="1:11">
      <c r="A17" s="459"/>
      <c r="B17" s="1162" t="s">
        <v>100</v>
      </c>
      <c r="C17" s="1163"/>
      <c r="D17" s="1164">
        <f>SUM(D10:D16)</f>
        <v>281.14227500000004</v>
      </c>
      <c r="E17" s="1145"/>
      <c r="F17" s="1145"/>
      <c r="G17" s="1145"/>
      <c r="H17" s="31"/>
      <c r="I17" s="3"/>
      <c r="J17" s="3"/>
      <c r="K17" s="3"/>
    </row>
    <row r="18" spans="1:11">
      <c r="A18" s="459"/>
      <c r="B18" s="455" t="s">
        <v>31</v>
      </c>
      <c r="C18" s="455"/>
      <c r="D18" s="455"/>
      <c r="E18" s="455"/>
      <c r="F18" s="455"/>
      <c r="G18" s="455"/>
      <c r="H18" s="2"/>
      <c r="I18" s="3"/>
      <c r="J18" s="3"/>
      <c r="K18" s="3"/>
    </row>
    <row r="19" spans="1:11">
      <c r="A19" s="459"/>
      <c r="B19" s="455" t="s">
        <v>773</v>
      </c>
      <c r="C19" s="455"/>
      <c r="D19" s="455"/>
      <c r="E19" s="455"/>
      <c r="F19" s="455"/>
      <c r="G19" s="455"/>
      <c r="H19" s="2"/>
      <c r="I19" s="3"/>
      <c r="J19" s="3"/>
      <c r="K19" s="3"/>
    </row>
    <row r="20" spans="1:11">
      <c r="A20" s="459"/>
      <c r="B20" s="1145"/>
      <c r="C20" s="1165"/>
      <c r="D20" s="1145"/>
      <c r="E20" s="1145"/>
      <c r="F20" s="1145"/>
      <c r="G20" s="1145"/>
      <c r="H20" s="31"/>
      <c r="I20" s="3"/>
      <c r="J20" s="3"/>
      <c r="K20" s="3"/>
    </row>
    <row r="21" spans="1:11">
      <c r="A21" s="459"/>
      <c r="B21" s="1145"/>
      <c r="C21" s="1165"/>
      <c r="D21" s="1145"/>
      <c r="E21" s="1145"/>
      <c r="F21" s="1145"/>
      <c r="G21" s="1145"/>
      <c r="H21" s="31"/>
      <c r="I21" s="3"/>
      <c r="J21" s="3"/>
      <c r="K21" s="3"/>
    </row>
    <row r="22" spans="1:11">
      <c r="A22" s="459"/>
      <c r="B22" s="62"/>
      <c r="C22" s="62"/>
      <c r="D22" s="62"/>
      <c r="E22" s="62"/>
      <c r="F22" s="62"/>
      <c r="G22" s="62"/>
      <c r="H22" s="3"/>
      <c r="I22" s="3"/>
      <c r="J22" s="3"/>
      <c r="K22" s="3"/>
    </row>
    <row r="23" spans="1:11">
      <c r="B23" s="3"/>
      <c r="C23" s="3"/>
      <c r="D23" s="3"/>
      <c r="E23" s="3"/>
      <c r="F23" s="3"/>
      <c r="G23" s="3"/>
      <c r="H23" s="3"/>
      <c r="I23" s="3"/>
      <c r="J23" s="3"/>
      <c r="K23" s="3"/>
    </row>
    <row r="24" spans="1:11">
      <c r="B24" s="3"/>
      <c r="C24" s="3"/>
      <c r="D24" s="3"/>
      <c r="E24" s="3"/>
      <c r="F24" s="3"/>
      <c r="G24" s="3"/>
      <c r="H24" s="3"/>
      <c r="I24" s="3"/>
      <c r="J24" s="3"/>
      <c r="K24" s="3"/>
    </row>
    <row r="25" spans="1:11">
      <c r="B25" s="3"/>
      <c r="C25" s="3"/>
      <c r="D25" s="3"/>
      <c r="E25" s="3"/>
      <c r="F25" s="3"/>
      <c r="G25" s="3"/>
      <c r="H25" s="3"/>
      <c r="I25" s="3"/>
      <c r="J25" s="3"/>
      <c r="K25" s="3"/>
    </row>
    <row r="26" spans="1:11">
      <c r="B26" s="3"/>
      <c r="C26" s="3"/>
      <c r="D26" s="3"/>
      <c r="E26" s="3"/>
      <c r="F26" s="3"/>
      <c r="G26" s="3"/>
      <c r="H26" s="3"/>
      <c r="I26" s="3"/>
      <c r="J26" s="3"/>
      <c r="K26" s="3"/>
    </row>
    <row r="27" spans="1:11">
      <c r="B27" s="3"/>
      <c r="C27" s="3"/>
      <c r="D27" s="3"/>
      <c r="E27" s="3"/>
      <c r="F27" s="3"/>
      <c r="G27" s="3"/>
      <c r="H27" s="3"/>
      <c r="I27" s="3"/>
      <c r="J27" s="3"/>
      <c r="K27" s="3"/>
    </row>
    <row r="28" spans="1:11">
      <c r="B28" s="3"/>
      <c r="C28" s="3"/>
      <c r="D28" s="3"/>
      <c r="E28" s="3"/>
      <c r="F28" s="3"/>
      <c r="G28" s="3"/>
      <c r="H28" s="3"/>
      <c r="I28" s="3"/>
      <c r="J28" s="3"/>
      <c r="K28" s="3"/>
    </row>
    <row r="29" spans="1:11">
      <c r="B29" s="3"/>
      <c r="C29" s="3"/>
      <c r="D29" s="3"/>
      <c r="E29" s="3"/>
      <c r="F29" s="3"/>
      <c r="G29" s="3"/>
      <c r="H29" s="3"/>
      <c r="I29" s="3"/>
      <c r="J29" s="3"/>
      <c r="K29" s="3"/>
    </row>
    <row r="30" spans="1:11">
      <c r="B30" s="3"/>
      <c r="C30" s="3"/>
      <c r="D30" s="3"/>
      <c r="E30" s="3"/>
      <c r="F30" s="3"/>
      <c r="G30" s="3"/>
      <c r="H30" s="3"/>
      <c r="I30" s="3"/>
      <c r="J30" s="3"/>
      <c r="K30" s="3"/>
    </row>
    <row r="31" spans="1:11">
      <c r="B31" s="3"/>
      <c r="C31" s="3"/>
      <c r="D31" s="3"/>
      <c r="E31" s="3"/>
      <c r="F31" s="3"/>
      <c r="G31" s="3"/>
      <c r="H31" s="3"/>
      <c r="I31" s="3"/>
      <c r="J31" s="3"/>
      <c r="K31" s="3"/>
    </row>
    <row r="32" spans="1:11">
      <c r="B32" s="3"/>
      <c r="C32" s="3"/>
      <c r="D32" s="3"/>
      <c r="E32" s="3"/>
      <c r="F32" s="3"/>
      <c r="G32" s="3"/>
      <c r="H32" s="3"/>
      <c r="I32" s="3"/>
      <c r="J32" s="3"/>
      <c r="K32" s="3"/>
    </row>
    <row r="33" spans="2:11">
      <c r="B33" s="3"/>
      <c r="C33" s="3"/>
      <c r="D33" s="3"/>
      <c r="E33" s="3"/>
      <c r="F33" s="3"/>
      <c r="G33" s="3"/>
      <c r="H33" s="3"/>
      <c r="I33" s="3"/>
      <c r="J33" s="3"/>
      <c r="K33" s="3"/>
    </row>
    <row r="34" spans="2:11">
      <c r="B34" s="3"/>
      <c r="C34" s="3"/>
      <c r="D34" s="3"/>
      <c r="E34" s="3"/>
      <c r="F34" s="3"/>
      <c r="G34" s="3"/>
      <c r="H34" s="3"/>
      <c r="I34" s="3"/>
      <c r="J34" s="3"/>
      <c r="K34" s="3"/>
    </row>
    <row r="35" spans="2:11">
      <c r="B35" s="3"/>
      <c r="C35" s="3"/>
      <c r="D35" s="3"/>
      <c r="E35" s="3"/>
      <c r="F35" s="3"/>
      <c r="G35" s="3"/>
      <c r="H35" s="3"/>
      <c r="I35" s="3"/>
      <c r="J35" s="3"/>
      <c r="K35" s="3"/>
    </row>
    <row r="36" spans="2:11">
      <c r="B36" s="3"/>
      <c r="C36" s="3"/>
      <c r="D36" s="3"/>
      <c r="E36" s="3"/>
      <c r="F36" s="3"/>
      <c r="G36" s="3"/>
      <c r="H36" s="3"/>
      <c r="I36" s="3"/>
      <c r="J36" s="3"/>
      <c r="K36" s="3"/>
    </row>
    <row r="37" spans="2:11">
      <c r="B37" s="3"/>
      <c r="C37" s="3"/>
      <c r="D37" s="3"/>
      <c r="E37" s="3"/>
      <c r="F37" s="3"/>
      <c r="G37" s="3"/>
      <c r="H37" s="3"/>
      <c r="I37" s="3"/>
      <c r="J37" s="3"/>
      <c r="K37" s="3"/>
    </row>
    <row r="38" spans="2:11">
      <c r="B38" s="3"/>
      <c r="C38" s="3"/>
      <c r="D38" s="3"/>
      <c r="E38" s="3"/>
      <c r="F38" s="3"/>
      <c r="G38" s="3"/>
      <c r="H38" s="3"/>
      <c r="I38" s="3"/>
      <c r="J38" s="3"/>
      <c r="K38" s="3"/>
    </row>
    <row r="39" spans="2:11">
      <c r="B39" s="3"/>
      <c r="C39" s="3"/>
      <c r="D39" s="3"/>
      <c r="E39" s="3"/>
      <c r="F39" s="3"/>
      <c r="G39" s="3"/>
      <c r="H39" s="3"/>
      <c r="I39" s="3"/>
      <c r="J39" s="3"/>
      <c r="K39" s="3"/>
    </row>
    <row r="40" spans="2:11">
      <c r="B40" s="3"/>
      <c r="C40" s="3"/>
      <c r="D40" s="3"/>
      <c r="E40" s="3"/>
      <c r="F40" s="3"/>
      <c r="G40" s="3"/>
      <c r="H40" s="3"/>
      <c r="I40" s="3"/>
      <c r="J40" s="3"/>
      <c r="K40" s="3"/>
    </row>
    <row r="41" spans="2:11">
      <c r="B41" s="3"/>
      <c r="C41" s="3"/>
      <c r="D41" s="3"/>
      <c r="E41" s="3"/>
      <c r="F41" s="3"/>
      <c r="G41" s="3"/>
      <c r="H41" s="3"/>
      <c r="I41" s="3"/>
      <c r="J41" s="3"/>
      <c r="K41" s="3"/>
    </row>
    <row r="42" spans="2:11">
      <c r="B42" s="3"/>
      <c r="C42" s="3"/>
      <c r="D42" s="3"/>
      <c r="E42" s="3"/>
      <c r="F42" s="3"/>
      <c r="G42" s="3"/>
      <c r="H42" s="3"/>
      <c r="I42" s="3"/>
      <c r="J42" s="3"/>
      <c r="K42" s="3"/>
    </row>
    <row r="43" spans="2:11">
      <c r="B43" s="3"/>
      <c r="C43" s="3"/>
      <c r="D43" s="3"/>
      <c r="E43" s="3"/>
      <c r="F43" s="3"/>
      <c r="G43" s="3"/>
      <c r="H43" s="3"/>
      <c r="I43" s="3"/>
      <c r="J43" s="3"/>
      <c r="K43" s="3"/>
    </row>
    <row r="44" spans="2:11">
      <c r="B44" s="3"/>
      <c r="C44" s="3"/>
      <c r="D44" s="3"/>
      <c r="E44" s="3"/>
      <c r="F44" s="3"/>
      <c r="G44" s="3"/>
      <c r="H44" s="3"/>
      <c r="I44" s="3"/>
      <c r="J44" s="3"/>
      <c r="K44" s="3"/>
    </row>
    <row r="45" spans="2:11">
      <c r="B45" s="3"/>
      <c r="C45" s="3"/>
      <c r="D45" s="3"/>
      <c r="E45" s="3"/>
      <c r="F45" s="3"/>
      <c r="G45" s="3"/>
      <c r="H45" s="3"/>
      <c r="I45" s="3"/>
      <c r="J45" s="3"/>
      <c r="K45" s="3"/>
    </row>
    <row r="46" spans="2:11">
      <c r="B46" s="3"/>
      <c r="C46" s="3"/>
      <c r="D46" s="3"/>
      <c r="E46" s="3"/>
      <c r="F46" s="3"/>
      <c r="G46" s="3"/>
      <c r="H46" s="3"/>
      <c r="I46" s="3"/>
      <c r="J46" s="3"/>
      <c r="K46" s="3"/>
    </row>
    <row r="47" spans="2:11">
      <c r="B47" s="3"/>
      <c r="C47" s="3"/>
      <c r="D47" s="3"/>
      <c r="E47" s="3"/>
      <c r="F47" s="3"/>
      <c r="G47" s="3"/>
      <c r="H47" s="3"/>
      <c r="I47" s="3"/>
      <c r="J47" s="3"/>
      <c r="K47" s="3"/>
    </row>
    <row r="48" spans="2:11">
      <c r="B48" s="3"/>
      <c r="C48" s="3"/>
      <c r="D48" s="3"/>
      <c r="E48" s="3"/>
      <c r="F48" s="3"/>
      <c r="G48" s="3"/>
      <c r="H48" s="3"/>
      <c r="I48" s="3"/>
      <c r="J48" s="3"/>
      <c r="K48" s="3"/>
    </row>
    <row r="49" spans="2:11">
      <c r="B49" s="3"/>
      <c r="C49" s="3"/>
      <c r="D49" s="3"/>
      <c r="E49" s="3"/>
      <c r="F49" s="3"/>
      <c r="G49" s="3"/>
      <c r="H49" s="3"/>
      <c r="I49" s="3"/>
      <c r="J49" s="3"/>
      <c r="K49" s="3"/>
    </row>
    <row r="50" spans="2:11">
      <c r="B50" s="3"/>
      <c r="C50" s="3"/>
      <c r="D50" s="3"/>
      <c r="E50" s="3"/>
      <c r="F50" s="3"/>
      <c r="G50" s="3"/>
      <c r="H50" s="3"/>
      <c r="I50" s="3"/>
      <c r="J50" s="3"/>
      <c r="K50" s="3"/>
    </row>
    <row r="51" spans="2:11">
      <c r="B51" s="3"/>
      <c r="C51" s="3"/>
      <c r="D51" s="3"/>
      <c r="E51" s="3"/>
      <c r="F51" s="3"/>
      <c r="G51" s="3"/>
      <c r="H51" s="3"/>
      <c r="I51" s="3"/>
      <c r="J51" s="3"/>
      <c r="K51" s="3"/>
    </row>
    <row r="52" spans="2:11">
      <c r="B52" s="3"/>
      <c r="C52" s="3"/>
      <c r="D52" s="3"/>
      <c r="E52" s="3"/>
      <c r="F52" s="3"/>
      <c r="G52" s="3"/>
      <c r="H52" s="3"/>
      <c r="I52" s="3"/>
      <c r="J52" s="3"/>
      <c r="K52" s="3"/>
    </row>
    <row r="53" spans="2:11">
      <c r="B53" s="3"/>
      <c r="C53" s="3"/>
      <c r="D53" s="3"/>
      <c r="E53" s="3"/>
      <c r="F53" s="3"/>
      <c r="G53" s="3"/>
      <c r="H53" s="3"/>
      <c r="I53" s="3"/>
      <c r="J53" s="3"/>
      <c r="K53" s="3"/>
    </row>
    <row r="54" spans="2:11">
      <c r="B54" s="3"/>
      <c r="C54" s="3"/>
      <c r="D54" s="3"/>
      <c r="E54" s="3"/>
      <c r="F54" s="3"/>
      <c r="G54" s="3"/>
      <c r="H54" s="3"/>
      <c r="I54" s="3"/>
      <c r="J54" s="3"/>
      <c r="K54" s="3"/>
    </row>
    <row r="55" spans="2:11">
      <c r="B55" s="3"/>
      <c r="C55" s="3"/>
      <c r="D55" s="3"/>
      <c r="E55" s="3"/>
      <c r="F55" s="3"/>
      <c r="G55" s="3"/>
      <c r="H55" s="3"/>
      <c r="I55" s="3"/>
      <c r="J55" s="3"/>
      <c r="K55" s="3"/>
    </row>
    <row r="56" spans="2:11">
      <c r="B56" s="3"/>
      <c r="C56" s="3"/>
      <c r="D56" s="3"/>
      <c r="E56" s="3"/>
      <c r="F56" s="3"/>
      <c r="G56" s="3"/>
      <c r="H56" s="3"/>
      <c r="I56" s="3"/>
      <c r="J56" s="3"/>
      <c r="K56" s="3"/>
    </row>
    <row r="57" spans="2:11" s="3" customFormat="1"/>
    <row r="58" spans="2:11" s="3" customFormat="1"/>
    <row r="59" spans="2:11" s="3" customFormat="1"/>
    <row r="60" spans="2:11" s="3" customFormat="1"/>
    <row r="61" spans="2:11" s="3" customFormat="1"/>
  </sheetData>
  <phoneticPr fontId="0" type="noConversion"/>
  <hyperlinks>
    <hyperlink ref="E3" location="INDICE!A40" display="VOLVER A INDICE"/>
  </hyperlinks>
  <pageMargins left="0.75" right="0.75" top="1" bottom="1" header="0" footer="0"/>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3"/>
  <sheetViews>
    <sheetView showGridLines="0" zoomScale="70" workbookViewId="0">
      <pane xSplit="2" ySplit="5" topLeftCell="C6" activePane="bottomRight" state="frozen"/>
      <selection pane="topRight" activeCell="C1" sqref="C1"/>
      <selection pane="bottomLeft" activeCell="A6" sqref="A6"/>
      <selection pane="bottomRight" activeCell="O65" sqref="O65"/>
    </sheetView>
  </sheetViews>
  <sheetFormatPr baseColWidth="10" defaultRowHeight="12.75"/>
  <cols>
    <col min="1" max="1" width="21.28515625" customWidth="1"/>
    <col min="2" max="2" width="27.85546875" customWidth="1"/>
  </cols>
  <sheetData>
    <row r="1" spans="1:27" ht="15.75">
      <c r="A1" s="35" t="s">
        <v>775</v>
      </c>
      <c r="B1" s="36"/>
      <c r="C1" s="37"/>
      <c r="D1" s="464" t="s">
        <v>606</v>
      </c>
      <c r="E1" s="37"/>
      <c r="F1" s="37"/>
      <c r="G1" s="38"/>
      <c r="H1" s="38"/>
      <c r="I1" s="39" t="s">
        <v>204</v>
      </c>
      <c r="J1" s="38"/>
      <c r="K1" s="38"/>
      <c r="L1" s="37"/>
      <c r="M1" s="37"/>
      <c r="N1" s="37"/>
      <c r="O1" s="37"/>
      <c r="P1" s="37"/>
      <c r="Q1" s="37"/>
      <c r="R1" s="37"/>
      <c r="S1" s="37"/>
      <c r="T1" s="37"/>
      <c r="U1" s="37"/>
      <c r="V1" s="40"/>
      <c r="W1" s="40"/>
      <c r="X1" s="40"/>
      <c r="Y1" s="40"/>
      <c r="Z1" s="40"/>
      <c r="AA1" s="40"/>
    </row>
    <row r="2" spans="1:27">
      <c r="A2" s="36"/>
      <c r="B2" s="36"/>
      <c r="C2" s="37"/>
      <c r="D2" s="37"/>
      <c r="E2" s="37"/>
      <c r="F2" s="37"/>
      <c r="G2" s="37"/>
      <c r="H2" s="37"/>
      <c r="I2" s="37"/>
      <c r="J2" s="37"/>
      <c r="K2" s="37"/>
      <c r="L2" s="37"/>
      <c r="M2" s="37"/>
      <c r="N2" s="37"/>
      <c r="O2" s="37"/>
      <c r="P2" s="37"/>
      <c r="Q2" s="37"/>
      <c r="R2" s="37"/>
      <c r="S2" s="37"/>
      <c r="T2" s="37"/>
      <c r="U2" s="37"/>
      <c r="V2" s="40"/>
      <c r="W2" s="40"/>
      <c r="X2" s="40"/>
      <c r="Y2" s="40"/>
      <c r="Z2" s="40"/>
      <c r="AA2" s="40"/>
    </row>
    <row r="3" spans="1:27">
      <c r="A3" s="41"/>
      <c r="B3" s="41"/>
      <c r="C3" s="42" t="s">
        <v>205</v>
      </c>
      <c r="D3" s="42" t="s">
        <v>206</v>
      </c>
      <c r="E3" s="42" t="s">
        <v>207</v>
      </c>
      <c r="F3" s="42" t="s">
        <v>208</v>
      </c>
      <c r="G3" s="42" t="s">
        <v>209</v>
      </c>
      <c r="H3" s="42" t="s">
        <v>207</v>
      </c>
      <c r="I3" s="42" t="s">
        <v>208</v>
      </c>
      <c r="J3" s="42" t="s">
        <v>210</v>
      </c>
      <c r="K3" s="42" t="s">
        <v>211</v>
      </c>
      <c r="L3" s="42" t="s">
        <v>213</v>
      </c>
      <c r="M3" s="42" t="s">
        <v>214</v>
      </c>
      <c r="N3" s="42" t="s">
        <v>270</v>
      </c>
      <c r="O3" s="42" t="s">
        <v>226</v>
      </c>
      <c r="P3" s="42" t="s">
        <v>209</v>
      </c>
      <c r="Q3" s="42" t="s">
        <v>211</v>
      </c>
      <c r="R3" s="42" t="s">
        <v>209</v>
      </c>
      <c r="S3" s="42" t="s">
        <v>271</v>
      </c>
      <c r="T3" s="42" t="s">
        <v>216</v>
      </c>
      <c r="U3" s="42" t="s">
        <v>217</v>
      </c>
      <c r="V3" s="40"/>
      <c r="W3" s="40"/>
      <c r="X3" s="40"/>
      <c r="Y3" s="40"/>
      <c r="Z3" s="40"/>
      <c r="AA3" s="40"/>
    </row>
    <row r="4" spans="1:27">
      <c r="A4" s="43" t="s">
        <v>218</v>
      </c>
      <c r="B4" s="44"/>
      <c r="C4" s="45" t="s">
        <v>219</v>
      </c>
      <c r="D4" s="45" t="s">
        <v>220</v>
      </c>
      <c r="E4" s="45" t="s">
        <v>759</v>
      </c>
      <c r="F4" s="45" t="s">
        <v>272</v>
      </c>
      <c r="G4" s="45" t="s">
        <v>221</v>
      </c>
      <c r="H4" s="45" t="s">
        <v>222</v>
      </c>
      <c r="I4" s="45" t="s">
        <v>222</v>
      </c>
      <c r="J4" s="45" t="s">
        <v>272</v>
      </c>
      <c r="K4" s="45" t="s">
        <v>223</v>
      </c>
      <c r="L4" s="45" t="s">
        <v>225</v>
      </c>
      <c r="M4" s="45" t="s">
        <v>272</v>
      </c>
      <c r="N4" s="44" t="s">
        <v>272</v>
      </c>
      <c r="O4" s="45" t="s">
        <v>272</v>
      </c>
      <c r="P4" s="45" t="s">
        <v>227</v>
      </c>
      <c r="Q4" s="46" t="s">
        <v>273</v>
      </c>
      <c r="R4" s="45" t="s">
        <v>229</v>
      </c>
      <c r="S4" s="45" t="s">
        <v>272</v>
      </c>
      <c r="T4" s="45" t="s">
        <v>274</v>
      </c>
      <c r="U4" s="45" t="s">
        <v>231</v>
      </c>
      <c r="V4" s="40"/>
      <c r="W4" s="40"/>
      <c r="X4" s="40"/>
      <c r="Y4" s="40"/>
      <c r="Z4" s="40"/>
      <c r="AA4" s="40"/>
    </row>
    <row r="5" spans="1:27">
      <c r="A5" s="47"/>
      <c r="B5" s="47"/>
      <c r="C5" s="48" t="s">
        <v>275</v>
      </c>
      <c r="D5" s="48" t="s">
        <v>276</v>
      </c>
      <c r="E5" s="48" t="s">
        <v>275</v>
      </c>
      <c r="F5" s="48" t="s">
        <v>277</v>
      </c>
      <c r="G5" s="48" t="s">
        <v>276</v>
      </c>
      <c r="H5" s="48" t="s">
        <v>275</v>
      </c>
      <c r="I5" s="48" t="s">
        <v>275</v>
      </c>
      <c r="J5" s="48" t="s">
        <v>277</v>
      </c>
      <c r="K5" s="48" t="s">
        <v>275</v>
      </c>
      <c r="L5" s="48" t="s">
        <v>186</v>
      </c>
      <c r="M5" s="48" t="s">
        <v>279</v>
      </c>
      <c r="N5" s="48" t="s">
        <v>280</v>
      </c>
      <c r="O5" s="48" t="s">
        <v>277</v>
      </c>
      <c r="P5" s="48" t="s">
        <v>278</v>
      </c>
      <c r="Q5" s="48" t="s">
        <v>276</v>
      </c>
      <c r="R5" s="48" t="s">
        <v>278</v>
      </c>
      <c r="S5" s="48" t="s">
        <v>280</v>
      </c>
      <c r="T5" s="48" t="s">
        <v>277</v>
      </c>
      <c r="U5" s="48" t="s">
        <v>276</v>
      </c>
      <c r="V5" s="40"/>
      <c r="W5" s="40"/>
      <c r="X5" s="40"/>
      <c r="Y5" s="40"/>
      <c r="Z5" s="40"/>
      <c r="AA5" s="40"/>
    </row>
    <row r="6" spans="1:27">
      <c r="A6" s="49"/>
      <c r="B6" s="49"/>
      <c r="C6" s="37"/>
      <c r="D6" s="37"/>
      <c r="E6" s="37"/>
      <c r="F6" s="37"/>
      <c r="G6" s="37"/>
      <c r="H6" s="37"/>
      <c r="I6" s="37"/>
      <c r="J6" s="37"/>
      <c r="K6" s="37"/>
      <c r="L6" s="37"/>
      <c r="M6" s="37"/>
      <c r="N6" s="37"/>
      <c r="O6" s="37"/>
      <c r="P6" s="37"/>
      <c r="Q6" s="37"/>
      <c r="R6" s="37"/>
      <c r="S6" s="37"/>
      <c r="T6" s="37"/>
      <c r="U6" s="37"/>
      <c r="V6" s="40"/>
      <c r="W6" s="40"/>
      <c r="X6" s="40"/>
      <c r="Y6" s="40"/>
      <c r="Z6" s="40"/>
      <c r="AA6" s="40"/>
    </row>
    <row r="7" spans="1:27">
      <c r="A7" s="34" t="s">
        <v>233</v>
      </c>
      <c r="B7" s="33" t="s">
        <v>234</v>
      </c>
      <c r="C7" s="352">
        <f>CONS_TERAC!C7*CONS_U.FIS!C$92</f>
        <v>3840.7737850300005</v>
      </c>
      <c r="D7" s="352">
        <f>CONS_TERAC!D7*CONS_U.FIS!D$92</f>
        <v>2.345032276</v>
      </c>
      <c r="E7" s="352">
        <f>CONS_TERAC!E7*CONS_U.FIS!E$92</f>
        <v>3409.9182473899991</v>
      </c>
      <c r="F7" s="352">
        <f>CONS_TERAC!F7*CONS_U.FIS!F$92</f>
        <v>7.468</v>
      </c>
      <c r="G7" s="352">
        <f>CONS_TERAC!G7*CONS_U.FIS!G$92</f>
        <v>5.6894054512072891</v>
      </c>
      <c r="H7" s="352">
        <f>CONS_TERAC!H7*CONS_U.FIS!H$92</f>
        <v>2.5000000000000001E-2</v>
      </c>
      <c r="I7" s="352">
        <f>CONS_TERAC!I7*CONS_U.FIS!I$92</f>
        <v>0.23400000000000004</v>
      </c>
      <c r="J7" s="352">
        <f>CONS_TERAC!J7*CONS_U.FIS!J$92</f>
        <v>0</v>
      </c>
      <c r="K7" s="352">
        <f>CONS_TERAC!K7*CONS_U.FIS!K$92</f>
        <v>0</v>
      </c>
      <c r="L7" s="352">
        <f>CONS_TERAC!M7*CONS_U.FIS!L$92</f>
        <v>370.30869100000001</v>
      </c>
      <c r="M7" s="352">
        <f>CONS_TERAC!N7*CONS_U.FIS!M$92</f>
        <v>0</v>
      </c>
      <c r="N7" s="352">
        <f>CONS_TERAC!O7*CONS_U.FIS!N$92</f>
        <v>0</v>
      </c>
      <c r="O7" s="352">
        <f>CONS_TERAC!P7*CONS_U.FIS!O$92</f>
        <v>0</v>
      </c>
      <c r="P7" s="352">
        <f>CONS_TERAC!Q7*CONS_U.FIS!P$92</f>
        <v>0</v>
      </c>
      <c r="Q7" s="352">
        <f>CONS_TERAC!R7*CONS_U.FIS!Q$92</f>
        <v>0</v>
      </c>
      <c r="R7" s="352">
        <f>CONS_TERAC!S7*CONS_U.FIS!R$92</f>
        <v>23.90530813912628</v>
      </c>
      <c r="S7" s="352">
        <f>CONS_TERAC!T7*CONS_U.FIS!S$92</f>
        <v>0</v>
      </c>
      <c r="T7" s="350">
        <f>CONS_TERAC!U7*CONS_U.FIS!T$92</f>
        <v>0</v>
      </c>
      <c r="U7" s="352">
        <f>CONS_TERAC!V7*CONS_U.FIS!U$92</f>
        <v>0</v>
      </c>
      <c r="V7" s="40"/>
      <c r="W7" s="40"/>
      <c r="X7" s="40"/>
      <c r="Y7" s="40"/>
      <c r="Z7" s="40"/>
      <c r="AA7" s="40"/>
    </row>
    <row r="8" spans="1:27">
      <c r="A8" s="33"/>
      <c r="B8" s="33" t="s">
        <v>236</v>
      </c>
      <c r="C8" s="352">
        <f>CONS_TERAC!C8*CONS_U.FIS!$C$92</f>
        <v>51.000885999999987</v>
      </c>
      <c r="D8" s="352">
        <f>CONS_TERAC!D8*CONS_U.FIS!D$92</f>
        <v>0</v>
      </c>
      <c r="E8" s="352">
        <f>CONS_TERAC!E8*CONS_U.FIS!E$92</f>
        <v>0</v>
      </c>
      <c r="F8" s="352">
        <f>CONS_TERAC!F8*CONS_U.FIS!F$92</f>
        <v>0</v>
      </c>
      <c r="G8" s="352">
        <f>CONS_TERAC!G8*CONS_U.FIS!G$92</f>
        <v>0</v>
      </c>
      <c r="H8" s="352">
        <f>CONS_TERAC!H8*CONS_U.FIS!H$92</f>
        <v>0</v>
      </c>
      <c r="I8" s="352">
        <f>CONS_TERAC!I8*CONS_U.FIS!I$92</f>
        <v>0</v>
      </c>
      <c r="J8" s="352">
        <f>CONS_TERAC!J8*CONS_U.FIS!J$92</f>
        <v>0</v>
      </c>
      <c r="K8" s="352">
        <f>CONS_TERAC!K8*CONS_U.FIS!K$92</f>
        <v>0</v>
      </c>
      <c r="L8" s="352">
        <f>CONS_TERAC!M8*CONS_U.FIS!L$92</f>
        <v>52.02391200000001</v>
      </c>
      <c r="M8" s="353">
        <f>CONS_TERAC!N8*CONS_U.FIS!M$92</f>
        <v>0</v>
      </c>
      <c r="N8" s="352">
        <f>CONS_TERAC!O8*CONS_U.FIS!N$92</f>
        <v>0</v>
      </c>
      <c r="O8" s="352">
        <f>CONS_TERAC!P8*CONS_U.FIS!O$92</f>
        <v>0</v>
      </c>
      <c r="P8" s="352">
        <f>CONS_TERAC!Q8*CONS_U.FIS!P$92</f>
        <v>0</v>
      </c>
      <c r="Q8" s="352">
        <f>CONS_TERAC!R8*CONS_U.FIS!Q$92</f>
        <v>0</v>
      </c>
      <c r="R8" s="352">
        <f>CONS_TERAC!S8*CONS_U.FIS!R$92</f>
        <v>0</v>
      </c>
      <c r="S8" s="352">
        <f>CONS_TERAC!T8*CONS_U.FIS!S$92</f>
        <v>0</v>
      </c>
      <c r="T8" s="350">
        <f>CONS_TERAC!U8*CONS_U.FIS!T$92</f>
        <v>0</v>
      </c>
      <c r="U8" s="352">
        <f>CONS_TERAC!V8*CONS_U.FIS!U$92</f>
        <v>0</v>
      </c>
      <c r="V8" s="40"/>
      <c r="W8" s="40"/>
      <c r="X8" s="40"/>
      <c r="Y8" s="40"/>
      <c r="Z8" s="40"/>
      <c r="AA8" s="40"/>
    </row>
    <row r="9" spans="1:27">
      <c r="A9" s="33"/>
      <c r="B9" s="33" t="s">
        <v>237</v>
      </c>
      <c r="C9" s="352">
        <f>CONS_TERAC!C9*CONS_U.FIS!$C$92</f>
        <v>370.70619132000002</v>
      </c>
      <c r="D9" s="352">
        <f>CONS_TERAC!D9*CONS_U.FIS!D$92</f>
        <v>1014.6894738039998</v>
      </c>
      <c r="E9" s="352">
        <f>CONS_TERAC!E9*CONS_U.FIS!E$92</f>
        <v>4.8058686100000001</v>
      </c>
      <c r="F9" s="352">
        <f>CONS_TERAC!F9*CONS_U.FIS!F$92</f>
        <v>0.19</v>
      </c>
      <c r="G9" s="352">
        <f>CONS_TERAC!G9*CONS_U.FIS!G$92</f>
        <v>5.5218680895368581E-4</v>
      </c>
      <c r="H9" s="352">
        <f>CONS_TERAC!H9*CONS_U.FIS!H$92</f>
        <v>0</v>
      </c>
      <c r="I9" s="352">
        <f>CONS_TERAC!I9*CONS_U.FIS!I$92</f>
        <v>0.19500000000000001</v>
      </c>
      <c r="J9" s="352">
        <f>CONS_TERAC!J9*CONS_U.FIS!J$92</f>
        <v>0</v>
      </c>
      <c r="K9" s="352">
        <f>CONS_TERAC!K9*CONS_U.FIS!K$92</f>
        <v>0</v>
      </c>
      <c r="L9" s="352">
        <f>CONS_TERAC!M9*CONS_U.FIS!L$92</f>
        <v>0</v>
      </c>
      <c r="M9" s="352">
        <f>CONS_TERAC!N9*CONS_U.FIS!M$92</f>
        <v>0</v>
      </c>
      <c r="N9" s="352">
        <f>CONS_TERAC!O9*CONS_U.FIS!N$92</f>
        <v>0</v>
      </c>
      <c r="O9" s="352">
        <f>CONS_TERAC!P9*CONS_U.FIS!O$92</f>
        <v>0</v>
      </c>
      <c r="P9" s="352">
        <f>CONS_TERAC!Q9*CONS_U.FIS!P$92</f>
        <v>0</v>
      </c>
      <c r="Q9" s="352">
        <f>CONS_TERAC!R9*CONS_U.FIS!Q$92</f>
        <v>0</v>
      </c>
      <c r="R9" s="352">
        <f>CONS_TERAC!S9*CONS_U.FIS!R$92</f>
        <v>0</v>
      </c>
      <c r="S9" s="352">
        <f>CONS_TERAC!T9*CONS_U.FIS!S$92</f>
        <v>0</v>
      </c>
      <c r="T9" s="350">
        <f>CONS_TERAC!U9*CONS_U.FIS!T$92</f>
        <v>0</v>
      </c>
      <c r="U9" s="352">
        <f>CONS_TERAC!V9*CONS_U.FIS!U$92</f>
        <v>0</v>
      </c>
      <c r="V9" s="40"/>
      <c r="W9" s="40"/>
      <c r="X9" s="40"/>
      <c r="Y9" s="40"/>
      <c r="Z9" s="40"/>
      <c r="AA9" s="40"/>
    </row>
    <row r="10" spans="1:27">
      <c r="A10" s="33"/>
      <c r="B10" s="33" t="s">
        <v>238</v>
      </c>
      <c r="C10" s="352">
        <f>CONS_TERAC!C10*CONS_U.FIS!$C$92</f>
        <v>0.72099999999999997</v>
      </c>
      <c r="D10" s="352">
        <f>CONS_TERAC!D10*CONS_U.FIS!D$92</f>
        <v>0</v>
      </c>
      <c r="E10" s="352">
        <f>CONS_TERAC!E10*CONS_U.FIS!E$92</f>
        <v>4.3999999999999991E-2</v>
      </c>
      <c r="F10" s="352">
        <f>CONS_TERAC!F10*CONS_U.FIS!F$92</f>
        <v>0</v>
      </c>
      <c r="G10" s="352">
        <f>CONS_TERAC!G10*CONS_U.FIS!G$92</f>
        <v>0</v>
      </c>
      <c r="H10" s="352">
        <f>CONS_TERAC!H10*CONS_U.FIS!H$92</f>
        <v>7.0260000000000007</v>
      </c>
      <c r="I10" s="352">
        <f>CONS_TERAC!I10*CONS_U.FIS!I$92</f>
        <v>862.0227225319943</v>
      </c>
      <c r="J10" s="352">
        <f>CONS_TERAC!J10*CONS_U.FIS!J$92</f>
        <v>0</v>
      </c>
      <c r="K10" s="352">
        <f>CONS_TERAC!K10*CONS_U.FIS!K$92</f>
        <v>0</v>
      </c>
      <c r="L10" s="352">
        <f>CONS_TERAC!M10*CONS_U.FIS!L$92</f>
        <v>0</v>
      </c>
      <c r="M10" s="352">
        <f>CONS_TERAC!N10*CONS_U.FIS!M$92</f>
        <v>0</v>
      </c>
      <c r="N10" s="352">
        <f>CONS_TERAC!O10*CONS_U.FIS!N$92</f>
        <v>0</v>
      </c>
      <c r="O10" s="352">
        <f>CONS_TERAC!P10*CONS_U.FIS!O$92</f>
        <v>0</v>
      </c>
      <c r="P10" s="352">
        <f>CONS_TERAC!Q10*CONS_U.FIS!P$92</f>
        <v>0</v>
      </c>
      <c r="Q10" s="352">
        <f>CONS_TERAC!R10*CONS_U.FIS!Q$92</f>
        <v>0</v>
      </c>
      <c r="R10" s="352">
        <f>CONS_TERAC!S10*CONS_U.FIS!R$92</f>
        <v>0</v>
      </c>
      <c r="S10" s="352">
        <f>CONS_TERAC!T10*CONS_U.FIS!S$92</f>
        <v>0</v>
      </c>
      <c r="T10" s="350">
        <f>CONS_TERAC!U10*CONS_U.FIS!T$92</f>
        <v>0</v>
      </c>
      <c r="U10" s="352">
        <f>CONS_TERAC!V10*CONS_U.FIS!U$92</f>
        <v>0</v>
      </c>
      <c r="V10" s="40"/>
      <c r="W10" s="40"/>
      <c r="X10" s="40"/>
      <c r="Y10" s="40"/>
      <c r="Z10" s="40"/>
      <c r="AA10" s="40"/>
    </row>
    <row r="11" spans="1:27">
      <c r="A11" s="33"/>
      <c r="B11" s="33"/>
      <c r="C11" s="37"/>
      <c r="D11" s="37"/>
      <c r="E11" s="37"/>
      <c r="F11" s="37"/>
      <c r="G11" s="37"/>
      <c r="H11" s="37"/>
      <c r="I11" s="37"/>
      <c r="J11" s="37"/>
      <c r="K11" s="37"/>
      <c r="L11" s="37"/>
      <c r="M11" s="37"/>
      <c r="N11" s="37"/>
      <c r="O11" s="37"/>
      <c r="P11" s="37"/>
      <c r="Q11" s="37"/>
      <c r="R11" s="37"/>
      <c r="S11" s="37"/>
      <c r="T11" s="37"/>
      <c r="U11" s="37"/>
      <c r="V11" s="40"/>
      <c r="W11" s="40"/>
      <c r="X11" s="40"/>
      <c r="Y11" s="40"/>
      <c r="Z11" s="40"/>
      <c r="AA11" s="40"/>
    </row>
    <row r="12" spans="1:27">
      <c r="A12" s="33" t="s">
        <v>239</v>
      </c>
      <c r="B12" s="33"/>
      <c r="C12" s="354">
        <f>CONS_TERAC!C12*CONS_U.FIS!$C$92</f>
        <v>4263.2018623500016</v>
      </c>
      <c r="D12" s="354">
        <f>CONS_TERAC!D12*CONS_U.FIS!D$92</f>
        <v>1017.0345060799998</v>
      </c>
      <c r="E12" s="354">
        <f>CONS_TERAC!E12*CONS_U.FIS!E$92</f>
        <v>3414.7681159999993</v>
      </c>
      <c r="F12" s="354">
        <f>CONS_TERAC!F12*CONS_U.FIS!F$92</f>
        <v>7.6580000000000013</v>
      </c>
      <c r="G12" s="354">
        <f>CONS_TERAC!G12*CONS_U.FIS!G$92</f>
        <v>5.6899576380162422</v>
      </c>
      <c r="H12" s="354">
        <f>CONS_TERAC!H12*CONS_U.FIS!H$92</f>
        <v>7.051000000000001</v>
      </c>
      <c r="I12" s="354">
        <f>CONS_TERAC!I12*CONS_U.FIS!I$92</f>
        <v>862.45172253199428</v>
      </c>
      <c r="J12" s="354">
        <f>CONS_TERAC!J12*CONS_U.FIS!J$92</f>
        <v>0</v>
      </c>
      <c r="K12" s="354">
        <f>CONS_TERAC!K12*CONS_U.FIS!K$92</f>
        <v>0</v>
      </c>
      <c r="L12" s="354">
        <f>CONS_TERAC!M12*CONS_U.FIS!L$92</f>
        <v>422.33260300000006</v>
      </c>
      <c r="M12" s="354">
        <f>CONS_TERAC!N12*CONS_U.FIS!M$92</f>
        <v>0</v>
      </c>
      <c r="N12" s="354">
        <f>CONS_TERAC!O12*CONS_U.FIS!N$92</f>
        <v>0</v>
      </c>
      <c r="O12" s="354">
        <f>CONS_TERAC!P12*CONS_U.FIS!O$92</f>
        <v>0</v>
      </c>
      <c r="P12" s="354">
        <f>CONS_TERAC!Q12*CONS_U.FIS!P$92</f>
        <v>0</v>
      </c>
      <c r="Q12" s="354">
        <f>CONS_TERAC!R12*CONS_U.FIS!Q$92</f>
        <v>0</v>
      </c>
      <c r="R12" s="354">
        <f>CONS_TERAC!S12*CONS_U.FIS!R$92</f>
        <v>23.90530813912628</v>
      </c>
      <c r="S12" s="354">
        <f>CONS_TERAC!T12*CONS_U.FIS!S$92</f>
        <v>0</v>
      </c>
      <c r="T12" s="354">
        <f>CONS_TERAC!U12*CONS_U.FIS!T$92</f>
        <v>0</v>
      </c>
      <c r="U12" s="354">
        <f>CONS_TERAC!V12*CONS_U.FIS!U$92</f>
        <v>0</v>
      </c>
      <c r="V12" s="40"/>
      <c r="W12" s="40"/>
      <c r="X12" s="40"/>
      <c r="Y12" s="40"/>
      <c r="Z12" s="40"/>
      <c r="AA12" s="40"/>
    </row>
    <row r="13" spans="1:27">
      <c r="A13" s="33"/>
      <c r="B13" s="33"/>
      <c r="C13" s="37"/>
      <c r="D13" s="37"/>
      <c r="E13" s="37"/>
      <c r="F13" s="37"/>
      <c r="G13" s="37"/>
      <c r="H13" s="37"/>
      <c r="I13" s="37"/>
      <c r="J13" s="37"/>
      <c r="K13" s="37"/>
      <c r="L13" s="37"/>
      <c r="M13" s="37"/>
      <c r="N13" s="37"/>
      <c r="O13" s="37"/>
      <c r="P13" s="37"/>
      <c r="Q13" s="37"/>
      <c r="R13" s="37"/>
      <c r="S13" s="37"/>
      <c r="T13" s="37"/>
      <c r="U13" s="37"/>
      <c r="V13" s="40"/>
      <c r="W13" s="40"/>
      <c r="X13" s="40"/>
      <c r="Y13" s="40"/>
      <c r="Z13" s="40"/>
      <c r="AA13" s="40"/>
    </row>
    <row r="14" spans="1:27">
      <c r="A14" s="34" t="s">
        <v>240</v>
      </c>
      <c r="B14" s="33" t="s">
        <v>241</v>
      </c>
      <c r="C14" s="352">
        <f>CONS_TERAC!C14*CONS_U.FIS!$C$92</f>
        <v>1167.8800387908095</v>
      </c>
      <c r="D14" s="352">
        <f>CONS_TERAC!D14*CONS_U.FIS!D$92</f>
        <v>158.31770621000004</v>
      </c>
      <c r="E14" s="352">
        <f>CONS_TERAC!E14*CONS_U.FIS!E$92</f>
        <v>0</v>
      </c>
      <c r="F14" s="352">
        <f>CONS_TERAC!F14*CONS_U.FIS!F$92</f>
        <v>9.0185050000000011</v>
      </c>
      <c r="G14" s="352">
        <f>CONS_TERAC!G14*CONS_U.FIS!G$92</f>
        <v>4.0476595986363639</v>
      </c>
      <c r="H14" s="352">
        <f>CONS_TERAC!H14*CONS_U.FIS!H$92</f>
        <v>0</v>
      </c>
      <c r="I14" s="352">
        <f>CONS_TERAC!I14*CONS_U.FIS!I$92</f>
        <v>0</v>
      </c>
      <c r="J14" s="352">
        <f>CONS_TERAC!J14*CONS_U.FIS!J$92</f>
        <v>0</v>
      </c>
      <c r="K14" s="352">
        <f>CONS_TERAC!K14*CONS_U.FIS!K$92</f>
        <v>0</v>
      </c>
      <c r="L14" s="352">
        <f>CONS_TERAC!M14*CONS_U.FIS!L$92</f>
        <v>18544.613325032198</v>
      </c>
      <c r="M14" s="352">
        <f>CONS_TERAC!N14*CONS_U.FIS!M$92</f>
        <v>0</v>
      </c>
      <c r="N14" s="352">
        <f>CONS_TERAC!O14*CONS_U.FIS!N$92</f>
        <v>7.7437819999999995</v>
      </c>
      <c r="O14" s="352">
        <f>CONS_TERAC!P14*CONS_U.FIS!O$92</f>
        <v>0</v>
      </c>
      <c r="P14" s="352">
        <f>CONS_TERAC!Q14*CONS_U.FIS!P$92</f>
        <v>0</v>
      </c>
      <c r="Q14" s="352">
        <f>CONS_TERAC!R14*CONS_U.FIS!Q$92</f>
        <v>0</v>
      </c>
      <c r="R14" s="352">
        <f>CONS_TERAC!S14*CONS_U.FIS!R$92</f>
        <v>46.901200058785349</v>
      </c>
      <c r="S14" s="352">
        <f>CONS_TERAC!T14*CONS_U.FIS!S$92</f>
        <v>0</v>
      </c>
      <c r="T14" s="350">
        <f>CONS_TERAC!U14*CONS_U.FIS!T$92</f>
        <v>0</v>
      </c>
      <c r="U14" s="352">
        <f>CONS_TERAC!V14*CONS_U.FIS!U$92</f>
        <v>0</v>
      </c>
      <c r="V14" s="40"/>
      <c r="W14" s="40"/>
      <c r="X14" s="40"/>
      <c r="Y14" s="40"/>
      <c r="Z14" s="40"/>
      <c r="AA14" s="40"/>
    </row>
    <row r="15" spans="1:27">
      <c r="A15" s="34" t="s">
        <v>242</v>
      </c>
      <c r="B15" s="33" t="s">
        <v>243</v>
      </c>
      <c r="C15" s="352">
        <f>CONS_TERAC!C15*CONS_U.FIS!$C$92</f>
        <v>34.556999999999995</v>
      </c>
      <c r="D15" s="352">
        <f>CONS_TERAC!D15*CONS_U.FIS!D$92</f>
        <v>0</v>
      </c>
      <c r="E15" s="352">
        <f>CONS_TERAC!E15*CONS_U.FIS!E$92</f>
        <v>0</v>
      </c>
      <c r="F15" s="352">
        <f>CONS_TERAC!F15*CONS_U.FIS!F$92</f>
        <v>0</v>
      </c>
      <c r="G15" s="352">
        <f>CONS_TERAC!G15*CONS_U.FIS!G$92</f>
        <v>0</v>
      </c>
      <c r="H15" s="352">
        <f>CONS_TERAC!H15*CONS_U.FIS!H$92</f>
        <v>0</v>
      </c>
      <c r="I15" s="352">
        <f>CONS_TERAC!I15*CONS_U.FIS!I$92</f>
        <v>0</v>
      </c>
      <c r="J15" s="352">
        <f>CONS_TERAC!J15*CONS_U.FIS!J$92</f>
        <v>0</v>
      </c>
      <c r="K15" s="352">
        <f>CONS_TERAC!K15*CONS_U.FIS!K$92</f>
        <v>0</v>
      </c>
      <c r="L15" s="352">
        <f>CONS_TERAC!M15*CONS_U.FIS!L$92</f>
        <v>383.44522500000011</v>
      </c>
      <c r="M15" s="352">
        <f>CONS_TERAC!N15*CONS_U.FIS!M$92</f>
        <v>0</v>
      </c>
      <c r="N15" s="352">
        <f>CONS_TERAC!O15*CONS_U.FIS!N$92</f>
        <v>0</v>
      </c>
      <c r="O15" s="352">
        <f>CONS_TERAC!P15*CONS_U.FIS!O$92</f>
        <v>0</v>
      </c>
      <c r="P15" s="352">
        <f>CONS_TERAC!Q15*CONS_U.FIS!P$92</f>
        <v>0</v>
      </c>
      <c r="Q15" s="352">
        <f>CONS_TERAC!R15*CONS_U.FIS!Q$92</f>
        <v>0</v>
      </c>
      <c r="R15" s="352">
        <f>CONS_TERAC!S15*CONS_U.FIS!R$92</f>
        <v>14.585552618458193</v>
      </c>
      <c r="S15" s="352">
        <f>CONS_TERAC!T15*CONS_U.FIS!S$92</f>
        <v>0</v>
      </c>
      <c r="T15" s="350">
        <f>CONS_TERAC!U15*CONS_U.FIS!T$92</f>
        <v>0</v>
      </c>
      <c r="U15" s="352">
        <f>CONS_TERAC!V15*CONS_U.FIS!U$92</f>
        <v>0</v>
      </c>
      <c r="V15" s="40"/>
      <c r="W15" s="40"/>
      <c r="X15" s="40"/>
      <c r="Y15" s="40"/>
      <c r="Z15" s="40"/>
      <c r="AA15" s="40"/>
    </row>
    <row r="16" spans="1:27">
      <c r="A16" s="33"/>
      <c r="B16" s="33" t="s">
        <v>244</v>
      </c>
      <c r="C16" s="352">
        <f>CONS_TERAC!C16*CONS_U.FIS!$C$92</f>
        <v>6.5069959999999991</v>
      </c>
      <c r="D16" s="352">
        <f>CONS_TERAC!D16*CONS_U.FIS!D$92</f>
        <v>2.7455999999999996</v>
      </c>
      <c r="E16" s="352">
        <f>CONS_TERAC!E16*CONS_U.FIS!E$92</f>
        <v>0</v>
      </c>
      <c r="F16" s="352">
        <f>CONS_TERAC!F16*CONS_U.FIS!F$92</f>
        <v>0</v>
      </c>
      <c r="G16" s="352">
        <f>CONS_TERAC!G16*CONS_U.FIS!G$92</f>
        <v>0.15205560330578513</v>
      </c>
      <c r="H16" s="352">
        <f>CONS_TERAC!H16*CONS_U.FIS!H$92</f>
        <v>0</v>
      </c>
      <c r="I16" s="352">
        <f>CONS_TERAC!I16*CONS_U.FIS!I$92</f>
        <v>0</v>
      </c>
      <c r="J16" s="352">
        <f>CONS_TERAC!J16*CONS_U.FIS!J$92</f>
        <v>0</v>
      </c>
      <c r="K16" s="352">
        <f>CONS_TERAC!K16*CONS_U.FIS!K$92</f>
        <v>0</v>
      </c>
      <c r="L16" s="352">
        <f>CONS_TERAC!M16*CONS_U.FIS!L$92</f>
        <v>438.87916400000012</v>
      </c>
      <c r="M16" s="352">
        <f>CONS_TERAC!N16*CONS_U.FIS!M$92</f>
        <v>50.717151000000001</v>
      </c>
      <c r="N16" s="352">
        <f>CONS_TERAC!O16*CONS_U.FIS!N$92</f>
        <v>0</v>
      </c>
      <c r="O16" s="352">
        <f>CONS_TERAC!P16*CONS_U.FIS!O$92</f>
        <v>0</v>
      </c>
      <c r="P16" s="352">
        <f>CONS_TERAC!Q16*CONS_U.FIS!P$92</f>
        <v>0</v>
      </c>
      <c r="Q16" s="352">
        <f>CONS_TERAC!R16*CONS_U.FIS!Q$92</f>
        <v>0</v>
      </c>
      <c r="R16" s="352">
        <f>CONS_TERAC!S16*CONS_U.FIS!R$92</f>
        <v>0</v>
      </c>
      <c r="S16" s="352">
        <f>CONS_TERAC!T16*CONS_U.FIS!S$92</f>
        <v>0</v>
      </c>
      <c r="T16" s="350">
        <f>CONS_TERAC!U16*CONS_U.FIS!T$92</f>
        <v>0</v>
      </c>
      <c r="U16" s="352">
        <f>CONS_TERAC!V16*CONS_U.FIS!U$92</f>
        <v>0</v>
      </c>
      <c r="V16" s="40"/>
      <c r="W16" s="40"/>
      <c r="X16" s="40"/>
      <c r="Y16" s="40"/>
      <c r="Z16" s="40"/>
      <c r="AA16" s="40"/>
    </row>
    <row r="17" spans="1:27">
      <c r="A17" s="33"/>
      <c r="B17" s="33" t="s">
        <v>245</v>
      </c>
      <c r="C17" s="352">
        <f>CONS_TERAC!C17*CONS_U.FIS!$C$92</f>
        <v>11.594258052380955</v>
      </c>
      <c r="D17" s="352">
        <f>CONS_TERAC!D17*CONS_U.FIS!D$92</f>
        <v>231.03073649600003</v>
      </c>
      <c r="E17" s="352">
        <f>CONS_TERAC!E17*CONS_U.FIS!E$92</f>
        <v>0</v>
      </c>
      <c r="F17" s="352">
        <f>CONS_TERAC!F17*CONS_U.FIS!F$92</f>
        <v>5.2119999999999996E-3</v>
      </c>
      <c r="G17" s="352">
        <f>CONS_TERAC!G17*CONS_U.FIS!G$92</f>
        <v>11.772556544526205</v>
      </c>
      <c r="H17" s="352">
        <f>CONS_TERAC!H17*CONS_U.FIS!H$92</f>
        <v>0</v>
      </c>
      <c r="I17" s="352">
        <f>CONS_TERAC!I17*CONS_U.FIS!I$92</f>
        <v>0</v>
      </c>
      <c r="J17" s="352">
        <f>CONS_TERAC!J17*CONS_U.FIS!J$92</f>
        <v>0</v>
      </c>
      <c r="K17" s="352">
        <f>CONS_TERAC!K17*CONS_U.FIS!K$92</f>
        <v>0</v>
      </c>
      <c r="L17" s="352">
        <f>CONS_TERAC!M17*CONS_U.FIS!L$92</f>
        <v>5191.5433242886274</v>
      </c>
      <c r="M17" s="352">
        <f>CONS_TERAC!N17*CONS_U.FIS!M$92</f>
        <v>6.9210164833333332</v>
      </c>
      <c r="N17" s="352">
        <f>CONS_TERAC!O17*CONS_U.FIS!N$92</f>
        <v>0</v>
      </c>
      <c r="O17" s="352">
        <f>CONS_TERAC!P17*CONS_U.FIS!O$92</f>
        <v>0</v>
      </c>
      <c r="P17" s="352">
        <f>CONS_TERAC!Q17*CONS_U.FIS!P$92</f>
        <v>0</v>
      </c>
      <c r="Q17" s="352">
        <f>CONS_TERAC!R17*CONS_U.FIS!Q$92</f>
        <v>0</v>
      </c>
      <c r="R17" s="352">
        <f>CONS_TERAC!S17*CONS_U.FIS!R$92</f>
        <v>58.355044385950279</v>
      </c>
      <c r="S17" s="352">
        <f>CONS_TERAC!T17*CONS_U.FIS!S$92</f>
        <v>0</v>
      </c>
      <c r="T17" s="350">
        <f>CONS_TERAC!U17*CONS_U.FIS!T$92</f>
        <v>0</v>
      </c>
      <c r="U17" s="352">
        <f>CONS_TERAC!V17*CONS_U.FIS!U$92</f>
        <v>3474.6452508258926</v>
      </c>
      <c r="V17" s="40"/>
      <c r="W17" s="40"/>
      <c r="X17" s="40"/>
      <c r="Y17" s="40"/>
      <c r="Z17" s="40"/>
      <c r="AA17" s="40"/>
    </row>
    <row r="18" spans="1:27">
      <c r="A18" s="33"/>
      <c r="B18" s="33" t="s">
        <v>246</v>
      </c>
      <c r="C18" s="352">
        <f>CONS_TERAC!C18*CONS_U.FIS!$C$92</f>
        <v>0.77557900000000002</v>
      </c>
      <c r="D18" s="352">
        <f>CONS_TERAC!D18*CONS_U.FIS!D$92</f>
        <v>40.725000000000001</v>
      </c>
      <c r="E18" s="352">
        <f>CONS_TERAC!E18*CONS_U.FIS!E$92</f>
        <v>0</v>
      </c>
      <c r="F18" s="352">
        <f>CONS_TERAC!F18*CONS_U.FIS!F$92</f>
        <v>5.1999999999999998E-2</v>
      </c>
      <c r="G18" s="352">
        <f>CONS_TERAC!G18*CONS_U.FIS!G$92</f>
        <v>8.4800589120713123</v>
      </c>
      <c r="H18" s="352">
        <f>CONS_TERAC!H18*CONS_U.FIS!H$92</f>
        <v>0</v>
      </c>
      <c r="I18" s="352">
        <f>CONS_TERAC!I18*CONS_U.FIS!I$92</f>
        <v>0</v>
      </c>
      <c r="J18" s="352">
        <f>CONS_TERAC!J18*CONS_U.FIS!J$92</f>
        <v>0</v>
      </c>
      <c r="K18" s="352">
        <f>CONS_TERAC!K18*CONS_U.FIS!K$92</f>
        <v>0</v>
      </c>
      <c r="L18" s="352">
        <f>CONS_TERAC!M18*CONS_U.FIS!L$92</f>
        <v>512.48353499999985</v>
      </c>
      <c r="M18" s="352">
        <f>CONS_TERAC!N18*CONS_U.FIS!M$92</f>
        <v>0</v>
      </c>
      <c r="N18" s="352">
        <f>CONS_TERAC!O18*CONS_U.FIS!N$92</f>
        <v>287.66080000000005</v>
      </c>
      <c r="O18" s="352">
        <f>CONS_TERAC!P18*CONS_U.FIS!O$92</f>
        <v>0</v>
      </c>
      <c r="P18" s="352">
        <f>CONS_TERAC!Q18*CONS_U.FIS!P$92</f>
        <v>177.31257627103733</v>
      </c>
      <c r="Q18" s="352">
        <f>CONS_TERAC!R18*CONS_U.FIS!Q$92</f>
        <v>184.00444444444446</v>
      </c>
      <c r="R18" s="352">
        <f>CONS_TERAC!S18*CONS_U.FIS!R$92</f>
        <v>0</v>
      </c>
      <c r="S18" s="352">
        <f>CONS_TERAC!T18*CONS_U.FIS!S$92</f>
        <v>0</v>
      </c>
      <c r="T18" s="350">
        <f>CONS_TERAC!U18*CONS_U.FIS!T$92</f>
        <v>0</v>
      </c>
      <c r="U18" s="352">
        <f>CONS_TERAC!V18*CONS_U.FIS!U$92</f>
        <v>0</v>
      </c>
      <c r="V18" s="40"/>
      <c r="W18" s="40"/>
      <c r="X18" s="40"/>
      <c r="Y18" s="40"/>
      <c r="Z18" s="40"/>
      <c r="AA18" s="40"/>
    </row>
    <row r="19" spans="1:27">
      <c r="A19" s="33"/>
      <c r="B19" s="33" t="s">
        <v>247</v>
      </c>
      <c r="C19" s="352">
        <f>CONS_TERAC!C19*CONS_U.FIS!$C$92</f>
        <v>0.14850000000000002</v>
      </c>
      <c r="D19" s="352">
        <f>CONS_TERAC!D19*CONS_U.FIS!D$92</f>
        <v>0</v>
      </c>
      <c r="E19" s="352">
        <f>CONS_TERAC!E19*CONS_U.FIS!E$92</f>
        <v>0</v>
      </c>
      <c r="F19" s="352">
        <f>CONS_TERAC!F19*CONS_U.FIS!F$92</f>
        <v>0</v>
      </c>
      <c r="G19" s="352">
        <f>CONS_TERAC!G19*CONS_U.FIS!G$92</f>
        <v>0.55203334999999998</v>
      </c>
      <c r="H19" s="352">
        <f>CONS_TERAC!H19*CONS_U.FIS!H$92</f>
        <v>0</v>
      </c>
      <c r="I19" s="352">
        <f>CONS_TERAC!I19*CONS_U.FIS!I$92</f>
        <v>0</v>
      </c>
      <c r="J19" s="352">
        <f>CONS_TERAC!J19*CONS_U.FIS!J$92</f>
        <v>0</v>
      </c>
      <c r="K19" s="352">
        <f>CONS_TERAC!K19*CONS_U.FIS!K$92</f>
        <v>0.78098591549295771</v>
      </c>
      <c r="L19" s="352">
        <f>CONS_TERAC!M19*CONS_U.FIS!L$92</f>
        <v>440.20406899999989</v>
      </c>
      <c r="M19" s="352">
        <f>CONS_TERAC!N19*CONS_U.FIS!M$92</f>
        <v>0</v>
      </c>
      <c r="N19" s="352">
        <f>CONS_TERAC!O19*CONS_U.FIS!N$92</f>
        <v>0</v>
      </c>
      <c r="O19" s="352">
        <f>CONS_TERAC!P19*CONS_U.FIS!O$92</f>
        <v>0</v>
      </c>
      <c r="P19" s="352">
        <f>CONS_TERAC!Q19*CONS_U.FIS!P$92</f>
        <v>0</v>
      </c>
      <c r="Q19" s="352">
        <f>CONS_TERAC!R19*CONS_U.FIS!Q$92</f>
        <v>0</v>
      </c>
      <c r="R19" s="352">
        <f>CONS_TERAC!S19*CONS_U.FIS!R$92</f>
        <v>8.3873531645569613E-2</v>
      </c>
      <c r="S19" s="352">
        <f>CONS_TERAC!T19*CONS_U.FIS!S$92</f>
        <v>0</v>
      </c>
      <c r="T19" s="350">
        <f>CONS_TERAC!U19*CONS_U.FIS!T$92</f>
        <v>0</v>
      </c>
      <c r="U19" s="352">
        <f>CONS_TERAC!V19*CONS_U.FIS!U$92</f>
        <v>0</v>
      </c>
      <c r="V19" s="40"/>
      <c r="W19" s="40"/>
      <c r="X19" s="40"/>
      <c r="Y19" s="40"/>
      <c r="Z19" s="40"/>
      <c r="AA19" s="40"/>
    </row>
    <row r="20" spans="1:27">
      <c r="A20" s="33"/>
      <c r="B20" s="33" t="s">
        <v>248</v>
      </c>
      <c r="C20" s="352">
        <f>CONS_TERAC!C20*CONS_U.FIS!$C$92</f>
        <v>11.166218887000005</v>
      </c>
      <c r="D20" s="352">
        <f>CONS_TERAC!D20*CONS_U.FIS!D$92</f>
        <v>11.66767789525</v>
      </c>
      <c r="E20" s="352">
        <f>CONS_TERAC!E20*CONS_U.FIS!E$92</f>
        <v>0</v>
      </c>
      <c r="F20" s="352">
        <f>CONS_TERAC!F20*CONS_U.FIS!F$92</f>
        <v>0</v>
      </c>
      <c r="G20" s="352">
        <f>CONS_TERAC!G20*CONS_U.FIS!G$92</f>
        <v>0.56514887430751104</v>
      </c>
      <c r="H20" s="352">
        <f>CONS_TERAC!H20*CONS_U.FIS!H$92</f>
        <v>0</v>
      </c>
      <c r="I20" s="352">
        <f>CONS_TERAC!I20*CONS_U.FIS!I$92</f>
        <v>0</v>
      </c>
      <c r="J20" s="352">
        <f>CONS_TERAC!J20*CONS_U.FIS!J$92</f>
        <v>0</v>
      </c>
      <c r="K20" s="352">
        <f>CONS_TERAC!K20*CONS_U.FIS!K$92</f>
        <v>0</v>
      </c>
      <c r="L20" s="352">
        <f>CONS_TERAC!M20*CONS_U.FIS!L$92</f>
        <v>507.94235397321836</v>
      </c>
      <c r="M20" s="352">
        <f>CONS_TERAC!N20*CONS_U.FIS!M$92</f>
        <v>74.038581991350625</v>
      </c>
      <c r="N20" s="352">
        <f>CONS_TERAC!O20*CONS_U.FIS!N$92</f>
        <v>272.61188058435579</v>
      </c>
      <c r="O20" s="352">
        <f>CONS_TERAC!P20*CONS_U.FIS!O$92</f>
        <v>0</v>
      </c>
      <c r="P20" s="352">
        <f>CONS_TERAC!Q20*CONS_U.FIS!P$92</f>
        <v>0</v>
      </c>
      <c r="Q20" s="352">
        <f>CONS_TERAC!R20*CONS_U.FIS!Q$92</f>
        <v>0</v>
      </c>
      <c r="R20" s="352">
        <f>CONS_TERAC!S20*CONS_U.FIS!R$92</f>
        <v>0.86326557970238726</v>
      </c>
      <c r="S20" s="352">
        <f>CONS_TERAC!T20*CONS_U.FIS!S$92</f>
        <v>0</v>
      </c>
      <c r="T20" s="350">
        <f>CONS_TERAC!U20*CONS_U.FIS!T$92</f>
        <v>0</v>
      </c>
      <c r="U20" s="352">
        <f>CONS_TERAC!V20*CONS_U.FIS!U$92</f>
        <v>0</v>
      </c>
      <c r="V20" s="40"/>
      <c r="W20" s="40"/>
      <c r="X20" s="40"/>
      <c r="Y20" s="40"/>
      <c r="Z20" s="40"/>
      <c r="AA20" s="40"/>
    </row>
    <row r="21" spans="1:27">
      <c r="A21" s="33"/>
      <c r="B21" s="33" t="s">
        <v>249</v>
      </c>
      <c r="C21" s="352">
        <f>CONS_TERAC!C21*CONS_U.FIS!$C$92</f>
        <v>0.25420100000000001</v>
      </c>
      <c r="D21" s="352">
        <f>CONS_TERAC!D21*CONS_U.FIS!D$92</f>
        <v>0</v>
      </c>
      <c r="E21" s="352">
        <f>CONS_TERAC!E21*CONS_U.FIS!E$92</f>
        <v>0</v>
      </c>
      <c r="F21" s="352">
        <f>CONS_TERAC!F21*CONS_U.FIS!F$92</f>
        <v>0</v>
      </c>
      <c r="G21" s="352">
        <f>CONS_TERAC!G21*CONS_U.FIS!G$92</f>
        <v>0.17634545454545453</v>
      </c>
      <c r="H21" s="352">
        <f>CONS_TERAC!H21*CONS_U.FIS!H$92</f>
        <v>0</v>
      </c>
      <c r="I21" s="352">
        <f>CONS_TERAC!I21*CONS_U.FIS!I$92</f>
        <v>0</v>
      </c>
      <c r="J21" s="352">
        <f>CONS_TERAC!J21*CONS_U.FIS!J$92</f>
        <v>0</v>
      </c>
      <c r="K21" s="352">
        <f>CONS_TERAC!K21*CONS_U.FIS!K$92</f>
        <v>0</v>
      </c>
      <c r="L21" s="352">
        <f>CONS_TERAC!M21*CONS_U.FIS!L$92</f>
        <v>36.352421</v>
      </c>
      <c r="M21" s="352">
        <f>CONS_TERAC!N21*CONS_U.FIS!M$92</f>
        <v>59.867913580000014</v>
      </c>
      <c r="N21" s="352">
        <f>CONS_TERAC!O21*CONS_U.FIS!N$92</f>
        <v>2.6307388285714284</v>
      </c>
      <c r="O21" s="352">
        <f>CONS_TERAC!P21*CONS_U.FIS!O$92</f>
        <v>0</v>
      </c>
      <c r="P21" s="352">
        <f>CONS_TERAC!Q21*CONS_U.FIS!P$92</f>
        <v>0</v>
      </c>
      <c r="Q21" s="352">
        <f>CONS_TERAC!R21*CONS_U.FIS!Q$92</f>
        <v>0</v>
      </c>
      <c r="R21" s="352">
        <f>CONS_TERAC!S21*CONS_U.FIS!R$92</f>
        <v>0</v>
      </c>
      <c r="S21" s="352">
        <f>CONS_TERAC!T21*CONS_U.FIS!S$92</f>
        <v>0</v>
      </c>
      <c r="T21" s="350">
        <f>CONS_TERAC!U21*CONS_U.FIS!T$92</f>
        <v>0</v>
      </c>
      <c r="U21" s="352">
        <f>CONS_TERAC!V21*CONS_U.FIS!U$92</f>
        <v>0</v>
      </c>
      <c r="V21" s="40"/>
      <c r="W21" s="40"/>
      <c r="X21" s="40"/>
      <c r="Y21" s="40"/>
      <c r="Z21" s="40"/>
      <c r="AA21" s="40"/>
    </row>
    <row r="22" spans="1:27">
      <c r="A22" s="33"/>
      <c r="B22" s="33" t="s">
        <v>250</v>
      </c>
      <c r="C22" s="352">
        <f>CONS_TERAC!C22*CONS_U.FIS!$C$92</f>
        <v>71.34801299999998</v>
      </c>
      <c r="D22" s="352">
        <f>CONS_TERAC!D22*CONS_U.FIS!D$92</f>
        <v>81.89129226</v>
      </c>
      <c r="E22" s="352">
        <f>CONS_TERAC!E22*CONS_U.FIS!E$92</f>
        <v>0</v>
      </c>
      <c r="F22" s="352">
        <f>CONS_TERAC!F22*CONS_U.FIS!F$92</f>
        <v>0</v>
      </c>
      <c r="G22" s="352">
        <f>CONS_TERAC!G22*CONS_U.FIS!G$92</f>
        <v>4.8954530972846531</v>
      </c>
      <c r="H22" s="352">
        <f>CONS_TERAC!H22*CONS_U.FIS!H$92</f>
        <v>0</v>
      </c>
      <c r="I22" s="352">
        <f>CONS_TERAC!I22*CONS_U.FIS!I$92</f>
        <v>0</v>
      </c>
      <c r="J22" s="352">
        <f>CONS_TERAC!J22*CONS_U.FIS!J$92</f>
        <v>0</v>
      </c>
      <c r="K22" s="352">
        <f>CONS_TERAC!K22*CONS_U.FIS!K$92</f>
        <v>0</v>
      </c>
      <c r="L22" s="352">
        <f>CONS_TERAC!M22*CONS_U.FIS!L$92</f>
        <v>162.94982800000005</v>
      </c>
      <c r="M22" s="352">
        <f>CONS_TERAC!N22*CONS_U.FIS!M$92</f>
        <v>8.4996688485714262</v>
      </c>
      <c r="N22" s="352">
        <f>CONS_TERAC!O22*CONS_U.FIS!N$92</f>
        <v>0</v>
      </c>
      <c r="O22" s="352">
        <f>CONS_TERAC!P22*CONS_U.FIS!O$92</f>
        <v>0</v>
      </c>
      <c r="P22" s="352">
        <f>CONS_TERAC!Q22*CONS_U.FIS!P$92</f>
        <v>0</v>
      </c>
      <c r="Q22" s="352">
        <f>CONS_TERAC!R22*CONS_U.FIS!Q$92</f>
        <v>0</v>
      </c>
      <c r="R22" s="352">
        <f>CONS_TERAC!S22*CONS_U.FIS!R$92</f>
        <v>6.3139239278449839</v>
      </c>
      <c r="S22" s="352">
        <f>CONS_TERAC!T22*CONS_U.FIS!S$92</f>
        <v>0</v>
      </c>
      <c r="T22" s="350">
        <f>CONS_TERAC!U22*CONS_U.FIS!T$92</f>
        <v>0</v>
      </c>
      <c r="U22" s="352">
        <f>CONS_TERAC!V22*CONS_U.FIS!U$92</f>
        <v>0</v>
      </c>
      <c r="V22" s="40"/>
      <c r="W22" s="40"/>
      <c r="X22" s="40"/>
      <c r="Y22" s="40"/>
      <c r="Z22" s="40"/>
      <c r="AA22" s="40"/>
    </row>
    <row r="23" spans="1:27">
      <c r="A23" s="33"/>
      <c r="B23" s="33" t="s">
        <v>251</v>
      </c>
      <c r="C23" s="352">
        <f>CONS_TERAC!C23*CONS_U.FIS!$C$92</f>
        <v>723.59182352378116</v>
      </c>
      <c r="D23" s="352">
        <f>CONS_TERAC!D23*CONS_U.FIS!D$92</f>
        <v>136.31384455374993</v>
      </c>
      <c r="E23" s="352">
        <f>CONS_TERAC!E23*CONS_U.FIS!E$92</f>
        <v>0</v>
      </c>
      <c r="F23" s="352">
        <f>CONS_TERAC!F23*CONS_U.FIS!F$92</f>
        <v>29.559642</v>
      </c>
      <c r="G23" s="352">
        <f>CONS_TERAC!G23*CONS_U.FIS!G$92</f>
        <v>240.30901431691356</v>
      </c>
      <c r="H23" s="352">
        <f>CONS_TERAC!H23*CONS_U.FIS!H$92</f>
        <v>0</v>
      </c>
      <c r="I23" s="352">
        <f>CONS_TERAC!I23*CONS_U.FIS!I$92</f>
        <v>0</v>
      </c>
      <c r="J23" s="352">
        <f>CONS_TERAC!J23*CONS_U.FIS!J$92</f>
        <v>0</v>
      </c>
      <c r="K23" s="352">
        <f>CONS_TERAC!K23*CONS_U.FIS!K$92</f>
        <v>0</v>
      </c>
      <c r="L23" s="352">
        <f>CONS_TERAC!M23*CONS_U.FIS!L$92</f>
        <v>8910.0429346814835</v>
      </c>
      <c r="M23" s="352">
        <f>CONS_TERAC!N23*CONS_U.FIS!M$92</f>
        <v>108.23644155183183</v>
      </c>
      <c r="N23" s="352">
        <f>CONS_TERAC!O23*CONS_U.FIS!N$92</f>
        <v>8.3797986714285724</v>
      </c>
      <c r="O23" s="352">
        <f>CONS_TERAC!P23*CONS_U.FIS!O$92</f>
        <v>0</v>
      </c>
      <c r="P23" s="352">
        <f>CONS_TERAC!Q23*CONS_U.FIS!P$92</f>
        <v>0</v>
      </c>
      <c r="Q23" s="352">
        <f>CONS_TERAC!R23*CONS_U.FIS!Q$92</f>
        <v>0</v>
      </c>
      <c r="R23" s="352">
        <f>CONS_TERAC!S23*CONS_U.FIS!R$92</f>
        <v>23.478062986076292</v>
      </c>
      <c r="S23" s="352">
        <f>CONS_TERAC!T23*CONS_U.FIS!S$92</f>
        <v>82.591192661531636</v>
      </c>
      <c r="T23" s="350">
        <f>CONS_TERAC!U23*CONS_U.FIS!T$92</f>
        <v>0</v>
      </c>
      <c r="U23" s="352">
        <f>CONS_TERAC!V23*CONS_U.FIS!U$92</f>
        <v>1024.5153498999464</v>
      </c>
      <c r="V23" s="40"/>
      <c r="W23" s="40"/>
      <c r="X23" s="40"/>
      <c r="Y23" s="40"/>
      <c r="Z23" s="40"/>
      <c r="AA23" s="40"/>
    </row>
    <row r="24" spans="1:27">
      <c r="A24" s="33"/>
      <c r="B24" s="33" t="s">
        <v>252</v>
      </c>
      <c r="C24" s="352">
        <f>CONS_TERAC!C24*CONS_U.FIS!$C$92</f>
        <v>378.39104020919052</v>
      </c>
      <c r="D24" s="352">
        <f>CONS_TERAC!D24*CONS_U.FIS!D$92</f>
        <v>50.936396774999928</v>
      </c>
      <c r="E24" s="352">
        <f>CONS_TERAC!E24*CONS_U.FIS!E$92</f>
        <v>0</v>
      </c>
      <c r="F24" s="352">
        <f>CONS_TERAC!F24*CONS_U.FIS!F$92</f>
        <v>6.4151500000000006</v>
      </c>
      <c r="G24" s="352">
        <f>CONS_TERAC!G24*CONS_U.FIS!G$92</f>
        <v>2.2044629287404955</v>
      </c>
      <c r="H24" s="352">
        <f>CONS_TERAC!H24*CONS_U.FIS!H$92</f>
        <v>0</v>
      </c>
      <c r="I24" s="352">
        <f>CONS_TERAC!I24*CONS_U.FIS!I$92</f>
        <v>0</v>
      </c>
      <c r="J24" s="352">
        <f>CONS_TERAC!J24*CONS_U.FIS!J$92</f>
        <v>0</v>
      </c>
      <c r="K24" s="352">
        <f>CONS_TERAC!K24*CONS_U.FIS!K$92</f>
        <v>0</v>
      </c>
      <c r="L24" s="352">
        <f>CONS_TERAC!M24*CONS_U.FIS!L$92</f>
        <v>1463.6064378193812</v>
      </c>
      <c r="M24" s="352">
        <f>CONS_TERAC!N24*CONS_U.FIS!M$92</f>
        <v>0</v>
      </c>
      <c r="N24" s="352">
        <f>CONS_TERAC!O24*CONS_U.FIS!N$92</f>
        <v>4.4517857142857142</v>
      </c>
      <c r="O24" s="352">
        <f>CONS_TERAC!P24*CONS_U.FIS!O$92</f>
        <v>0</v>
      </c>
      <c r="P24" s="352">
        <f>CONS_TERAC!Q24*CONS_U.FIS!P$92</f>
        <v>0</v>
      </c>
      <c r="Q24" s="352">
        <f>CONS_TERAC!R24*CONS_U.FIS!Q$92</f>
        <v>0</v>
      </c>
      <c r="R24" s="352">
        <f>CONS_TERAC!S24*CONS_U.FIS!R$92</f>
        <v>11.915601275024088</v>
      </c>
      <c r="S24" s="352">
        <f>CONS_TERAC!T24*CONS_U.FIS!S$92</f>
        <v>0</v>
      </c>
      <c r="T24" s="350">
        <f>CONS_TERAC!U24*CONS_U.FIS!T$92</f>
        <v>0</v>
      </c>
      <c r="U24" s="352">
        <f>CONS_TERAC!V24*CONS_U.FIS!U$92</f>
        <v>0</v>
      </c>
      <c r="V24" s="40"/>
      <c r="W24" s="40"/>
      <c r="X24" s="40"/>
      <c r="Y24" s="40"/>
      <c r="Z24" s="40"/>
      <c r="AA24" s="40"/>
    </row>
    <row r="25" spans="1:27">
      <c r="A25" s="33"/>
      <c r="B25" s="33"/>
      <c r="C25" s="37"/>
      <c r="D25" s="37"/>
      <c r="E25" s="37"/>
      <c r="F25" s="37"/>
      <c r="G25" s="37"/>
      <c r="H25" s="37"/>
      <c r="I25" s="37"/>
      <c r="J25" s="37"/>
      <c r="K25" s="37"/>
      <c r="L25" s="37"/>
      <c r="M25" s="37"/>
      <c r="N25" s="37"/>
      <c r="O25" s="37"/>
      <c r="P25" s="37"/>
      <c r="Q25" s="37"/>
      <c r="R25" s="37"/>
      <c r="S25" s="37"/>
      <c r="T25" s="37"/>
      <c r="U25" s="37"/>
      <c r="V25" s="40"/>
      <c r="W25" s="40"/>
      <c r="X25" s="40"/>
      <c r="Y25" s="40"/>
      <c r="Z25" s="40"/>
      <c r="AA25" s="40"/>
    </row>
    <row r="26" spans="1:27">
      <c r="A26" s="33" t="s">
        <v>253</v>
      </c>
      <c r="B26" s="33"/>
      <c r="C26" s="354">
        <f>CONS_TERAC!C26*CONS_U.FIS!$C$92</f>
        <v>2406.2136684631619</v>
      </c>
      <c r="D26" s="354">
        <f>CONS_TERAC!D26*CONS_U.FIS!D$92</f>
        <v>713.62825419000001</v>
      </c>
      <c r="E26" s="354">
        <f>CONS_TERAC!E26*CONS_U.FIS!E$92</f>
        <v>0</v>
      </c>
      <c r="F26" s="354">
        <f>CONS_TERAC!F26*CONS_U.FIS!F$92</f>
        <v>45.050508999999998</v>
      </c>
      <c r="G26" s="354">
        <f>CONS_TERAC!G26*CONS_U.FIS!G$92</f>
        <v>273.15478868033136</v>
      </c>
      <c r="H26" s="354">
        <f>CONS_TERAC!H26*CONS_U.FIS!H$92</f>
        <v>0</v>
      </c>
      <c r="I26" s="354">
        <f>CONS_TERAC!I26*CONS_U.FIS!I$92</f>
        <v>0</v>
      </c>
      <c r="J26" s="354">
        <f>CONS_TERAC!J26*CONS_U.FIS!J$92</f>
        <v>0</v>
      </c>
      <c r="K26" s="354">
        <f>CONS_TERAC!K26*CONS_U.FIS!K$92</f>
        <v>0.78098591549295771</v>
      </c>
      <c r="L26" s="354">
        <f>CONS_TERAC!M26*CONS_U.FIS!L$92</f>
        <v>36592.062617794902</v>
      </c>
      <c r="M26" s="354">
        <f>CONS_TERAC!N26*CONS_U.FIS!M$92</f>
        <v>308.28077345508723</v>
      </c>
      <c r="N26" s="354">
        <f>CONS_TERAC!O26*CONS_U.FIS!N$92</f>
        <v>583.47878579864152</v>
      </c>
      <c r="O26" s="354">
        <f>CONS_TERAC!P26*CONS_U.FIS!O$92</f>
        <v>0</v>
      </c>
      <c r="P26" s="354">
        <f>CONS_TERAC!Q26*CONS_U.FIS!P$92</f>
        <v>177.31257627103733</v>
      </c>
      <c r="Q26" s="354">
        <f>CONS_TERAC!R26*CONS_U.FIS!Q$92</f>
        <v>184.00444444444446</v>
      </c>
      <c r="R26" s="354">
        <f>CONS_TERAC!S26*CONS_U.FIS!R$92</f>
        <v>162.49652436348717</v>
      </c>
      <c r="S26" s="354">
        <f>CONS_TERAC!T26*CONS_U.FIS!S$92</f>
        <v>82.591192661531636</v>
      </c>
      <c r="T26" s="354">
        <f>CONS_TERAC!U26*CONS_U.FIS!T$92</f>
        <v>0</v>
      </c>
      <c r="U26" s="354">
        <f>CONS_TERAC!V26*CONS_U.FIS!U$92</f>
        <v>4499.1606007258388</v>
      </c>
      <c r="V26" s="40"/>
      <c r="W26" s="40"/>
      <c r="X26" s="40"/>
      <c r="Y26" s="40"/>
      <c r="Z26" s="40"/>
      <c r="AA26" s="40"/>
    </row>
    <row r="27" spans="1:27">
      <c r="A27" s="33"/>
      <c r="B27" s="33"/>
      <c r="C27" s="37"/>
      <c r="D27" s="37"/>
      <c r="E27" s="37"/>
      <c r="F27" s="37"/>
      <c r="G27" s="37"/>
      <c r="H27" s="37"/>
      <c r="I27" s="37"/>
      <c r="J27" s="37"/>
      <c r="K27" s="37"/>
      <c r="L27" s="37"/>
      <c r="M27" s="37"/>
      <c r="N27" s="37"/>
      <c r="O27" s="37"/>
      <c r="P27" s="37"/>
      <c r="Q27" s="37"/>
      <c r="R27" s="37"/>
      <c r="S27" s="37"/>
      <c r="T27" s="37"/>
      <c r="U27" s="37"/>
      <c r="V27" s="37"/>
      <c r="W27" s="37"/>
      <c r="X27" s="37"/>
      <c r="Y27" s="37"/>
      <c r="Z27" s="37"/>
      <c r="AA27" s="37"/>
    </row>
    <row r="28" spans="1:27">
      <c r="A28" s="34" t="s">
        <v>254</v>
      </c>
      <c r="B28" s="33" t="s">
        <v>255</v>
      </c>
      <c r="C28" s="352">
        <f>CONS_TERAC!C28*CONS_U.FIS!$C$92</f>
        <v>0</v>
      </c>
      <c r="D28" s="352">
        <f>CONS_TERAC!D28*CONS_U.FIS!D$92</f>
        <v>0</v>
      </c>
      <c r="E28" s="352">
        <f>CONS_TERAC!E28*CONS_U.FIS!E$92</f>
        <v>0</v>
      </c>
      <c r="F28" s="352">
        <f>CONS_TERAC!F28*CONS_U.FIS!F$92</f>
        <v>0</v>
      </c>
      <c r="G28" s="352">
        <f>CONS_TERAC!G28*CONS_U.FIS!G$92</f>
        <v>0</v>
      </c>
      <c r="H28" s="352">
        <f>CONS_TERAC!H28*CONS_U.FIS!H$92</f>
        <v>0</v>
      </c>
      <c r="I28" s="352">
        <f>CONS_TERAC!I28*CONS_U.FIS!I$92</f>
        <v>0</v>
      </c>
      <c r="J28" s="352">
        <f>CONS_TERAC!J28*CONS_U.FIS!J$92</f>
        <v>0</v>
      </c>
      <c r="K28" s="352">
        <f>CONS_TERAC!K28*CONS_U.FIS!K$92</f>
        <v>0</v>
      </c>
      <c r="L28" s="352">
        <f>CONS_TERAC!M28*CONS_U.FIS!L$92</f>
        <v>0</v>
      </c>
      <c r="M28" s="352">
        <f>CONS_TERAC!N28*CONS_U.FIS!M$92</f>
        <v>0</v>
      </c>
      <c r="N28" s="352">
        <f>CONS_TERAC!O28*CONS_U.FIS!N$92</f>
        <v>0</v>
      </c>
      <c r="O28" s="352">
        <f>CONS_TERAC!P28*CONS_U.FIS!O$92</f>
        <v>0</v>
      </c>
      <c r="P28" s="352">
        <f>CONS_TERAC!Q28*CONS_U.FIS!P$92</f>
        <v>0</v>
      </c>
      <c r="Q28" s="352">
        <f>CONS_TERAC!R28*CONS_U.FIS!Q$92</f>
        <v>0</v>
      </c>
      <c r="R28" s="352">
        <f>CONS_TERAC!S28*CONS_U.FIS!R$92</f>
        <v>0</v>
      </c>
      <c r="S28" s="352">
        <f>CONS_TERAC!T28*CONS_U.FIS!S$92</f>
        <v>0</v>
      </c>
      <c r="T28" s="350">
        <f>CONS_TERAC!U28*CONS_U.FIS!T$92</f>
        <v>0</v>
      </c>
      <c r="U28" s="352">
        <f>CONS_TERAC!V28*CONS_U.FIS!U$92</f>
        <v>0</v>
      </c>
      <c r="V28" s="40"/>
      <c r="W28" s="40"/>
      <c r="X28" s="40"/>
      <c r="Y28" s="40"/>
      <c r="Z28" s="40"/>
      <c r="AA28" s="40"/>
    </row>
    <row r="29" spans="1:27">
      <c r="A29" s="34" t="s">
        <v>256</v>
      </c>
      <c r="B29" s="33" t="s">
        <v>257</v>
      </c>
      <c r="C29" s="352">
        <f>CONS_TERAC!C29*CONS_U.FIS!$C$92</f>
        <v>146.49193734190476</v>
      </c>
      <c r="D29" s="352">
        <f>CONS_TERAC!D29*CONS_U.FIS!D$92</f>
        <v>41.226286074000001</v>
      </c>
      <c r="E29" s="352">
        <f>CONS_TERAC!E29*CONS_U.FIS!E$92</f>
        <v>0</v>
      </c>
      <c r="F29" s="352">
        <f>CONS_TERAC!F29*CONS_U.FIS!F$92</f>
        <v>1.1133</v>
      </c>
      <c r="G29" s="352">
        <f>CONS_TERAC!G29*CONS_U.FIS!G$92</f>
        <v>114.60916217503264</v>
      </c>
      <c r="H29" s="352">
        <f>CONS_TERAC!H29*CONS_U.FIS!H$92</f>
        <v>0</v>
      </c>
      <c r="I29" s="352">
        <f>CONS_TERAC!I29*CONS_U.FIS!I$92</f>
        <v>0</v>
      </c>
      <c r="J29" s="352">
        <f>CONS_TERAC!J29*CONS_U.FIS!J$92</f>
        <v>0</v>
      </c>
      <c r="K29" s="352">
        <f>CONS_TERAC!K29*CONS_U.FIS!K$92</f>
        <v>0</v>
      </c>
      <c r="L29" s="352">
        <f>CONS_TERAC!M29*CONS_U.FIS!L$92</f>
        <v>6386.3328231718206</v>
      </c>
      <c r="M29" s="352">
        <f>CONS_TERAC!N29*CONS_U.FIS!M$92</f>
        <v>0</v>
      </c>
      <c r="N29" s="352">
        <f>CONS_TERAC!O29*CONS_U.FIS!N$92</f>
        <v>0</v>
      </c>
      <c r="O29" s="352">
        <f>CONS_TERAC!P29*CONS_U.FIS!O$92</f>
        <v>0</v>
      </c>
      <c r="P29" s="352">
        <f>CONS_TERAC!Q29*CONS_U.FIS!P$92</f>
        <v>25.446561069384675</v>
      </c>
      <c r="Q29" s="352">
        <f>CONS_TERAC!R29*CONS_U.FIS!Q$92</f>
        <v>0</v>
      </c>
      <c r="R29" s="352">
        <f>CONS_TERAC!S29*CONS_U.FIS!R$92</f>
        <v>136.55735696554902</v>
      </c>
      <c r="S29" s="352">
        <f>CONS_TERAC!T29*CONS_U.FIS!S$92</f>
        <v>0</v>
      </c>
      <c r="T29" s="350">
        <f>CONS_TERAC!U29*CONS_U.FIS!T$92</f>
        <v>0</v>
      </c>
      <c r="U29" s="352">
        <f>CONS_TERAC!V29*CONS_U.FIS!U$92</f>
        <v>0</v>
      </c>
      <c r="V29" s="40"/>
      <c r="W29" s="40"/>
      <c r="X29" s="40"/>
      <c r="Y29" s="40"/>
      <c r="Z29" s="40"/>
      <c r="AA29" s="40"/>
    </row>
    <row r="30" spans="1:27">
      <c r="A30" s="34"/>
      <c r="B30" s="33" t="s">
        <v>258</v>
      </c>
      <c r="C30" s="352">
        <f>CONS_TERAC!C30*CONS_U.FIS!$C$92</f>
        <v>8.6660000000000004</v>
      </c>
      <c r="D30" s="352">
        <f>CONS_TERAC!D30*CONS_U.FIS!D$92</f>
        <v>4.5820412029999993</v>
      </c>
      <c r="E30" s="352">
        <f>CONS_TERAC!E30*CONS_U.FIS!E$92</f>
        <v>0</v>
      </c>
      <c r="F30" s="352">
        <f>CONS_TERAC!F30*CONS_U.FIS!F$92</f>
        <v>2.3388900000000001</v>
      </c>
      <c r="G30" s="352">
        <f>CONS_TERAC!G30*CONS_U.FIS!G$92</f>
        <v>7.7737364766794101</v>
      </c>
      <c r="H30" s="352">
        <f>CONS_TERAC!H30*CONS_U.FIS!H$92</f>
        <v>0</v>
      </c>
      <c r="I30" s="352">
        <f>CONS_TERAC!I30*CONS_U.FIS!I$92</f>
        <v>0</v>
      </c>
      <c r="J30" s="352">
        <f>CONS_TERAC!J30*CONS_U.FIS!J$92</f>
        <v>0</v>
      </c>
      <c r="K30" s="352">
        <f>CONS_TERAC!K30*CONS_U.FIS!K$92</f>
        <v>0</v>
      </c>
      <c r="L30" s="352">
        <f>CONS_TERAC!M30*CONS_U.FIS!L$92</f>
        <v>1572.4761454330112</v>
      </c>
      <c r="M30" s="352">
        <f>CONS_TERAC!N30*CONS_U.FIS!M$92</f>
        <v>3.9070857142857145</v>
      </c>
      <c r="N30" s="352">
        <f>CONS_TERAC!O30*CONS_U.FIS!N$92</f>
        <v>0</v>
      </c>
      <c r="O30" s="352">
        <f>CONS_TERAC!P30*CONS_U.FIS!O$92</f>
        <v>0</v>
      </c>
      <c r="P30" s="352">
        <f>CONS_TERAC!Q30*CONS_U.FIS!P$92</f>
        <v>4.8901539239999998</v>
      </c>
      <c r="Q30" s="352">
        <f>CONS_TERAC!R30*CONS_U.FIS!Q$92</f>
        <v>0</v>
      </c>
      <c r="R30" s="352">
        <f>CONS_TERAC!S30*CONS_U.FIS!R$92</f>
        <v>20.073161046997111</v>
      </c>
      <c r="S30" s="352">
        <f>CONS_TERAC!T30*CONS_U.FIS!S$92</f>
        <v>0</v>
      </c>
      <c r="T30" s="350">
        <f>CONS_TERAC!U30*CONS_U.FIS!T$92</f>
        <v>0</v>
      </c>
      <c r="U30" s="352">
        <f>CONS_TERAC!V30*CONS_U.FIS!U$92</f>
        <v>0</v>
      </c>
      <c r="V30" s="40"/>
      <c r="W30" s="40"/>
      <c r="X30" s="40"/>
      <c r="Y30" s="40"/>
      <c r="Z30" s="40"/>
      <c r="AA30" s="40"/>
    </row>
    <row r="31" spans="1:27">
      <c r="A31" s="34"/>
      <c r="B31" s="33" t="s">
        <v>259</v>
      </c>
      <c r="C31" s="352">
        <f>CONS_TERAC!C31*CONS_U.FIS!$C$92</f>
        <v>6.9408312380952371</v>
      </c>
      <c r="D31" s="352">
        <f>CONS_TERAC!D31*CONS_U.FIS!D$92</f>
        <v>0</v>
      </c>
      <c r="E31" s="352">
        <f>CONS_TERAC!E31*CONS_U.FIS!E$92</f>
        <v>0</v>
      </c>
      <c r="F31" s="352">
        <f>CONS_TERAC!F31*CONS_U.FIS!F$92</f>
        <v>93.521709999999999</v>
      </c>
      <c r="G31" s="352">
        <f>CONS_TERAC!G31*CONS_U.FIS!G$92</f>
        <v>770.77685705772183</v>
      </c>
      <c r="H31" s="352">
        <f>CONS_TERAC!H31*CONS_U.FIS!H$92</f>
        <v>0</v>
      </c>
      <c r="I31" s="352">
        <f>CONS_TERAC!I31*CONS_U.FIS!I$92</f>
        <v>0</v>
      </c>
      <c r="J31" s="352">
        <f>CONS_TERAC!J31*CONS_U.FIS!J$92</f>
        <v>0</v>
      </c>
      <c r="K31" s="352">
        <f>CONS_TERAC!K31*CONS_U.FIS!K$92</f>
        <v>0</v>
      </c>
      <c r="L31" s="352">
        <f>CONS_TERAC!M31*CONS_U.FIS!L$92</f>
        <v>8901.4570758358641</v>
      </c>
      <c r="M31" s="352">
        <f>CONS_TERAC!N31*CONS_U.FIS!M$92</f>
        <v>1.457142857142857E-2</v>
      </c>
      <c r="N31" s="352">
        <f>CONS_TERAC!O31*CONS_U.FIS!N$92</f>
        <v>0</v>
      </c>
      <c r="O31" s="352">
        <f>CONS_TERAC!P31*CONS_U.FIS!O$92</f>
        <v>0</v>
      </c>
      <c r="P31" s="352">
        <f>CONS_TERAC!Q31*CONS_U.FIS!P$92</f>
        <v>28.203642565001946</v>
      </c>
      <c r="Q31" s="352">
        <f>CONS_TERAC!R31*CONS_U.FIS!Q$92</f>
        <v>0</v>
      </c>
      <c r="R31" s="352">
        <f>CONS_TERAC!S31*CONS_U.FIS!R$92</f>
        <v>438.84250168391435</v>
      </c>
      <c r="S31" s="352">
        <f>CONS_TERAC!T31*CONS_U.FIS!S$92</f>
        <v>0</v>
      </c>
      <c r="T31" s="350">
        <f>CONS_TERAC!U31*CONS_U.FIS!T$92</f>
        <v>0</v>
      </c>
      <c r="U31" s="352">
        <f>CONS_TERAC!V31*CONS_U.FIS!U$92</f>
        <v>8472.2122023734555</v>
      </c>
      <c r="V31" s="40"/>
      <c r="W31" s="40"/>
      <c r="X31" s="40"/>
      <c r="Y31" s="40"/>
      <c r="Z31" s="40"/>
      <c r="AA31" s="40"/>
    </row>
    <row r="32" spans="1:27">
      <c r="A32" s="33"/>
      <c r="B32" s="33"/>
      <c r="C32" s="37"/>
      <c r="D32" s="37"/>
      <c r="E32" s="37"/>
      <c r="F32" s="37"/>
      <c r="G32" s="37"/>
      <c r="H32" s="37"/>
      <c r="I32" s="37"/>
      <c r="J32" s="37"/>
      <c r="K32" s="37"/>
      <c r="L32" s="37"/>
      <c r="M32" s="37"/>
      <c r="N32" s="37"/>
      <c r="O32" s="37"/>
      <c r="P32" s="37"/>
      <c r="Q32" s="37"/>
      <c r="R32" s="37"/>
      <c r="S32" s="37"/>
      <c r="T32" s="37"/>
      <c r="U32" s="37"/>
      <c r="V32" s="40"/>
      <c r="W32" s="40"/>
      <c r="X32" s="40"/>
      <c r="Y32" s="40"/>
      <c r="Z32" s="40"/>
      <c r="AA32" s="40"/>
    </row>
    <row r="33" spans="1:27">
      <c r="A33" s="33" t="s">
        <v>260</v>
      </c>
      <c r="B33" s="33"/>
      <c r="C33" s="354">
        <f>CONS_TERAC!C33*CONS_U.FIS!$C$92</f>
        <v>162.09876857999998</v>
      </c>
      <c r="D33" s="354">
        <f>CONS_TERAC!D33*CONS_U.FIS!D$92</f>
        <v>45.808327277000004</v>
      </c>
      <c r="E33" s="354">
        <f>CONS_TERAC!E33*CONS_U.FIS!E$92</f>
        <v>0</v>
      </c>
      <c r="F33" s="354">
        <f>CONS_TERAC!F33*CONS_U.FIS!F$92</f>
        <v>96.9739</v>
      </c>
      <c r="G33" s="354">
        <f>CONS_TERAC!G33*CONS_U.FIS!G$92</f>
        <v>893.15975570943385</v>
      </c>
      <c r="H33" s="354">
        <f>CONS_TERAC!H33*CONS_U.FIS!H$92</f>
        <v>0</v>
      </c>
      <c r="I33" s="354">
        <f>CONS_TERAC!I33*CONS_U.FIS!I$92</f>
        <v>0</v>
      </c>
      <c r="J33" s="354">
        <f>CONS_TERAC!J33*CONS_U.FIS!J$92</f>
        <v>0</v>
      </c>
      <c r="K33" s="354">
        <f>CONS_TERAC!K33*CONS_U.FIS!K$92</f>
        <v>0</v>
      </c>
      <c r="L33" s="354">
        <f>CONS_TERAC!M33*CONS_U.FIS!L$92</f>
        <v>16860.266044440697</v>
      </c>
      <c r="M33" s="354">
        <f>CONS_TERAC!N33*CONS_U.FIS!M$92</f>
        <v>3.9216571428571432</v>
      </c>
      <c r="N33" s="354">
        <f>CONS_TERAC!O33*CONS_U.FIS!N$92</f>
        <v>0</v>
      </c>
      <c r="O33" s="354">
        <f>CONS_TERAC!P33*CONS_U.FIS!O$92</f>
        <v>0</v>
      </c>
      <c r="P33" s="354">
        <f>CONS_TERAC!Q33*CONS_U.FIS!P$92</f>
        <v>58.540357558386617</v>
      </c>
      <c r="Q33" s="354">
        <f>CONS_TERAC!R33*CONS_U.FIS!Q$92</f>
        <v>0</v>
      </c>
      <c r="R33" s="354">
        <f>CONS_TERAC!S33*CONS_U.FIS!R$92</f>
        <v>595.47301969646048</v>
      </c>
      <c r="S33" s="354">
        <f>CONS_TERAC!T33*CONS_U.FIS!S$92</f>
        <v>0</v>
      </c>
      <c r="T33" s="354">
        <f>CONS_TERAC!U33*CONS_U.FIS!T$92</f>
        <v>0</v>
      </c>
      <c r="U33" s="354">
        <f>CONS_TERAC!V33*CONS_U.FIS!U$92</f>
        <v>8472.2122023734555</v>
      </c>
      <c r="V33" s="40"/>
      <c r="W33" s="40"/>
      <c r="X33" s="40"/>
      <c r="Y33" s="40"/>
      <c r="Z33" s="40"/>
      <c r="AA33" s="40"/>
    </row>
    <row r="34" spans="1:27" s="358" customFormat="1">
      <c r="A34" s="359"/>
      <c r="B34" s="359"/>
      <c r="C34" s="360"/>
      <c r="D34" s="360"/>
      <c r="E34" s="360"/>
      <c r="F34" s="360"/>
      <c r="G34" s="360"/>
      <c r="H34" s="360"/>
      <c r="I34" s="360"/>
      <c r="J34" s="360"/>
      <c r="K34" s="360"/>
      <c r="L34" s="360"/>
      <c r="M34" s="360"/>
      <c r="N34" s="360"/>
      <c r="O34" s="360"/>
      <c r="P34" s="360"/>
      <c r="Q34" s="360"/>
      <c r="R34" s="360"/>
      <c r="S34" s="360"/>
      <c r="T34" s="360"/>
      <c r="U34" s="360"/>
      <c r="V34" s="361"/>
      <c r="W34" s="361"/>
      <c r="X34" s="361"/>
      <c r="Y34" s="361"/>
      <c r="Z34" s="361"/>
      <c r="AA34" s="361"/>
    </row>
    <row r="35" spans="1:27" s="358" customFormat="1">
      <c r="A35" s="34" t="s">
        <v>652</v>
      </c>
      <c r="B35" s="359"/>
      <c r="C35" s="360"/>
      <c r="D35" s="360"/>
      <c r="E35" s="360"/>
      <c r="F35" s="360"/>
      <c r="G35" s="360"/>
      <c r="H35" s="360"/>
      <c r="I35" s="360"/>
      <c r="J35" s="360"/>
      <c r="K35" s="360"/>
      <c r="L35" s="360"/>
      <c r="M35" s="360"/>
      <c r="N35" s="360"/>
      <c r="O35" s="360"/>
      <c r="P35" s="360"/>
      <c r="Q35" s="360"/>
      <c r="R35" s="360"/>
      <c r="S35" s="360"/>
      <c r="T35" s="360"/>
      <c r="U35" s="360"/>
      <c r="V35" s="361"/>
      <c r="W35" s="361"/>
      <c r="X35" s="361"/>
      <c r="Y35" s="361"/>
      <c r="Z35" s="361"/>
      <c r="AA35" s="361"/>
    </row>
    <row r="36" spans="1:27" s="358" customFormat="1">
      <c r="A36" s="359"/>
      <c r="B36" s="359" t="s">
        <v>263</v>
      </c>
      <c r="C36" s="363">
        <f>CONS_TERAC!C36*CONS_U.FIS!$C$92</f>
        <v>0</v>
      </c>
      <c r="D36" s="363">
        <f>CONS_TERAC!D36*CONS_U.FIS!D$92</f>
        <v>0</v>
      </c>
      <c r="E36" s="363">
        <f>CONS_TERAC!E36*CONS_U.FIS!E$92</f>
        <v>0</v>
      </c>
      <c r="F36" s="363">
        <f>CONS_TERAC!F36*CONS_U.FIS!F$92</f>
        <v>0</v>
      </c>
      <c r="G36" s="363">
        <f>CONS_TERAC!G36*CONS_U.FIS!G$92</f>
        <v>0</v>
      </c>
      <c r="H36" s="363">
        <f>CONS_TERAC!H36*CONS_U.FIS!H$92</f>
        <v>0</v>
      </c>
      <c r="I36" s="363">
        <f>CONS_TERAC!I36*CONS_U.FIS!I$92</f>
        <v>0</v>
      </c>
      <c r="J36" s="363">
        <f>CONS_TERAC!J36*CONS_U.FIS!J$92</f>
        <v>0</v>
      </c>
      <c r="K36" s="363">
        <f>CONS_TERAC!K36*CONS_U.FIS!K$92</f>
        <v>0</v>
      </c>
      <c r="L36" s="363">
        <f>CONS_TERAC!M36*CONS_U.FIS!L$92</f>
        <v>0</v>
      </c>
      <c r="M36" s="363">
        <f>CONS_TERAC!N36*CONS_U.FIS!M$92</f>
        <v>0</v>
      </c>
      <c r="N36" s="363">
        <f>CONS_TERAC!O36*CONS_U.FIS!N$92</f>
        <v>0</v>
      </c>
      <c r="O36" s="363">
        <f>CONS_TERAC!P36*CONS_U.FIS!O$92</f>
        <v>0</v>
      </c>
      <c r="P36" s="363">
        <f>CONS_TERAC!Q36*CONS_U.FIS!P$92</f>
        <v>0</v>
      </c>
      <c r="Q36" s="363">
        <f>CONS_TERAC!R36*CONS_U.FIS!Q$92</f>
        <v>0</v>
      </c>
      <c r="R36" s="363">
        <f>CONS_TERAC!S36*CONS_U.FIS!R$92</f>
        <v>0</v>
      </c>
      <c r="S36" s="363">
        <f>CONS_TERAC!T36*CONS_U.FIS!S$92</f>
        <v>0</v>
      </c>
      <c r="T36" s="357">
        <f>CONS_TERAC!U36*CONS_U.FIS!T$92</f>
        <v>0</v>
      </c>
      <c r="U36" s="357">
        <f>CONS_TERAC!V36*CONS_U.FIS!U$92</f>
        <v>0</v>
      </c>
      <c r="V36" s="361"/>
      <c r="W36" s="361"/>
      <c r="X36" s="361"/>
      <c r="Y36" s="361"/>
      <c r="Z36" s="361"/>
      <c r="AA36" s="361"/>
    </row>
    <row r="37" spans="1:27" s="358" customFormat="1">
      <c r="A37" s="359"/>
      <c r="B37" s="359" t="s">
        <v>282</v>
      </c>
      <c r="C37" s="363">
        <f>CONS_TERAC!C37*CONS_U.FIS!$C$92</f>
        <v>0</v>
      </c>
      <c r="D37" s="363">
        <f>CONS_TERAC!D37*CONS_U.FIS!D$92</f>
        <v>0</v>
      </c>
      <c r="E37" s="363">
        <f>CONS_TERAC!E37*CONS_U.FIS!E$92</f>
        <v>0</v>
      </c>
      <c r="F37" s="363">
        <f>CONS_TERAC!F37*CONS_U.FIS!F$92</f>
        <v>0</v>
      </c>
      <c r="G37" s="363">
        <f>CONS_TERAC!G37*CONS_U.FIS!G$92</f>
        <v>0</v>
      </c>
      <c r="H37" s="363">
        <f>CONS_TERAC!H37*CONS_U.FIS!H$92</f>
        <v>0</v>
      </c>
      <c r="I37" s="363">
        <f>CONS_TERAC!I37*CONS_U.FIS!I$92</f>
        <v>0</v>
      </c>
      <c r="J37" s="363">
        <f>CONS_TERAC!J37*CONS_U.FIS!J$92</f>
        <v>0</v>
      </c>
      <c r="K37" s="363">
        <f>CONS_TERAC!K37*CONS_U.FIS!K$92</f>
        <v>0</v>
      </c>
      <c r="L37" s="363">
        <f>CONS_TERAC!M37*CONS_U.FIS!L$92</f>
        <v>1646.92278963476</v>
      </c>
      <c r="M37" s="363">
        <f>CONS_TERAC!N37*CONS_U.FIS!M$92</f>
        <v>0</v>
      </c>
      <c r="N37" s="363">
        <f>CONS_TERAC!O37*CONS_U.FIS!N$92</f>
        <v>0</v>
      </c>
      <c r="O37" s="363">
        <f>CONS_TERAC!P37*CONS_U.FIS!O$92</f>
        <v>0</v>
      </c>
      <c r="P37" s="363">
        <f>CONS_TERAC!Q37*CONS_U.FIS!P$92</f>
        <v>0</v>
      </c>
      <c r="Q37" s="363">
        <f>CONS_TERAC!R37*CONS_U.FIS!Q$92</f>
        <v>0</v>
      </c>
      <c r="R37" s="363">
        <f>CONS_TERAC!S37*CONS_U.FIS!R$92</f>
        <v>0</v>
      </c>
      <c r="S37" s="363">
        <f>CONS_TERAC!T37*CONS_U.FIS!S$92</f>
        <v>0</v>
      </c>
      <c r="T37" s="357">
        <f>CONS_TERAC!U37*CONS_U.FIS!T$92</f>
        <v>0</v>
      </c>
      <c r="U37" s="357">
        <f>CONS_TERAC!V37*CONS_U.FIS!U$92</f>
        <v>0</v>
      </c>
      <c r="V37" s="361"/>
      <c r="W37" s="361"/>
      <c r="X37" s="361"/>
      <c r="Y37" s="361"/>
      <c r="Z37" s="361"/>
      <c r="AA37" s="361"/>
    </row>
    <row r="38" spans="1:27" s="358" customFormat="1">
      <c r="A38" s="359"/>
      <c r="B38" s="359" t="s">
        <v>264</v>
      </c>
      <c r="C38" s="363">
        <f>CONS_TERAC!C38*CONS_U.FIS!$C$92</f>
        <v>0</v>
      </c>
      <c r="D38" s="363">
        <f>CONS_TERAC!D38*CONS_U.FIS!D$92</f>
        <v>0</v>
      </c>
      <c r="E38" s="363">
        <f>CONS_TERAC!E38*CONS_U.FIS!E$92</f>
        <v>0</v>
      </c>
      <c r="F38" s="363">
        <f>CONS_TERAC!F38*CONS_U.FIS!F$92</f>
        <v>0</v>
      </c>
      <c r="G38" s="363">
        <f>CONS_TERAC!G38*CONS_U.FIS!G$92</f>
        <v>0.52225219507413223</v>
      </c>
      <c r="H38" s="363">
        <f>CONS_TERAC!H38*CONS_U.FIS!H$92</f>
        <v>0</v>
      </c>
      <c r="I38" s="363">
        <f>CONS_TERAC!I38*CONS_U.FIS!I$92</f>
        <v>0</v>
      </c>
      <c r="J38" s="363">
        <f>CONS_TERAC!J38*CONS_U.FIS!J$92</f>
        <v>0</v>
      </c>
      <c r="K38" s="363">
        <f>CONS_TERAC!K38*CONS_U.FIS!K$92</f>
        <v>0</v>
      </c>
      <c r="L38" s="363">
        <f>CONS_TERAC!M38*CONS_U.FIS!L$92</f>
        <v>11.612317000000001</v>
      </c>
      <c r="M38" s="363">
        <f>CONS_TERAC!N38*CONS_U.FIS!M$92</f>
        <v>0</v>
      </c>
      <c r="N38" s="363">
        <f>CONS_TERAC!O38*CONS_U.FIS!N$92</f>
        <v>0</v>
      </c>
      <c r="O38" s="363">
        <f>CONS_TERAC!P38*CONS_U.FIS!O$92</f>
        <v>0</v>
      </c>
      <c r="P38" s="363">
        <f>CONS_TERAC!Q38*CONS_U.FIS!P$92</f>
        <v>0.43878459324178887</v>
      </c>
      <c r="Q38" s="363">
        <f>CONS_TERAC!R38*CONS_U.FIS!Q$92</f>
        <v>0</v>
      </c>
      <c r="R38" s="363">
        <f>CONS_TERAC!S38*CONS_U.FIS!R$92</f>
        <v>1.189901204344038</v>
      </c>
      <c r="S38" s="363">
        <f>CONS_TERAC!T38*CONS_U.FIS!S$92</f>
        <v>0</v>
      </c>
      <c r="T38" s="357">
        <f>CONS_TERAC!U38*CONS_U.FIS!T$92</f>
        <v>0</v>
      </c>
      <c r="U38" s="363">
        <f>CONS_TERAC!V38*CONS_U.FIS!U$92</f>
        <v>0</v>
      </c>
      <c r="V38" s="361"/>
      <c r="W38" s="361"/>
      <c r="X38" s="361"/>
      <c r="Y38" s="361"/>
      <c r="Z38" s="361"/>
      <c r="AA38" s="361"/>
    </row>
    <row r="39" spans="1:27" s="358" customFormat="1">
      <c r="A39" s="359"/>
      <c r="B39" s="359" t="s">
        <v>281</v>
      </c>
      <c r="C39" s="363">
        <f>CONS_TERAC!C39*CONS_U.FIS!$C$92</f>
        <v>0</v>
      </c>
      <c r="D39" s="363">
        <f>CONS_TERAC!D39*CONS_U.FIS!D$92</f>
        <v>40.725000000000001</v>
      </c>
      <c r="E39" s="363">
        <f>CONS_TERAC!E39*CONS_U.FIS!E$92</f>
        <v>0</v>
      </c>
      <c r="F39" s="363">
        <f>CONS_TERAC!F39*CONS_U.FIS!F$92</f>
        <v>0</v>
      </c>
      <c r="G39" s="363">
        <f>CONS_TERAC!G39*CONS_U.FIS!G$92</f>
        <v>0</v>
      </c>
      <c r="H39" s="363">
        <f>CONS_TERAC!H39*CONS_U.FIS!H$92</f>
        <v>0</v>
      </c>
      <c r="I39" s="363">
        <f>CONS_TERAC!I39*CONS_U.FIS!I$92</f>
        <v>0</v>
      </c>
      <c r="J39" s="363">
        <f>CONS_TERAC!J39*CONS_U.FIS!J$92</f>
        <v>0</v>
      </c>
      <c r="K39" s="363">
        <f>CONS_TERAC!K39*CONS_U.FIS!K$92</f>
        <v>0</v>
      </c>
      <c r="L39" s="363">
        <f>CONS_TERAC!M39*CONS_U.FIS!L$92</f>
        <v>0</v>
      </c>
      <c r="M39" s="363">
        <f>CONS_TERAC!N39*CONS_U.FIS!M$92</f>
        <v>0</v>
      </c>
      <c r="N39" s="363">
        <f>CONS_TERAC!O39*CONS_U.FIS!N$92</f>
        <v>0</v>
      </c>
      <c r="O39" s="363">
        <f>CONS_TERAC!P39*CONS_U.FIS!O$92</f>
        <v>15762.980769230771</v>
      </c>
      <c r="P39" s="363">
        <f>CONS_TERAC!Q39*CONS_U.FIS!P$92</f>
        <v>67.111923728962637</v>
      </c>
      <c r="Q39" s="363">
        <f>CONS_TERAC!R39*CONS_U.FIS!Q$92</f>
        <v>793.5</v>
      </c>
      <c r="R39" s="363">
        <f>CONS_TERAC!S39*CONS_U.FIS!R$92</f>
        <v>0</v>
      </c>
      <c r="S39" s="363">
        <f>CONS_TERAC!T39*CONS_U.FIS!S$92</f>
        <v>0</v>
      </c>
      <c r="T39" s="357">
        <f>CONS_TERAC!U39*CONS_U.FIS!T$92</f>
        <v>0</v>
      </c>
      <c r="U39" s="363">
        <f>CONS_TERAC!V39*CONS_U.FIS!U$92</f>
        <v>0</v>
      </c>
      <c r="V39" s="361"/>
      <c r="W39" s="361"/>
      <c r="X39" s="361"/>
      <c r="Y39" s="361"/>
      <c r="Z39" s="361"/>
      <c r="AA39" s="361"/>
    </row>
    <row r="40" spans="1:27" s="358" customFormat="1">
      <c r="A40" s="359"/>
      <c r="B40" s="359" t="s">
        <v>265</v>
      </c>
      <c r="C40" s="363">
        <f>CONS_TERAC!C40*CONS_U.FIS!$C$92</f>
        <v>2.9052000000000002</v>
      </c>
      <c r="D40" s="363">
        <f>CONS_TERAC!D40*CONS_U.FIS!D$92</f>
        <v>40.303379999999997</v>
      </c>
      <c r="E40" s="363">
        <f>CONS_TERAC!E40*CONS_U.FIS!E$92</f>
        <v>4.229999999999999E-2</v>
      </c>
      <c r="F40" s="363">
        <f>CONS_TERAC!F40*CONS_U.FIS!F$92</f>
        <v>0</v>
      </c>
      <c r="G40" s="363">
        <f>CONS_TERAC!G40*CONS_U.FIS!G$92</f>
        <v>109.36927800000001</v>
      </c>
      <c r="H40" s="363">
        <f>CONS_TERAC!H40*CONS_U.FIS!H$92</f>
        <v>0</v>
      </c>
      <c r="I40" s="363">
        <f>CONS_TERAC!I40*CONS_U.FIS!I$92</f>
        <v>0</v>
      </c>
      <c r="J40" s="363">
        <f>CONS_TERAC!J40*CONS_U.FIS!J$92</f>
        <v>131.38269099999997</v>
      </c>
      <c r="K40" s="363">
        <f>CONS_TERAC!K40*CONS_U.FIS!K$92</f>
        <v>800.58413800000017</v>
      </c>
      <c r="L40" s="363">
        <f>CONS_TERAC!M40*CONS_U.FIS!L$92</f>
        <v>475.19397500000002</v>
      </c>
      <c r="M40" s="363">
        <f>CONS_TERAC!N40*CONS_U.FIS!M$92</f>
        <v>0</v>
      </c>
      <c r="N40" s="363">
        <f>CONS_TERAC!O40*CONS_U.FIS!N$92</f>
        <v>0</v>
      </c>
      <c r="O40" s="363">
        <f>CONS_TERAC!P40*CONS_U.FIS!O$92</f>
        <v>0</v>
      </c>
      <c r="P40" s="363">
        <f>CONS_TERAC!Q40*CONS_U.FIS!P$92</f>
        <v>0</v>
      </c>
      <c r="Q40" s="363">
        <f>CONS_TERAC!R40*CONS_U.FIS!Q$92</f>
        <v>0</v>
      </c>
      <c r="R40" s="363">
        <f>CONS_TERAC!S40*CONS_U.FIS!R$92</f>
        <v>0</v>
      </c>
      <c r="S40" s="363">
        <f>CONS_TERAC!T40*CONS_U.FIS!S$92</f>
        <v>0</v>
      </c>
      <c r="T40" s="357">
        <f>CONS_TERAC!U40*CONS_U.FIS!T$92</f>
        <v>0</v>
      </c>
      <c r="U40" s="363">
        <f>CONS_TERAC!V40*CONS_U.FIS!U$92</f>
        <v>0</v>
      </c>
      <c r="V40" s="361"/>
      <c r="W40" s="361"/>
      <c r="X40" s="361"/>
      <c r="Y40" s="361"/>
      <c r="Z40" s="361"/>
      <c r="AA40" s="361"/>
    </row>
    <row r="41" spans="1:27" s="358" customFormat="1">
      <c r="A41" s="359"/>
      <c r="B41" s="359" t="s">
        <v>266</v>
      </c>
      <c r="C41" s="363">
        <f>CONS_TERAC!C41*CONS_U.FIS!$C$92</f>
        <v>0.10829199999999999</v>
      </c>
      <c r="D41" s="363">
        <f>CONS_TERAC!D41*CONS_U.FIS!D$92</f>
        <v>0</v>
      </c>
      <c r="E41" s="363">
        <f>CONS_TERAC!E41*CONS_U.FIS!E$92</f>
        <v>0</v>
      </c>
      <c r="F41" s="363">
        <f>CONS_TERAC!F41*CONS_U.FIS!F$92</f>
        <v>0</v>
      </c>
      <c r="G41" s="363">
        <f>CONS_TERAC!G41*CONS_U.FIS!G$92</f>
        <v>0</v>
      </c>
      <c r="H41" s="363">
        <f>CONS_TERAC!H41*CONS_U.FIS!H$92</f>
        <v>0</v>
      </c>
      <c r="I41" s="363">
        <f>CONS_TERAC!I41*CONS_U.FIS!I$92</f>
        <v>0</v>
      </c>
      <c r="J41" s="363">
        <f>CONS_TERAC!J41*CONS_U.FIS!J$92</f>
        <v>0</v>
      </c>
      <c r="K41" s="363">
        <f>CONS_TERAC!K41*CONS_U.FIS!K$92</f>
        <v>0</v>
      </c>
      <c r="L41" s="363">
        <f>CONS_TERAC!M41*CONS_U.FIS!L$92</f>
        <v>0.77107899999999996</v>
      </c>
      <c r="M41" s="363">
        <f>CONS_TERAC!N41*CONS_U.FIS!M$92</f>
        <v>0</v>
      </c>
      <c r="N41" s="363">
        <f>CONS_TERAC!O41*CONS_U.FIS!N$92</f>
        <v>0</v>
      </c>
      <c r="O41" s="363">
        <f>CONS_TERAC!P41*CONS_U.FIS!O$92</f>
        <v>0</v>
      </c>
      <c r="P41" s="363">
        <f>CONS_TERAC!Q41*CONS_U.FIS!P$92</f>
        <v>0</v>
      </c>
      <c r="Q41" s="363">
        <f>CONS_TERAC!R41*CONS_U.FIS!Q$92</f>
        <v>0</v>
      </c>
      <c r="R41" s="363">
        <f>CONS_TERAC!S41*CONS_U.FIS!R$92</f>
        <v>0</v>
      </c>
      <c r="S41" s="363">
        <f>CONS_TERAC!T41*CONS_U.FIS!S$92</f>
        <v>0</v>
      </c>
      <c r="T41" s="357">
        <f>CONS_TERAC!U41*CONS_U.FIS!T$92</f>
        <v>0</v>
      </c>
      <c r="U41" s="363">
        <f>CONS_TERAC!V41*CONS_U.FIS!U$92</f>
        <v>0</v>
      </c>
      <c r="V41" s="361"/>
      <c r="W41" s="361"/>
      <c r="X41" s="361"/>
      <c r="Y41" s="361"/>
      <c r="Z41" s="361"/>
      <c r="AA41" s="361"/>
    </row>
    <row r="42" spans="1:27" s="358" customFormat="1">
      <c r="A42" s="359"/>
      <c r="B42" s="359" t="s">
        <v>267</v>
      </c>
      <c r="C42" s="363">
        <f>CONS_TERAC!C42*CONS_U.FIS!$C$92</f>
        <v>0</v>
      </c>
      <c r="D42" s="363">
        <f>CONS_TERAC!D42*CONS_U.FIS!D$92</f>
        <v>0</v>
      </c>
      <c r="E42" s="363">
        <f>CONS_TERAC!E42*CONS_U.FIS!E$92</f>
        <v>0</v>
      </c>
      <c r="F42" s="363">
        <f>CONS_TERAC!F42*CONS_U.FIS!F$92</f>
        <v>0</v>
      </c>
      <c r="G42" s="363">
        <f>CONS_TERAC!G42*CONS_U.FIS!G$92</f>
        <v>0</v>
      </c>
      <c r="H42" s="363">
        <f>CONS_TERAC!H42*CONS_U.FIS!H$92</f>
        <v>0</v>
      </c>
      <c r="I42" s="363">
        <f>CONS_TERAC!I42*CONS_U.FIS!I$92</f>
        <v>0</v>
      </c>
      <c r="J42" s="363">
        <f>CONS_TERAC!J42*CONS_U.FIS!J$92</f>
        <v>0</v>
      </c>
      <c r="K42" s="363">
        <f>CONS_TERAC!K42*CONS_U.FIS!K$92</f>
        <v>0</v>
      </c>
      <c r="L42" s="363">
        <f>CONS_TERAC!M42*CONS_U.FIS!L$92</f>
        <v>38.646000000000001</v>
      </c>
      <c r="M42" s="363">
        <f>CONS_TERAC!N42*CONS_U.FIS!M$92</f>
        <v>0</v>
      </c>
      <c r="N42" s="363">
        <f>CONS_TERAC!O42*CONS_U.FIS!N$92</f>
        <v>0</v>
      </c>
      <c r="O42" s="363">
        <f>CONS_TERAC!P42*CONS_U.FIS!O$92</f>
        <v>0</v>
      </c>
      <c r="P42" s="363">
        <f>CONS_TERAC!Q42*CONS_U.FIS!P$92</f>
        <v>0</v>
      </c>
      <c r="Q42" s="363">
        <f>CONS_TERAC!R42*CONS_U.FIS!Q$92</f>
        <v>0</v>
      </c>
      <c r="R42" s="363">
        <f>CONS_TERAC!S42*CONS_U.FIS!R$92</f>
        <v>0</v>
      </c>
      <c r="S42" s="363">
        <f>CONS_TERAC!T42*CONS_U.FIS!S$92</f>
        <v>0</v>
      </c>
      <c r="T42" s="357">
        <f>CONS_TERAC!U42*CONS_U.FIS!T$92</f>
        <v>0</v>
      </c>
      <c r="U42" s="363">
        <f>CONS_TERAC!V42*CONS_U.FIS!U$92</f>
        <v>0</v>
      </c>
      <c r="V42" s="361"/>
      <c r="W42" s="361"/>
      <c r="X42" s="361"/>
      <c r="Y42" s="361"/>
      <c r="Z42" s="361"/>
      <c r="AA42" s="361"/>
    </row>
    <row r="43" spans="1:27" s="358" customFormat="1">
      <c r="A43" s="359"/>
      <c r="B43" s="359"/>
      <c r="C43" s="360"/>
      <c r="D43" s="360"/>
      <c r="E43" s="360"/>
      <c r="F43" s="360"/>
      <c r="G43" s="360"/>
      <c r="H43" s="360"/>
      <c r="I43" s="360"/>
      <c r="J43" s="360"/>
      <c r="K43" s="360"/>
      <c r="L43" s="360"/>
      <c r="M43" s="360"/>
      <c r="N43" s="360"/>
      <c r="O43" s="360"/>
      <c r="P43" s="360"/>
      <c r="Q43" s="360"/>
      <c r="R43" s="360"/>
      <c r="S43" s="360"/>
      <c r="T43" s="360"/>
      <c r="U43" s="360"/>
      <c r="V43" s="361"/>
      <c r="W43" s="361"/>
      <c r="X43" s="361"/>
      <c r="Y43" s="361"/>
      <c r="Z43" s="361"/>
      <c r="AA43" s="361"/>
    </row>
    <row r="44" spans="1:27" s="358" customFormat="1">
      <c r="A44" s="359" t="s">
        <v>653</v>
      </c>
      <c r="B44" s="359"/>
      <c r="C44" s="362">
        <f>CONS_TERAC!C44*CONS_U.FIS!$C$92</f>
        <v>3.0134920000000003</v>
      </c>
      <c r="D44" s="362">
        <f>CONS_TERAC!D44*CONS_U.FIS!D$92</f>
        <v>81.028379999999999</v>
      </c>
      <c r="E44" s="362">
        <f>CONS_TERAC!E44*CONS_U.FIS!E$92</f>
        <v>4.229999999999999E-2</v>
      </c>
      <c r="F44" s="362">
        <f>CONS_TERAC!F44*CONS_U.FIS!F$92</f>
        <v>0</v>
      </c>
      <c r="G44" s="362">
        <f>CONS_TERAC!G44*CONS_U.FIS!G$92</f>
        <v>109.89153019507414</v>
      </c>
      <c r="H44" s="362">
        <f>CONS_TERAC!H44*CONS_U.FIS!H$92</f>
        <v>0</v>
      </c>
      <c r="I44" s="362">
        <f>CONS_TERAC!I44*CONS_U.FIS!I$92</f>
        <v>0</v>
      </c>
      <c r="J44" s="362">
        <f>CONS_TERAC!J44*CONS_U.FIS!J$92</f>
        <v>131.38269099999997</v>
      </c>
      <c r="K44" s="362">
        <f>CONS_TERAC!K44*CONS_U.FIS!K$92</f>
        <v>800.58413800000017</v>
      </c>
      <c r="L44" s="362">
        <f>CONS_TERAC!M44*CONS_U.FIS!L$92</f>
        <v>2173.1461606347602</v>
      </c>
      <c r="M44" s="362">
        <f>CONS_TERAC!N44*CONS_U.FIS!M$92</f>
        <v>0</v>
      </c>
      <c r="N44" s="362">
        <f>CONS_TERAC!O44*CONS_U.FIS!N$92</f>
        <v>0</v>
      </c>
      <c r="O44" s="362">
        <f>CONS_TERAC!P44*CONS_U.FIS!O$92</f>
        <v>15762.980769230771</v>
      </c>
      <c r="P44" s="362">
        <f>CONS_TERAC!Q44*CONS_U.FIS!P$92</f>
        <v>67.550708322204429</v>
      </c>
      <c r="Q44" s="362">
        <f>CONS_TERAC!R44*CONS_U.FIS!Q$92</f>
        <v>793.5</v>
      </c>
      <c r="R44" s="362">
        <f>CONS_TERAC!S44*CONS_U.FIS!R$92</f>
        <v>1.189901204344038</v>
      </c>
      <c r="S44" s="362">
        <f>CONS_TERAC!T44*CONS_U.FIS!S$92</f>
        <v>0</v>
      </c>
      <c r="T44" s="362">
        <f>CONS_TERAC!U44*CONS_U.FIS!T$92</f>
        <v>0</v>
      </c>
      <c r="U44" s="362">
        <f>CONS_TERAC!V44*CONS_U.FIS!U$92</f>
        <v>0</v>
      </c>
      <c r="V44" s="361"/>
      <c r="W44" s="361"/>
      <c r="X44" s="361"/>
      <c r="Y44" s="361"/>
      <c r="Z44" s="361"/>
      <c r="AA44" s="361"/>
    </row>
    <row r="45" spans="1:27" s="358" customFormat="1">
      <c r="A45" s="359"/>
      <c r="B45" s="359"/>
      <c r="C45" s="360"/>
      <c r="D45" s="360"/>
      <c r="E45" s="360"/>
      <c r="F45" s="360"/>
      <c r="G45" s="360"/>
      <c r="H45" s="360"/>
      <c r="I45" s="360"/>
      <c r="J45" s="360"/>
      <c r="K45" s="360"/>
      <c r="L45" s="360"/>
      <c r="M45" s="360"/>
      <c r="N45" s="360"/>
      <c r="O45" s="360"/>
      <c r="P45" s="360"/>
      <c r="Q45" s="360"/>
      <c r="R45" s="360"/>
      <c r="S45" s="360"/>
      <c r="T45" s="360"/>
      <c r="U45" s="360"/>
      <c r="V45" s="361"/>
      <c r="W45" s="361"/>
      <c r="X45" s="361"/>
      <c r="Y45" s="361"/>
      <c r="Z45" s="361"/>
      <c r="AA45" s="361"/>
    </row>
    <row r="46" spans="1:27">
      <c r="A46" s="33"/>
      <c r="B46" s="33"/>
      <c r="C46" s="37"/>
      <c r="D46" s="37"/>
      <c r="E46" s="37"/>
      <c r="F46" s="37"/>
      <c r="G46" s="37"/>
      <c r="H46" s="37"/>
      <c r="I46" s="37"/>
      <c r="J46" s="37"/>
      <c r="K46" s="37"/>
      <c r="L46" s="37"/>
      <c r="M46" s="37"/>
      <c r="N46" s="37"/>
      <c r="O46" s="37"/>
      <c r="P46" s="37"/>
      <c r="Q46" s="37"/>
      <c r="R46" s="37"/>
      <c r="S46" s="37"/>
      <c r="T46" s="37"/>
      <c r="U46" s="37"/>
      <c r="V46" s="37"/>
      <c r="W46" s="37"/>
      <c r="X46" s="37"/>
      <c r="Y46" s="37"/>
      <c r="Z46" s="37"/>
      <c r="AA46" s="37"/>
    </row>
    <row r="47" spans="1:27">
      <c r="A47" s="34" t="s">
        <v>261</v>
      </c>
      <c r="B47" s="33"/>
      <c r="C47" s="354">
        <f>CONS_TERAC!C47*CONS_U.FIS!$C$92</f>
        <v>6834.5277913931623</v>
      </c>
      <c r="D47" s="354">
        <f>CONS_TERAC!D47*CONS_U.FIS!D$92</f>
        <v>1857.4994675469995</v>
      </c>
      <c r="E47" s="354">
        <f>CONS_TERAC!E47*CONS_U.FIS!E$92</f>
        <v>3414.8104159999989</v>
      </c>
      <c r="F47" s="354">
        <f>CONS_TERAC!F47*CONS_U.FIS!F$92</f>
        <v>149.68240900000004</v>
      </c>
      <c r="G47" s="354">
        <f>CONS_TERAC!G47*CONS_U.FIS!G$92</f>
        <v>1281.8960322228556</v>
      </c>
      <c r="H47" s="354">
        <f>CONS_TERAC!H47*CONS_U.FIS!H$92</f>
        <v>7.051000000000001</v>
      </c>
      <c r="I47" s="354">
        <f>CONS_TERAC!I47*CONS_U.FIS!I$92</f>
        <v>862.45172253199428</v>
      </c>
      <c r="J47" s="354">
        <f>CONS_TERAC!J47*CONS_U.FIS!J$92</f>
        <v>131.38269099999997</v>
      </c>
      <c r="K47" s="354">
        <f>CONS_TERAC!K47*CONS_U.FIS!K$92</f>
        <v>801.36512391549309</v>
      </c>
      <c r="L47" s="354">
        <f>CONS_TERAC!M47*CONS_U.FIS!L$92</f>
        <v>56047.807425870356</v>
      </c>
      <c r="M47" s="354">
        <f>CONS_TERAC!N47*CONS_U.FIS!M$92</f>
        <v>312.20243059794439</v>
      </c>
      <c r="N47" s="354">
        <f>CONS_TERAC!O47*CONS_U.FIS!N$92</f>
        <v>583.47878579864152</v>
      </c>
      <c r="O47" s="354">
        <f>CONS_TERAC!P47*CONS_U.FIS!O$92</f>
        <v>15762.980769230771</v>
      </c>
      <c r="P47" s="354">
        <f>CONS_TERAC!Q47*CONS_U.FIS!P$92</f>
        <v>303.40364215162833</v>
      </c>
      <c r="Q47" s="354">
        <f>CONS_TERAC!R47*CONS_U.FIS!Q$92</f>
        <v>977.50444444444452</v>
      </c>
      <c r="R47" s="354">
        <f>CONS_TERAC!S47*CONS_U.FIS!R$92</f>
        <v>783.06475340341797</v>
      </c>
      <c r="S47" s="354">
        <f>CONS_TERAC!T47*CONS_U.FIS!S$92</f>
        <v>82.591192661531636</v>
      </c>
      <c r="T47" s="354">
        <f>CONS_TERAC!U47*CONS_U.FIS!T$92</f>
        <v>0</v>
      </c>
      <c r="U47" s="354">
        <f>CONS_TERAC!V47*CONS_U.FIS!U$92</f>
        <v>12971.372803099295</v>
      </c>
      <c r="V47" s="40"/>
      <c r="W47" s="40"/>
      <c r="X47" s="40"/>
      <c r="Y47" s="40"/>
      <c r="Z47" s="40"/>
      <c r="AA47" s="40"/>
    </row>
    <row r="48" spans="1:27" s="358" customFormat="1">
      <c r="A48" s="32"/>
      <c r="B48" s="33"/>
      <c r="C48" s="360"/>
      <c r="D48" s="360"/>
      <c r="E48" s="360"/>
      <c r="F48" s="360"/>
      <c r="G48" s="360"/>
      <c r="H48" s="360"/>
      <c r="I48" s="360"/>
      <c r="J48" s="360"/>
      <c r="K48" s="360"/>
      <c r="L48" s="360"/>
      <c r="M48" s="360"/>
      <c r="N48" s="360"/>
      <c r="O48" s="360"/>
      <c r="P48" s="360"/>
      <c r="Q48" s="360"/>
      <c r="R48" s="360"/>
      <c r="S48" s="360"/>
      <c r="T48" s="360"/>
      <c r="U48" s="360"/>
      <c r="V48" s="361"/>
      <c r="W48" s="361"/>
      <c r="X48" s="361"/>
      <c r="Y48" s="361"/>
      <c r="Z48" s="361"/>
      <c r="AA48" s="361"/>
    </row>
    <row r="49" spans="1:27">
      <c r="A49" s="34" t="s">
        <v>262</v>
      </c>
      <c r="B49" s="33" t="s">
        <v>263</v>
      </c>
      <c r="C49" s="363">
        <f>CONS_TERAC!C49*CONS_U.FIS!$C$92</f>
        <v>44.815576506181195</v>
      </c>
      <c r="D49" s="363">
        <f>CONS_TERAC!D49*CONS_U.FIS!D$92</f>
        <v>114.048584578</v>
      </c>
      <c r="E49" s="363">
        <f>CONS_TERAC!E49*CONS_U.FIS!E$92</f>
        <v>0</v>
      </c>
      <c r="F49" s="363">
        <f>CONS_TERAC!F49*CONS_U.FIS!F$92</f>
        <v>0</v>
      </c>
      <c r="G49" s="363">
        <f>CONS_TERAC!G49*CONS_U.FIS!G$92</f>
        <v>0.83163799999999999</v>
      </c>
      <c r="H49" s="363">
        <f>CONS_TERAC!H49*CONS_U.FIS!H$92</f>
        <v>0</v>
      </c>
      <c r="I49" s="363">
        <f>CONS_TERAC!I49*CONS_U.FIS!I$92</f>
        <v>0</v>
      </c>
      <c r="J49" s="363">
        <f>CONS_TERAC!J49*CONS_U.FIS!J$92</f>
        <v>0</v>
      </c>
      <c r="K49" s="363">
        <f>CONS_TERAC!K49*CONS_U.FIS!K$92</f>
        <v>44.256811608920202</v>
      </c>
      <c r="L49" s="363">
        <f>CONS_TERAC!M49*CONS_U.FIS!L$92</f>
        <v>0</v>
      </c>
      <c r="M49" s="363">
        <f>CONS_TERAC!N49*CONS_U.FIS!M$92</f>
        <v>0</v>
      </c>
      <c r="N49" s="363">
        <f>CONS_TERAC!O49*CONS_U.FIS!N$92</f>
        <v>0</v>
      </c>
      <c r="O49" s="363">
        <f>CONS_TERAC!P49*CONS_U.FIS!O$92</f>
        <v>0</v>
      </c>
      <c r="P49" s="363">
        <f>CONS_TERAC!Q49*CONS_U.FIS!P$92</f>
        <v>0</v>
      </c>
      <c r="Q49" s="363">
        <f>CONS_TERAC!R49*CONS_U.FIS!Q$92</f>
        <v>0</v>
      </c>
      <c r="R49" s="363">
        <f>CONS_TERAC!S49*CONS_U.FIS!R$92</f>
        <v>57.281080516706993</v>
      </c>
      <c r="S49" s="363">
        <f>CONS_TERAC!T49*CONS_U.FIS!S$92</f>
        <v>0</v>
      </c>
      <c r="T49" s="357">
        <f>CONS_TERAC!U49*CONS_U.FIS!T$92</f>
        <v>0</v>
      </c>
      <c r="U49" s="363">
        <f>CONS_TERAC!V49*CONS_U.FIS!U$92</f>
        <v>1680.0521138285931</v>
      </c>
      <c r="V49" s="40"/>
      <c r="W49" s="40"/>
      <c r="X49" s="40"/>
      <c r="Y49" s="40"/>
      <c r="Z49" s="40"/>
      <c r="AA49" s="40"/>
    </row>
    <row r="50" spans="1:27">
      <c r="A50" s="34" t="s">
        <v>651</v>
      </c>
      <c r="B50" s="33" t="s">
        <v>282</v>
      </c>
      <c r="C50" s="363">
        <f>CONS_TERAC!C50*CONS_U.FIS!$C$92</f>
        <v>2149.804666</v>
      </c>
      <c r="D50" s="363">
        <f>CONS_TERAC!D50*CONS_U.FIS!D$92</f>
        <v>130.67567700000001</v>
      </c>
      <c r="E50" s="363">
        <f>CONS_TERAC!E50*CONS_U.FIS!E$92</f>
        <v>0</v>
      </c>
      <c r="F50" s="363">
        <f>CONS_TERAC!F50*CONS_U.FIS!F$92</f>
        <v>0</v>
      </c>
      <c r="G50" s="363">
        <f>CONS_TERAC!G50*CONS_U.FIS!G$92</f>
        <v>9.9384388034663633</v>
      </c>
      <c r="H50" s="363">
        <f>CONS_TERAC!H50*CONS_U.FIS!H$92</f>
        <v>0</v>
      </c>
      <c r="I50" s="363">
        <f>CONS_TERAC!I50*CONS_U.FIS!I$92</f>
        <v>0</v>
      </c>
      <c r="J50" s="363">
        <f>CONS_TERAC!J50*CONS_U.FIS!J$92</f>
        <v>0</v>
      </c>
      <c r="K50" s="363">
        <f>CONS_TERAC!K50*CONS_U.FIS!K$92</f>
        <v>0</v>
      </c>
      <c r="L50" s="363">
        <f>CONS_TERAC!M50*CONS_U.FIS!L$92</f>
        <v>0</v>
      </c>
      <c r="M50" s="363">
        <f>CONS_TERAC!N50*CONS_U.FIS!M$92</f>
        <v>4786.6068244369335</v>
      </c>
      <c r="N50" s="363">
        <f>CONS_TERAC!O50*CONS_U.FIS!N$92</f>
        <v>718.91169245280037</v>
      </c>
      <c r="O50" s="363">
        <f>CONS_TERAC!P50*CONS_U.FIS!O$92</f>
        <v>0</v>
      </c>
      <c r="P50" s="363">
        <f>CONS_TERAC!Q50*CONS_U.FIS!P$92</f>
        <v>0</v>
      </c>
      <c r="Q50" s="363">
        <f>CONS_TERAC!R50*CONS_U.FIS!Q$92</f>
        <v>0</v>
      </c>
      <c r="R50" s="363">
        <f>CONS_TERAC!S50*CONS_U.FIS!R$92</f>
        <v>862.53600504157953</v>
      </c>
      <c r="S50" s="363">
        <f>CONS_TERAC!T50*CONS_U.FIS!S$92</f>
        <v>0</v>
      </c>
      <c r="T50" s="357">
        <f>CONS_TERAC!U50*CONS_U.FIS!T$92</f>
        <v>0</v>
      </c>
      <c r="U50" s="363">
        <f>CONS_TERAC!V50*CONS_U.FIS!U$92</f>
        <v>0</v>
      </c>
      <c r="V50" s="40"/>
      <c r="W50" s="40"/>
      <c r="X50" s="40"/>
      <c r="Y50" s="40"/>
      <c r="Z50" s="40"/>
      <c r="AA50" s="40"/>
    </row>
    <row r="51" spans="1:27">
      <c r="A51" s="33"/>
      <c r="B51" s="33" t="s">
        <v>264</v>
      </c>
      <c r="C51" s="363">
        <f>CONS_TERAC!C51*CONS_U.FIS!$C$92</f>
        <v>0</v>
      </c>
      <c r="D51" s="363">
        <f>CONS_TERAC!D51*CONS_U.FIS!D$92</f>
        <v>0</v>
      </c>
      <c r="E51" s="363">
        <f>CONS_TERAC!E51*CONS_U.FIS!E$92</f>
        <v>0</v>
      </c>
      <c r="F51" s="363">
        <f>CONS_TERAC!F51*CONS_U.FIS!F$92</f>
        <v>0</v>
      </c>
      <c r="G51" s="363">
        <f>CONS_TERAC!G51*CONS_U.FIS!G$92</f>
        <v>66.479571836937922</v>
      </c>
      <c r="H51" s="363">
        <f>CONS_TERAC!H51*CONS_U.FIS!H$92</f>
        <v>0</v>
      </c>
      <c r="I51" s="363">
        <f>CONS_TERAC!I51*CONS_U.FIS!I$92</f>
        <v>0</v>
      </c>
      <c r="J51" s="363">
        <f>CONS_TERAC!J51*CONS_U.FIS!J$92</f>
        <v>0</v>
      </c>
      <c r="K51" s="363">
        <f>CONS_TERAC!K51*CONS_U.FIS!K$92</f>
        <v>0</v>
      </c>
      <c r="L51" s="363">
        <f>CONS_TERAC!M51*CONS_U.FIS!L$92</f>
        <v>0</v>
      </c>
      <c r="M51" s="363">
        <f>CONS_TERAC!N51*CONS_U.FIS!M$92</f>
        <v>0</v>
      </c>
      <c r="N51" s="363">
        <f>CONS_TERAC!O51*CONS_U.FIS!N$92</f>
        <v>155.77485714285714</v>
      </c>
      <c r="O51" s="363">
        <f>CONS_TERAC!P51*CONS_U.FIS!O$92</f>
        <v>0</v>
      </c>
      <c r="P51" s="363">
        <f>CONS_TERAC!Q51*CONS_U.FIS!P$92</f>
        <v>0</v>
      </c>
      <c r="Q51" s="363">
        <f>CONS_TERAC!R51*CONS_U.FIS!Q$92</f>
        <v>0</v>
      </c>
      <c r="R51" s="363">
        <f>CONS_TERAC!S51*CONS_U.FIS!R$92</f>
        <v>19.430576031123376</v>
      </c>
      <c r="S51" s="363">
        <f>CONS_TERAC!T51*CONS_U.FIS!S$92</f>
        <v>0</v>
      </c>
      <c r="T51" s="357">
        <f>CONS_TERAC!U51*CONS_U.FIS!T$92</f>
        <v>12.285881904209313</v>
      </c>
      <c r="U51" s="357">
        <f>CONS_TERAC!V51*CONS_U.FIS!U$92</f>
        <v>0</v>
      </c>
      <c r="V51" s="40"/>
      <c r="W51" s="40"/>
      <c r="X51" s="40"/>
      <c r="Y51" s="40"/>
      <c r="Z51" s="40"/>
      <c r="AA51" s="40"/>
    </row>
    <row r="52" spans="1:27">
      <c r="A52" s="33"/>
      <c r="B52" s="33" t="s">
        <v>281</v>
      </c>
      <c r="C52" s="363">
        <f>CONS_TERAC!C52*CONS_U.FIS!$C$92</f>
        <v>0</v>
      </c>
      <c r="D52" s="363">
        <f>CONS_TERAC!D52*CONS_U.FIS!D$92</f>
        <v>0</v>
      </c>
      <c r="E52" s="363">
        <f>CONS_TERAC!E52*CONS_U.FIS!E$92</f>
        <v>0</v>
      </c>
      <c r="F52" s="363">
        <f>CONS_TERAC!F52*CONS_U.FIS!F$92</f>
        <v>0</v>
      </c>
      <c r="G52" s="363">
        <f>CONS_TERAC!G52*CONS_U.FIS!G$92</f>
        <v>0</v>
      </c>
      <c r="H52" s="363">
        <f>CONS_TERAC!H52*CONS_U.FIS!H$92</f>
        <v>0</v>
      </c>
      <c r="I52" s="363">
        <f>CONS_TERAC!I52*CONS_U.FIS!I$92</f>
        <v>0</v>
      </c>
      <c r="J52" s="363">
        <f>CONS_TERAC!J52*CONS_U.FIS!J$92</f>
        <v>0</v>
      </c>
      <c r="K52" s="363">
        <f>CONS_TERAC!K52*CONS_U.FIS!K$92</f>
        <v>0</v>
      </c>
      <c r="L52" s="363">
        <f>CONS_TERAC!M52*CONS_U.FIS!L$92</f>
        <v>0</v>
      </c>
      <c r="M52" s="363">
        <f>CONS_TERAC!N52*CONS_U.FIS!M$92</f>
        <v>607.80857142857133</v>
      </c>
      <c r="N52" s="363">
        <f>CONS_TERAC!O52*CONS_U.FIS!N$92</f>
        <v>0</v>
      </c>
      <c r="O52" s="363">
        <f>CONS_TERAC!P52*CONS_U.FIS!O$92</f>
        <v>0</v>
      </c>
      <c r="P52" s="363">
        <f>CONS_TERAC!Q52*CONS_U.FIS!P$92</f>
        <v>0</v>
      </c>
      <c r="Q52" s="363">
        <f>CONS_TERAC!R52*CONS_U.FIS!Q$92</f>
        <v>0</v>
      </c>
      <c r="R52" s="363">
        <f>CONS_TERAC!S52*CONS_U.FIS!R$92</f>
        <v>0</v>
      </c>
      <c r="S52" s="363">
        <f>CONS_TERAC!T52*CONS_U.FIS!S$92</f>
        <v>0</v>
      </c>
      <c r="T52" s="357">
        <f>CONS_TERAC!U52*CONS_U.FIS!T$92</f>
        <v>0</v>
      </c>
      <c r="U52" s="357">
        <f>CONS_TERAC!V52*CONS_U.FIS!U$92</f>
        <v>0</v>
      </c>
      <c r="V52" s="40"/>
      <c r="W52" s="40"/>
      <c r="X52" s="40"/>
      <c r="Y52" s="40"/>
      <c r="Z52" s="40"/>
      <c r="AA52" s="40"/>
    </row>
    <row r="53" spans="1:27">
      <c r="A53" s="33"/>
      <c r="B53" s="33" t="s">
        <v>265</v>
      </c>
      <c r="C53" s="363">
        <f>CONS_TERAC!C53*CONS_U.FIS!$C$92</f>
        <v>0</v>
      </c>
      <c r="D53" s="363">
        <f>CONS_TERAC!D53*CONS_U.FIS!D$92</f>
        <v>0</v>
      </c>
      <c r="E53" s="363">
        <f>CONS_TERAC!E53*CONS_U.FIS!E$92</f>
        <v>0</v>
      </c>
      <c r="F53" s="363">
        <f>CONS_TERAC!F53*CONS_U.FIS!F$92</f>
        <v>0</v>
      </c>
      <c r="G53" s="363">
        <f>CONS_TERAC!G53*CONS_U.FIS!G$92</f>
        <v>0</v>
      </c>
      <c r="H53" s="363">
        <f>CONS_TERAC!H53*CONS_U.FIS!H$92</f>
        <v>0</v>
      </c>
      <c r="I53" s="363">
        <f>CONS_TERAC!I53*CONS_U.FIS!I$92</f>
        <v>0</v>
      </c>
      <c r="J53" s="363">
        <f>CONS_TERAC!J53*CONS_U.FIS!J$92</f>
        <v>0</v>
      </c>
      <c r="K53" s="363">
        <f>CONS_TERAC!K53*CONS_U.FIS!K$92</f>
        <v>0</v>
      </c>
      <c r="L53" s="363">
        <f>CONS_TERAC!M53*CONS_U.FIS!L$92</f>
        <v>0</v>
      </c>
      <c r="M53" s="363">
        <f>CONS_TERAC!N53*CONS_U.FIS!M$92</f>
        <v>0</v>
      </c>
      <c r="N53" s="363">
        <f>CONS_TERAC!O53*CONS_U.FIS!N$92</f>
        <v>0</v>
      </c>
      <c r="O53" s="363">
        <f>CONS_TERAC!P53*CONS_U.FIS!O$92</f>
        <v>0</v>
      </c>
      <c r="P53" s="363">
        <f>CONS_TERAC!Q53*CONS_U.FIS!P$92</f>
        <v>0</v>
      </c>
      <c r="Q53" s="363">
        <f>CONS_TERAC!R53*CONS_U.FIS!Q$92</f>
        <v>0</v>
      </c>
      <c r="R53" s="363">
        <f>CONS_TERAC!S53*CONS_U.FIS!R$92</f>
        <v>545.2308139999999</v>
      </c>
      <c r="S53" s="363">
        <f>CONS_TERAC!T53*CONS_U.FIS!S$92</f>
        <v>0</v>
      </c>
      <c r="T53" s="357">
        <f>CONS_TERAC!U53*CONS_U.FIS!T$92</f>
        <v>0</v>
      </c>
      <c r="U53" s="357">
        <f>CONS_TERAC!V53*CONS_U.FIS!U$92</f>
        <v>0</v>
      </c>
      <c r="V53" s="40"/>
      <c r="W53" s="40"/>
      <c r="X53" s="40"/>
      <c r="Y53" s="40"/>
      <c r="Z53" s="40"/>
      <c r="AA53" s="40"/>
    </row>
    <row r="54" spans="1:27">
      <c r="A54" s="33"/>
      <c r="B54" s="33" t="s">
        <v>266</v>
      </c>
      <c r="C54" s="363">
        <f>CONS_TERAC!C54*CONS_U.FIS!$C$92</f>
        <v>0</v>
      </c>
      <c r="D54" s="363">
        <f>CONS_TERAC!D54*CONS_U.FIS!D$92</f>
        <v>0</v>
      </c>
      <c r="E54" s="363">
        <f>CONS_TERAC!E54*CONS_U.FIS!E$92</f>
        <v>0</v>
      </c>
      <c r="F54" s="363">
        <f>CONS_TERAC!F54*CONS_U.FIS!F$92</f>
        <v>0</v>
      </c>
      <c r="G54" s="363">
        <f>CONS_TERAC!G54*CONS_U.FIS!G$92</f>
        <v>0</v>
      </c>
      <c r="H54" s="363">
        <f>CONS_TERAC!H54*CONS_U.FIS!H$92</f>
        <v>0</v>
      </c>
      <c r="I54" s="363">
        <f>CONS_TERAC!I54*CONS_U.FIS!I$92</f>
        <v>0</v>
      </c>
      <c r="J54" s="363">
        <f>CONS_TERAC!J54*CONS_U.FIS!J$92</f>
        <v>0</v>
      </c>
      <c r="K54" s="363">
        <f>CONS_TERAC!K54*CONS_U.FIS!K$92</f>
        <v>0</v>
      </c>
      <c r="L54" s="363">
        <f>CONS_TERAC!M54*CONS_U.FIS!L$92</f>
        <v>0</v>
      </c>
      <c r="M54" s="363">
        <f>CONS_TERAC!N54*CONS_U.FIS!M$92</f>
        <v>0</v>
      </c>
      <c r="N54" s="363">
        <f>CONS_TERAC!O54*CONS_U.FIS!N$92</f>
        <v>0</v>
      </c>
      <c r="O54" s="363">
        <f>CONS_TERAC!P54*CONS_U.FIS!O$92</f>
        <v>0</v>
      </c>
      <c r="P54" s="363">
        <f>CONS_TERAC!Q54*CONS_U.FIS!P$92</f>
        <v>0</v>
      </c>
      <c r="Q54" s="363">
        <f>CONS_TERAC!R54*CONS_U.FIS!Q$92</f>
        <v>0</v>
      </c>
      <c r="R54" s="363">
        <f>CONS_TERAC!S54*CONS_U.FIS!R$92</f>
        <v>0</v>
      </c>
      <c r="S54" s="363">
        <f>CONS_TERAC!T54*CONS_U.FIS!S$92</f>
        <v>0</v>
      </c>
      <c r="T54" s="357">
        <f>CONS_TERAC!U54*CONS_U.FIS!T$92</f>
        <v>0</v>
      </c>
      <c r="U54" s="357">
        <f>CONS_TERAC!V54*CONS_U.FIS!U$92</f>
        <v>0</v>
      </c>
      <c r="V54" s="40"/>
      <c r="W54" s="40"/>
      <c r="X54" s="40"/>
      <c r="Y54" s="40"/>
      <c r="Z54" s="40"/>
      <c r="AA54" s="40"/>
    </row>
    <row r="55" spans="1:27">
      <c r="A55" s="33"/>
      <c r="B55" s="33" t="s">
        <v>267</v>
      </c>
      <c r="C55" s="363">
        <f>CONS_TERAC!C55*CONS_U.FIS!$C$92</f>
        <v>0</v>
      </c>
      <c r="D55" s="363">
        <f>CONS_TERAC!D55*CONS_U.FIS!D$92</f>
        <v>0</v>
      </c>
      <c r="E55" s="363">
        <f>CONS_TERAC!E55*CONS_U.FIS!E$92</f>
        <v>0</v>
      </c>
      <c r="F55" s="363">
        <f>CONS_TERAC!F55*CONS_U.FIS!F$92</f>
        <v>0</v>
      </c>
      <c r="G55" s="363">
        <f>CONS_TERAC!G55*CONS_U.FIS!G$92</f>
        <v>0</v>
      </c>
      <c r="H55" s="363">
        <f>CONS_TERAC!H55*CONS_U.FIS!H$92</f>
        <v>0</v>
      </c>
      <c r="I55" s="363">
        <f>CONS_TERAC!I55*CONS_U.FIS!I$92</f>
        <v>0</v>
      </c>
      <c r="J55" s="363">
        <f>CONS_TERAC!J55*CONS_U.FIS!J$92</f>
        <v>0</v>
      </c>
      <c r="K55" s="363">
        <f>CONS_TERAC!K55*CONS_U.FIS!K$92</f>
        <v>0</v>
      </c>
      <c r="L55" s="363">
        <f>CONS_TERAC!M55*CONS_U.FIS!L$92</f>
        <v>0</v>
      </c>
      <c r="M55" s="363">
        <f>CONS_TERAC!N55*CONS_U.FIS!M$92</f>
        <v>0</v>
      </c>
      <c r="N55" s="363">
        <f>CONS_TERAC!O55*CONS_U.FIS!N$92</f>
        <v>0</v>
      </c>
      <c r="O55" s="363">
        <f>CONS_TERAC!P55*CONS_U.FIS!O$92</f>
        <v>0</v>
      </c>
      <c r="P55" s="363">
        <f>CONS_TERAC!Q55*CONS_U.FIS!P$92</f>
        <v>0</v>
      </c>
      <c r="Q55" s="363">
        <f>CONS_TERAC!R55*CONS_U.FIS!Q$92</f>
        <v>0</v>
      </c>
      <c r="R55" s="363">
        <f>CONS_TERAC!S55*CONS_U.FIS!R$92</f>
        <v>913.49675623594885</v>
      </c>
      <c r="S55" s="363">
        <f>CONS_TERAC!T55*CONS_U.FIS!S$92</f>
        <v>0</v>
      </c>
      <c r="T55" s="357">
        <f>CONS_TERAC!U55*CONS_U.FIS!T$92</f>
        <v>0</v>
      </c>
      <c r="U55" s="357">
        <f>CONS_TERAC!V55*CONS_U.FIS!U$92</f>
        <v>0</v>
      </c>
      <c r="V55" s="40"/>
      <c r="W55" s="40"/>
      <c r="X55" s="40"/>
      <c r="Y55" s="40"/>
      <c r="Z55" s="40"/>
      <c r="AA55" s="40"/>
    </row>
    <row r="56" spans="1:27">
      <c r="A56" s="33"/>
      <c r="B56" s="33"/>
      <c r="C56" s="37"/>
      <c r="D56" s="37"/>
      <c r="E56" s="37"/>
      <c r="F56" s="37"/>
      <c r="G56" s="37"/>
      <c r="H56" s="37"/>
      <c r="I56" s="37"/>
      <c r="J56" s="37"/>
      <c r="K56" s="37"/>
      <c r="L56" s="37"/>
      <c r="M56" s="37"/>
      <c r="N56" s="37"/>
      <c r="O56" s="37"/>
      <c r="P56" s="37"/>
      <c r="Q56" s="37"/>
      <c r="R56" s="37"/>
      <c r="S56" s="37"/>
      <c r="T56" s="37"/>
      <c r="U56" s="37"/>
      <c r="V56" s="40"/>
      <c r="W56" s="40"/>
      <c r="X56" s="40"/>
      <c r="Y56" s="40"/>
      <c r="Z56" s="40"/>
      <c r="AA56" s="40"/>
    </row>
    <row r="57" spans="1:27">
      <c r="A57" s="33" t="s">
        <v>268</v>
      </c>
      <c r="B57" s="33"/>
      <c r="C57" s="354">
        <f>CONS_TERAC!C57*CONS_U.FIS!$C$92</f>
        <v>2194.6202425061811</v>
      </c>
      <c r="D57" s="354">
        <f>CONS_TERAC!D57*CONS_U.FIS!D$92</f>
        <v>244.72426157799998</v>
      </c>
      <c r="E57" s="354">
        <f>CONS_TERAC!E57*CONS_U.FIS!E$92</f>
        <v>0</v>
      </c>
      <c r="F57" s="354">
        <f>CONS_TERAC!F57*CONS_U.FIS!F$92</f>
        <v>0</v>
      </c>
      <c r="G57" s="354">
        <f>CONS_TERAC!G57*CONS_U.FIS!G$92</f>
        <v>77.249648640404288</v>
      </c>
      <c r="H57" s="354">
        <f>CONS_TERAC!H57*CONS_U.FIS!H$92</f>
        <v>0</v>
      </c>
      <c r="I57" s="354">
        <f>CONS_TERAC!I57*CONS_U.FIS!I$92</f>
        <v>0</v>
      </c>
      <c r="J57" s="354">
        <f>CONS_TERAC!J57*CONS_U.FIS!J$92</f>
        <v>0</v>
      </c>
      <c r="K57" s="354">
        <f>CONS_TERAC!K57*CONS_U.FIS!K$92</f>
        <v>44.256811608920202</v>
      </c>
      <c r="L57" s="354">
        <f>CONS_TERAC!M57*CONS_U.FIS!L$92</f>
        <v>0</v>
      </c>
      <c r="M57" s="354">
        <f>CONS_TERAC!N57*CONS_U.FIS!M$92</f>
        <v>5394.4153958655052</v>
      </c>
      <c r="N57" s="354">
        <f>CONS_TERAC!O57*CONS_U.FIS!N$92</f>
        <v>874.68654959565754</v>
      </c>
      <c r="O57" s="354">
        <f>CONS_TERAC!P57*CONS_U.FIS!O$92</f>
        <v>0</v>
      </c>
      <c r="P57" s="354">
        <f>CONS_TERAC!Q57*CONS_U.FIS!P$92</f>
        <v>0</v>
      </c>
      <c r="Q57" s="354">
        <f>CONS_TERAC!R57*CONS_U.FIS!Q$92</f>
        <v>0</v>
      </c>
      <c r="R57" s="354">
        <f>CONS_TERAC!S57*CONS_U.FIS!R$92</f>
        <v>2397.9752318253586</v>
      </c>
      <c r="S57" s="354">
        <f>CONS_TERAC!T57*CONS_U.FIS!S$92</f>
        <v>0</v>
      </c>
      <c r="T57" s="354">
        <f>CONS_TERAC!U57*CONS_U.FIS!T$92</f>
        <v>12.285881904209313</v>
      </c>
      <c r="U57" s="354">
        <f>CONS_TERAC!V57*CONS_U.FIS!U$92</f>
        <v>1680.0521138285931</v>
      </c>
      <c r="V57" s="40"/>
      <c r="W57" s="40"/>
      <c r="X57" s="40"/>
      <c r="Y57" s="40"/>
      <c r="Z57" s="40"/>
      <c r="AA57" s="40"/>
    </row>
    <row r="58" spans="1:27">
      <c r="A58" s="33"/>
      <c r="B58" s="33"/>
      <c r="C58" s="37"/>
      <c r="D58" s="37"/>
      <c r="E58" s="37"/>
      <c r="F58" s="37"/>
      <c r="G58" s="37"/>
      <c r="H58" s="37"/>
      <c r="I58" s="37"/>
      <c r="J58" s="37"/>
      <c r="K58" s="37"/>
      <c r="L58" s="37"/>
      <c r="M58" s="37"/>
      <c r="N58" s="37"/>
      <c r="O58" s="37"/>
      <c r="P58" s="37"/>
      <c r="Q58" s="37"/>
      <c r="R58" s="37"/>
      <c r="S58" s="37"/>
      <c r="T58" s="37"/>
      <c r="U58" s="37"/>
      <c r="V58" s="40"/>
      <c r="W58" s="40"/>
      <c r="X58" s="40"/>
      <c r="Y58" s="40"/>
      <c r="Z58" s="40"/>
      <c r="AA58" s="40"/>
    </row>
    <row r="59" spans="1:27">
      <c r="A59" s="33"/>
      <c r="B59" s="33"/>
      <c r="C59" s="37"/>
      <c r="D59" s="37"/>
      <c r="E59" s="37"/>
      <c r="F59" s="37"/>
      <c r="G59" s="37"/>
      <c r="H59" s="37"/>
      <c r="I59" s="37"/>
      <c r="J59" s="37"/>
      <c r="K59" s="37"/>
      <c r="L59" s="37"/>
      <c r="M59" s="37"/>
      <c r="N59" s="37"/>
      <c r="O59" s="37"/>
      <c r="P59" s="37"/>
      <c r="Q59" s="37"/>
      <c r="R59" s="37"/>
      <c r="S59" s="37"/>
      <c r="T59" s="37"/>
      <c r="U59" s="37"/>
      <c r="V59" s="40"/>
      <c r="W59" s="40"/>
      <c r="X59" s="40"/>
      <c r="Y59" s="40"/>
      <c r="Z59" s="40"/>
      <c r="AA59" s="40"/>
    </row>
    <row r="60" spans="1:27">
      <c r="A60" s="34" t="s">
        <v>269</v>
      </c>
      <c r="B60" s="34"/>
      <c r="C60" s="354">
        <f>CONS_TERAC!C60*CONS_U.FIS!$C$92</f>
        <v>9029.1480338993424</v>
      </c>
      <c r="D60" s="354">
        <f>CONS_TERAC!D60*CONS_U.FIS!D$92</f>
        <v>2102.2237291249994</v>
      </c>
      <c r="E60" s="354">
        <f>CONS_TERAC!E60*CONS_U.FIS!E$92</f>
        <v>3414.8104159999989</v>
      </c>
      <c r="F60" s="354">
        <f>CONS_TERAC!F60*CONS_U.FIS!F$92</f>
        <v>149.68240900000004</v>
      </c>
      <c r="G60" s="354">
        <f>CONS_TERAC!G60*CONS_U.FIS!G$92</f>
        <v>1359.1456808632599</v>
      </c>
      <c r="H60" s="354">
        <f>CONS_TERAC!H60*CONS_U.FIS!H$92</f>
        <v>7.051000000000001</v>
      </c>
      <c r="I60" s="354">
        <f>CONS_TERAC!I60*CONS_U.FIS!I$92</f>
        <v>862.45172253199428</v>
      </c>
      <c r="J60" s="354">
        <f>CONS_TERAC!J60*CONS_U.FIS!J$92</f>
        <v>131.38269099999997</v>
      </c>
      <c r="K60" s="354">
        <f>CONS_TERAC!K60*CONS_U.FIS!K$92</f>
        <v>845.6219355244134</v>
      </c>
      <c r="L60" s="354">
        <f>CONS_TERAC!M60*CONS_U.FIS!L$92</f>
        <v>56047.807425870356</v>
      </c>
      <c r="M60" s="354">
        <f>CONS_TERAC!N60*CONS_U.FIS!M$92</f>
        <v>5706.61782646345</v>
      </c>
      <c r="N60" s="354">
        <f>CONS_TERAC!O60*CONS_U.FIS!N$92</f>
        <v>1458.1653353942991</v>
      </c>
      <c r="O60" s="354">
        <f>CONS_TERAC!P60*CONS_U.FIS!O$92</f>
        <v>15762.980769230771</v>
      </c>
      <c r="P60" s="354">
        <f>CONS_TERAC!Q60*CONS_U.FIS!P$92</f>
        <v>303.40364215162833</v>
      </c>
      <c r="Q60" s="354">
        <f>CONS_TERAC!R60*CONS_U.FIS!Q$92</f>
        <v>977.50444444444452</v>
      </c>
      <c r="R60" s="354">
        <f>CONS_TERAC!S60*CONS_U.FIS!R$92</f>
        <v>3181.0399852287765</v>
      </c>
      <c r="S60" s="354">
        <f>CONS_TERAC!T60*CONS_U.FIS!S$92</f>
        <v>82.591192661531636</v>
      </c>
      <c r="T60" s="354">
        <f>CONS_TERAC!U60*CONS_U.FIS!T$92</f>
        <v>12.285881904209313</v>
      </c>
      <c r="U60" s="354">
        <f>CONS_TERAC!V60*CONS_U.FIS!U$92</f>
        <v>14651.424916927886</v>
      </c>
      <c r="V60" s="40"/>
      <c r="W60" s="40"/>
      <c r="X60" s="40"/>
      <c r="Y60" s="40"/>
      <c r="Z60" s="40"/>
      <c r="AA60" s="40"/>
    </row>
    <row r="61" spans="1:27">
      <c r="A61" s="34"/>
      <c r="B61" s="34"/>
      <c r="C61" s="50"/>
      <c r="D61" s="51"/>
      <c r="E61" s="50"/>
      <c r="F61" s="50"/>
      <c r="G61" s="50"/>
      <c r="H61" s="50"/>
      <c r="I61" s="50"/>
      <c r="J61" s="50"/>
      <c r="K61" s="51"/>
      <c r="L61" s="50"/>
      <c r="M61" s="51"/>
      <c r="N61" s="50"/>
      <c r="O61" s="50"/>
      <c r="P61" s="50"/>
      <c r="Q61" s="50"/>
      <c r="R61" s="50"/>
      <c r="S61" s="50"/>
      <c r="T61" s="50"/>
      <c r="U61" s="50"/>
      <c r="V61" s="40"/>
      <c r="W61" s="52"/>
      <c r="X61" s="52"/>
      <c r="Y61" s="53"/>
      <c r="Z61" s="53"/>
      <c r="AA61" s="53"/>
    </row>
    <row r="62" spans="1:27">
      <c r="A62" s="40"/>
      <c r="B62" s="40"/>
      <c r="C62" s="50"/>
      <c r="D62" s="51"/>
      <c r="E62" s="50"/>
      <c r="F62" s="50"/>
      <c r="G62" s="50"/>
      <c r="H62" s="50"/>
      <c r="I62" s="50"/>
      <c r="J62" s="50"/>
      <c r="K62" s="51"/>
      <c r="L62" s="50"/>
      <c r="M62" s="51"/>
      <c r="N62" s="50"/>
      <c r="O62" s="50"/>
      <c r="P62" s="50"/>
      <c r="Q62" s="50"/>
      <c r="R62" s="50"/>
      <c r="S62" s="50"/>
      <c r="T62" s="50"/>
      <c r="U62" s="50"/>
      <c r="V62" s="40"/>
      <c r="W62" s="52"/>
      <c r="X62" s="52"/>
      <c r="Y62" s="53"/>
      <c r="Z62" s="53"/>
      <c r="AA62" s="53"/>
    </row>
    <row r="63" spans="1:27">
      <c r="A63" s="40"/>
      <c r="B63" s="40"/>
      <c r="C63" s="50"/>
      <c r="D63" s="51"/>
      <c r="E63" s="50"/>
      <c r="F63" s="50"/>
      <c r="G63" s="50"/>
      <c r="H63" s="50"/>
      <c r="I63" s="50"/>
      <c r="J63" s="50"/>
      <c r="K63" s="51"/>
      <c r="L63" s="50"/>
      <c r="M63" s="51"/>
      <c r="N63" s="50"/>
      <c r="O63" s="50"/>
      <c r="P63" s="50"/>
      <c r="Q63" s="50"/>
      <c r="R63" s="50"/>
      <c r="S63" s="50"/>
      <c r="T63" s="50"/>
      <c r="U63" s="50"/>
      <c r="V63" s="40"/>
      <c r="W63" s="52"/>
      <c r="X63" s="52"/>
      <c r="Y63" s="53"/>
      <c r="Z63" s="53"/>
      <c r="AA63" s="53"/>
    </row>
    <row r="64" spans="1:27">
      <c r="A64" s="40"/>
      <c r="B64" s="40"/>
      <c r="C64" s="50"/>
      <c r="D64" s="51"/>
      <c r="E64" s="50"/>
      <c r="F64" s="50"/>
      <c r="G64" s="50"/>
      <c r="H64" s="50"/>
      <c r="I64" s="50"/>
      <c r="J64" s="50"/>
      <c r="K64" s="51"/>
      <c r="L64" s="50"/>
      <c r="M64" s="51"/>
      <c r="N64" s="50"/>
      <c r="O64" s="50"/>
      <c r="P64" s="50"/>
      <c r="Q64" s="50"/>
      <c r="R64" s="50"/>
      <c r="S64" s="50"/>
      <c r="T64" s="50"/>
      <c r="U64" s="50"/>
      <c r="V64" s="40"/>
      <c r="W64" s="52"/>
      <c r="X64" s="52"/>
      <c r="Y64" s="53"/>
      <c r="Z64" s="53"/>
      <c r="AA64" s="53"/>
    </row>
    <row r="65" spans="1:27">
      <c r="A65" s="40"/>
      <c r="B65" s="40"/>
      <c r="C65" s="50"/>
      <c r="D65" s="51"/>
      <c r="E65" s="50"/>
      <c r="F65" s="50"/>
      <c r="G65" s="50"/>
      <c r="H65" s="50"/>
      <c r="I65" s="50"/>
      <c r="J65" s="50"/>
      <c r="K65" s="51"/>
      <c r="L65" s="50"/>
      <c r="M65" s="51"/>
      <c r="N65" s="50"/>
      <c r="O65" s="50"/>
      <c r="P65" s="50"/>
      <c r="Q65" s="50"/>
      <c r="R65" s="50"/>
      <c r="S65" s="50"/>
      <c r="T65" s="50"/>
      <c r="U65" s="50"/>
      <c r="V65" s="40"/>
      <c r="W65" s="52"/>
      <c r="X65" s="52"/>
      <c r="Y65" s="53"/>
      <c r="Z65" s="53"/>
      <c r="AA65" s="53"/>
    </row>
    <row r="66" spans="1:27">
      <c r="A66" s="40"/>
      <c r="B66" s="40"/>
      <c r="C66" s="50"/>
      <c r="D66" s="51"/>
      <c r="E66" s="50"/>
      <c r="F66" s="50"/>
      <c r="G66" s="50"/>
      <c r="H66" s="50"/>
      <c r="I66" s="50"/>
      <c r="J66" s="50"/>
      <c r="K66" s="51"/>
      <c r="L66" s="50"/>
      <c r="M66" s="51"/>
      <c r="N66" s="50"/>
      <c r="O66" s="50"/>
      <c r="P66" s="50"/>
      <c r="Q66" s="50"/>
      <c r="R66" s="50"/>
      <c r="S66" s="50"/>
      <c r="T66" s="50"/>
      <c r="U66" s="50"/>
      <c r="V66" s="40"/>
      <c r="W66" s="52"/>
      <c r="X66" s="52"/>
      <c r="Y66" s="53"/>
      <c r="Z66" s="53"/>
      <c r="AA66" s="53"/>
    </row>
    <row r="67" spans="1:27">
      <c r="A67" s="40"/>
      <c r="B67" s="40"/>
      <c r="C67" s="50"/>
      <c r="D67" s="51"/>
      <c r="E67" s="50"/>
      <c r="F67" s="50"/>
      <c r="G67" s="50"/>
      <c r="H67" s="50"/>
      <c r="I67" s="50"/>
      <c r="J67" s="50"/>
      <c r="K67" s="51"/>
      <c r="L67" s="50"/>
      <c r="M67" s="51"/>
      <c r="N67" s="50"/>
      <c r="O67" s="50"/>
      <c r="P67" s="50"/>
      <c r="Q67" s="50"/>
      <c r="R67" s="50"/>
      <c r="S67" s="50"/>
      <c r="T67" s="50"/>
      <c r="U67" s="50"/>
      <c r="V67" s="40"/>
      <c r="W67" s="52"/>
      <c r="X67" s="52"/>
      <c r="Y67" s="53"/>
      <c r="Z67" s="53"/>
      <c r="AA67" s="53"/>
    </row>
    <row r="68" spans="1:27">
      <c r="A68" s="40"/>
      <c r="B68" s="40"/>
      <c r="C68" s="50"/>
      <c r="D68" s="51"/>
      <c r="E68" s="50"/>
      <c r="F68" s="50"/>
      <c r="G68" s="50"/>
      <c r="H68" s="50"/>
      <c r="I68" s="50"/>
      <c r="J68" s="50"/>
      <c r="K68" s="51"/>
      <c r="L68" s="50"/>
      <c r="M68" s="51"/>
      <c r="N68" s="50"/>
      <c r="O68" s="50"/>
      <c r="P68" s="50"/>
      <c r="Q68" s="50"/>
      <c r="R68" s="50"/>
      <c r="S68" s="50"/>
      <c r="T68" s="50"/>
      <c r="U68" s="50"/>
      <c r="V68" s="40"/>
      <c r="W68" s="52"/>
      <c r="X68" s="52"/>
      <c r="Y68" s="53"/>
      <c r="Z68" s="53"/>
      <c r="AA68" s="53"/>
    </row>
    <row r="69" spans="1:27">
      <c r="A69" s="40"/>
      <c r="B69" s="40"/>
      <c r="C69" s="50"/>
      <c r="D69" s="51"/>
      <c r="E69" s="50"/>
      <c r="F69" s="50"/>
      <c r="G69" s="50"/>
      <c r="H69" s="50"/>
      <c r="I69" s="50"/>
      <c r="J69" s="50"/>
      <c r="K69" s="51"/>
      <c r="L69" s="50"/>
      <c r="M69" s="51"/>
      <c r="N69" s="50"/>
      <c r="O69" s="50"/>
      <c r="P69" s="50"/>
      <c r="Q69" s="50"/>
      <c r="R69" s="50"/>
      <c r="S69" s="50"/>
      <c r="T69" s="50"/>
      <c r="U69" s="50"/>
      <c r="V69" s="40"/>
      <c r="W69" s="52"/>
      <c r="X69" s="52"/>
      <c r="Y69" s="53"/>
      <c r="Z69" s="53"/>
      <c r="AA69" s="53"/>
    </row>
    <row r="70" spans="1:27">
      <c r="A70" s="40"/>
      <c r="B70" s="40"/>
      <c r="C70" s="50"/>
      <c r="D70" s="51"/>
      <c r="E70" s="50"/>
      <c r="F70" s="50"/>
      <c r="G70" s="50"/>
      <c r="H70" s="50"/>
      <c r="I70" s="50"/>
      <c r="J70" s="50"/>
      <c r="K70" s="51"/>
      <c r="L70" s="50"/>
      <c r="M70" s="51"/>
      <c r="N70" s="50"/>
      <c r="O70" s="50"/>
      <c r="P70" s="50"/>
      <c r="Q70" s="50"/>
      <c r="R70" s="50"/>
      <c r="S70" s="50"/>
      <c r="T70" s="50"/>
      <c r="U70" s="50"/>
      <c r="V70" s="40"/>
      <c r="W70" s="52"/>
      <c r="X70" s="52"/>
      <c r="Y70" s="53"/>
      <c r="Z70" s="53"/>
      <c r="AA70" s="53"/>
    </row>
    <row r="71" spans="1:27">
      <c r="A71" s="40"/>
      <c r="B71" s="40"/>
      <c r="C71" s="50"/>
      <c r="D71" s="51"/>
      <c r="E71" s="50"/>
      <c r="F71" s="50"/>
      <c r="G71" s="50"/>
      <c r="H71" s="50"/>
      <c r="I71" s="50"/>
      <c r="J71" s="50"/>
      <c r="K71" s="51"/>
      <c r="L71" s="50"/>
      <c r="M71" s="51"/>
      <c r="N71" s="50"/>
      <c r="O71" s="50"/>
      <c r="P71" s="50"/>
      <c r="Q71" s="50"/>
      <c r="R71" s="50"/>
      <c r="S71" s="50"/>
      <c r="T71" s="50"/>
      <c r="U71" s="50"/>
      <c r="V71" s="40"/>
      <c r="W71" s="52"/>
      <c r="X71" s="52"/>
      <c r="Y71" s="53"/>
      <c r="Z71" s="53"/>
      <c r="AA71" s="53"/>
    </row>
    <row r="72" spans="1:27">
      <c r="A72" s="40"/>
      <c r="B72" s="40"/>
      <c r="C72" s="50"/>
      <c r="D72" s="51"/>
      <c r="E72" s="50"/>
      <c r="F72" s="50"/>
      <c r="G72" s="50"/>
      <c r="H72" s="50"/>
      <c r="I72" s="50"/>
      <c r="J72" s="50"/>
      <c r="K72" s="51"/>
      <c r="L72" s="50"/>
      <c r="M72" s="51"/>
      <c r="N72" s="50"/>
      <c r="O72" s="50"/>
      <c r="P72" s="50"/>
      <c r="Q72" s="50"/>
      <c r="R72" s="50"/>
      <c r="S72" s="50"/>
      <c r="T72" s="50"/>
      <c r="U72" s="50"/>
      <c r="V72" s="40"/>
      <c r="W72" s="52"/>
      <c r="X72" s="52"/>
      <c r="Y72" s="53"/>
      <c r="Z72" s="53"/>
      <c r="AA72" s="53"/>
    </row>
    <row r="73" spans="1:27">
      <c r="A73" s="40"/>
      <c r="B73" s="40"/>
      <c r="C73" s="50"/>
      <c r="D73" s="51"/>
      <c r="E73" s="50"/>
      <c r="F73" s="50"/>
      <c r="G73" s="50"/>
      <c r="H73" s="50"/>
      <c r="I73" s="50"/>
      <c r="J73" s="50"/>
      <c r="K73" s="51"/>
      <c r="L73" s="50"/>
      <c r="M73" s="51"/>
      <c r="N73" s="50"/>
      <c r="O73" s="50"/>
      <c r="P73" s="50"/>
      <c r="Q73" s="50"/>
      <c r="R73" s="50"/>
      <c r="S73" s="50"/>
      <c r="T73" s="50"/>
      <c r="U73" s="50"/>
      <c r="V73" s="40"/>
      <c r="W73" s="52"/>
      <c r="X73" s="52"/>
      <c r="Y73" s="53"/>
      <c r="Z73" s="53"/>
      <c r="AA73" s="53"/>
    </row>
    <row r="74" spans="1:27">
      <c r="A74" s="40"/>
      <c r="B74" s="40"/>
      <c r="C74" s="50"/>
      <c r="D74" s="51"/>
      <c r="E74" s="50"/>
      <c r="F74" s="50"/>
      <c r="G74" s="50"/>
      <c r="H74" s="50"/>
      <c r="I74" s="50"/>
      <c r="J74" s="50"/>
      <c r="K74" s="51"/>
      <c r="L74" s="50"/>
      <c r="M74" s="51"/>
      <c r="N74" s="50"/>
      <c r="O74" s="50"/>
      <c r="P74" s="50"/>
      <c r="Q74" s="50"/>
      <c r="R74" s="50"/>
      <c r="S74" s="50"/>
      <c r="T74" s="50"/>
      <c r="U74" s="50"/>
      <c r="V74" s="40"/>
      <c r="W74" s="52"/>
      <c r="X74" s="52"/>
      <c r="Y74" s="53"/>
      <c r="Z74" s="53"/>
      <c r="AA74" s="53"/>
    </row>
    <row r="75" spans="1:27">
      <c r="A75" s="40"/>
      <c r="B75" s="40"/>
      <c r="C75" s="50"/>
      <c r="D75" s="51"/>
      <c r="E75" s="50"/>
      <c r="F75" s="50"/>
      <c r="G75" s="50"/>
      <c r="H75" s="50"/>
      <c r="I75" s="50"/>
      <c r="J75" s="50"/>
      <c r="K75" s="51"/>
      <c r="L75" s="50"/>
      <c r="M75" s="51"/>
      <c r="N75" s="50"/>
      <c r="O75" s="50"/>
      <c r="P75" s="50"/>
      <c r="Q75" s="50"/>
      <c r="R75" s="50"/>
      <c r="S75" s="50"/>
      <c r="T75" s="50"/>
      <c r="U75" s="50"/>
      <c r="V75" s="40"/>
      <c r="W75" s="52"/>
      <c r="X75" s="52"/>
      <c r="Y75" s="53"/>
      <c r="Z75" s="53"/>
      <c r="AA75" s="53"/>
    </row>
    <row r="76" spans="1:27">
      <c r="A76" s="40"/>
      <c r="B76" s="40"/>
      <c r="C76" s="50"/>
      <c r="D76" s="51"/>
      <c r="E76" s="50"/>
      <c r="F76" s="50"/>
      <c r="G76" s="50"/>
      <c r="H76" s="50"/>
      <c r="I76" s="50"/>
      <c r="J76" s="50"/>
      <c r="K76" s="51"/>
      <c r="L76" s="50"/>
      <c r="M76" s="51"/>
      <c r="N76" s="50"/>
      <c r="O76" s="50"/>
      <c r="P76" s="50"/>
      <c r="Q76" s="50"/>
      <c r="R76" s="50"/>
      <c r="S76" s="50"/>
      <c r="T76" s="50"/>
      <c r="U76" s="50"/>
      <c r="V76" s="40"/>
      <c r="W76" s="52"/>
      <c r="X76" s="52"/>
      <c r="Y76" s="53"/>
      <c r="Z76" s="53"/>
      <c r="AA76" s="53"/>
    </row>
    <row r="77" spans="1:27">
      <c r="A77" s="40"/>
      <c r="B77" s="40"/>
      <c r="C77" s="50"/>
      <c r="D77" s="51"/>
      <c r="E77" s="50"/>
      <c r="F77" s="50"/>
      <c r="G77" s="50"/>
      <c r="H77" s="50"/>
      <c r="I77" s="50"/>
      <c r="J77" s="50"/>
      <c r="K77" s="51"/>
      <c r="L77" s="50"/>
      <c r="M77" s="51"/>
      <c r="N77" s="50"/>
      <c r="O77" s="50"/>
      <c r="P77" s="50"/>
      <c r="Q77" s="50"/>
      <c r="R77" s="50"/>
      <c r="S77" s="50"/>
      <c r="T77" s="50"/>
      <c r="U77" s="50"/>
      <c r="V77" s="40"/>
      <c r="W77" s="52"/>
      <c r="X77" s="52"/>
      <c r="Y77" s="53"/>
      <c r="Z77" s="53"/>
      <c r="AA77" s="53"/>
    </row>
    <row r="78" spans="1:27">
      <c r="A78" s="40"/>
      <c r="B78" s="40"/>
      <c r="C78" s="50"/>
      <c r="D78" s="51"/>
      <c r="E78" s="50"/>
      <c r="F78" s="50"/>
      <c r="G78" s="50"/>
      <c r="H78" s="50"/>
      <c r="I78" s="50"/>
      <c r="J78" s="50"/>
      <c r="K78" s="51"/>
      <c r="L78" s="50"/>
      <c r="M78" s="51"/>
      <c r="N78" s="50"/>
      <c r="O78" s="50"/>
      <c r="P78" s="50"/>
      <c r="Q78" s="50"/>
      <c r="R78" s="50"/>
      <c r="S78" s="50"/>
      <c r="T78" s="50"/>
      <c r="U78" s="50"/>
      <c r="V78" s="40"/>
      <c r="W78" s="52"/>
      <c r="X78" s="52"/>
      <c r="Y78" s="53"/>
      <c r="Z78" s="53"/>
      <c r="AA78" s="53"/>
    </row>
    <row r="79" spans="1:27">
      <c r="A79" s="40"/>
      <c r="B79" s="40"/>
      <c r="C79" s="50"/>
      <c r="D79" s="51"/>
      <c r="E79" s="50"/>
      <c r="F79" s="50"/>
      <c r="G79" s="50"/>
      <c r="H79" s="50"/>
      <c r="I79" s="50"/>
      <c r="J79" s="50"/>
      <c r="K79" s="51"/>
      <c r="L79" s="50"/>
      <c r="M79" s="51"/>
      <c r="N79" s="50"/>
      <c r="O79" s="50"/>
      <c r="P79" s="50"/>
      <c r="Q79" s="50"/>
      <c r="R79" s="50"/>
      <c r="S79" s="50"/>
      <c r="T79" s="50"/>
      <c r="U79" s="50"/>
      <c r="V79" s="40"/>
      <c r="W79" s="52"/>
      <c r="X79" s="52"/>
      <c r="Y79" s="53"/>
      <c r="Z79" s="53"/>
      <c r="AA79" s="53"/>
    </row>
    <row r="80" spans="1:27">
      <c r="A80" s="40"/>
      <c r="B80" s="40"/>
      <c r="C80" s="50"/>
      <c r="D80" s="51"/>
      <c r="E80" s="50"/>
      <c r="F80" s="50"/>
      <c r="G80" s="50"/>
      <c r="H80" s="50"/>
      <c r="I80" s="50"/>
      <c r="J80" s="50"/>
      <c r="K80" s="51"/>
      <c r="L80" s="50"/>
      <c r="M80" s="51"/>
      <c r="N80" s="50"/>
      <c r="O80" s="50"/>
      <c r="P80" s="50"/>
      <c r="Q80" s="50"/>
      <c r="R80" s="50"/>
      <c r="S80" s="50"/>
      <c r="T80" s="50"/>
      <c r="U80" s="50"/>
      <c r="V80" s="40"/>
      <c r="W80" s="52"/>
      <c r="X80" s="52"/>
      <c r="Y80" s="53"/>
      <c r="Z80" s="53"/>
      <c r="AA80" s="53"/>
    </row>
    <row r="81" spans="1:27">
      <c r="A81" s="40"/>
      <c r="B81" s="40"/>
      <c r="C81" s="50"/>
      <c r="D81" s="51"/>
      <c r="E81" s="50"/>
      <c r="F81" s="50"/>
      <c r="G81" s="50"/>
      <c r="H81" s="50"/>
      <c r="I81" s="50"/>
      <c r="J81" s="50"/>
      <c r="K81" s="51"/>
      <c r="L81" s="50"/>
      <c r="M81" s="51"/>
      <c r="N81" s="50"/>
      <c r="O81" s="50"/>
      <c r="P81" s="50"/>
      <c r="Q81" s="50"/>
      <c r="R81" s="50"/>
      <c r="S81" s="50"/>
      <c r="T81" s="50"/>
      <c r="U81" s="50"/>
      <c r="V81" s="40"/>
      <c r="W81" s="52"/>
      <c r="X81" s="52"/>
      <c r="Y81" s="53"/>
      <c r="Z81" s="53"/>
      <c r="AA81" s="53"/>
    </row>
    <row r="82" spans="1:27">
      <c r="A82" s="40"/>
      <c r="B82" s="40"/>
      <c r="C82" s="50"/>
      <c r="D82" s="51"/>
      <c r="E82" s="50"/>
      <c r="F82" s="50"/>
      <c r="G82" s="50"/>
      <c r="H82" s="50"/>
      <c r="I82" s="50"/>
      <c r="J82" s="50"/>
      <c r="K82" s="51"/>
      <c r="L82" s="50"/>
      <c r="M82" s="51"/>
      <c r="N82" s="50"/>
      <c r="O82" s="50"/>
      <c r="P82" s="50"/>
      <c r="Q82" s="50"/>
      <c r="R82" s="50"/>
      <c r="S82" s="50"/>
      <c r="T82" s="50"/>
      <c r="U82" s="50"/>
      <c r="V82" s="40"/>
      <c r="W82" s="52"/>
      <c r="X82" s="52"/>
      <c r="Y82" s="53"/>
      <c r="Z82" s="53"/>
      <c r="AA82" s="53"/>
    </row>
    <row r="83" spans="1:27">
      <c r="A83" s="40"/>
      <c r="B83" s="40"/>
      <c r="C83" s="50"/>
      <c r="D83" s="51"/>
      <c r="E83" s="50"/>
      <c r="F83" s="50"/>
      <c r="G83" s="50"/>
      <c r="H83" s="50"/>
      <c r="I83" s="50"/>
      <c r="J83" s="50"/>
      <c r="K83" s="51"/>
      <c r="L83" s="50"/>
      <c r="M83" s="51"/>
      <c r="N83" s="50"/>
      <c r="O83" s="50"/>
      <c r="P83" s="50"/>
      <c r="Q83" s="50"/>
      <c r="R83" s="50"/>
      <c r="S83" s="50"/>
      <c r="T83" s="50"/>
      <c r="U83" s="50"/>
      <c r="V83" s="40"/>
      <c r="W83" s="52"/>
      <c r="X83" s="52"/>
      <c r="Y83" s="53"/>
      <c r="Z83" s="53"/>
      <c r="AA83" s="53"/>
    </row>
    <row r="84" spans="1:27">
      <c r="A84" s="40"/>
      <c r="B84" s="40"/>
      <c r="C84" s="50"/>
      <c r="D84" s="51"/>
      <c r="E84" s="50"/>
      <c r="F84" s="50"/>
      <c r="G84" s="50"/>
      <c r="H84" s="50"/>
      <c r="I84" s="50"/>
      <c r="J84" s="50"/>
      <c r="K84" s="51"/>
      <c r="L84" s="50"/>
      <c r="M84" s="51"/>
      <c r="N84" s="50"/>
      <c r="O84" s="50"/>
      <c r="P84" s="50"/>
      <c r="Q84" s="50"/>
      <c r="R84" s="50"/>
      <c r="S84" s="50"/>
      <c r="T84" s="50"/>
      <c r="U84" s="50"/>
      <c r="V84" s="40"/>
      <c r="W84" s="52"/>
      <c r="X84" s="52"/>
      <c r="Y84" s="53"/>
      <c r="Z84" s="53"/>
      <c r="AA84" s="53"/>
    </row>
    <row r="85" spans="1:27">
      <c r="A85" s="40"/>
      <c r="B85" s="40"/>
      <c r="C85" s="50"/>
      <c r="D85" s="51"/>
      <c r="E85" s="50"/>
      <c r="F85" s="50"/>
      <c r="G85" s="50"/>
      <c r="H85" s="50"/>
      <c r="I85" s="50"/>
      <c r="J85" s="50"/>
      <c r="K85" s="51"/>
      <c r="L85" s="50"/>
      <c r="M85" s="51"/>
      <c r="N85" s="50"/>
      <c r="O85" s="50"/>
      <c r="P85" s="50"/>
      <c r="Q85" s="50"/>
      <c r="R85" s="50"/>
      <c r="S85" s="50"/>
      <c r="T85" s="50"/>
      <c r="U85" s="50"/>
      <c r="V85" s="40"/>
      <c r="W85" s="52"/>
      <c r="X85" s="52"/>
      <c r="Y85" s="53"/>
      <c r="Z85" s="53"/>
      <c r="AA85" s="53"/>
    </row>
    <row r="86" spans="1:27">
      <c r="A86" s="40"/>
      <c r="B86" s="40"/>
      <c r="C86" s="50"/>
      <c r="D86" s="51"/>
      <c r="E86" s="50"/>
      <c r="F86" s="50"/>
      <c r="G86" s="50"/>
      <c r="H86" s="50"/>
      <c r="I86" s="50"/>
      <c r="J86" s="50"/>
      <c r="K86" s="51"/>
      <c r="L86" s="50"/>
      <c r="M86" s="51"/>
      <c r="N86" s="50"/>
      <c r="O86" s="50"/>
      <c r="P86" s="50"/>
      <c r="Q86" s="50"/>
      <c r="R86" s="50"/>
      <c r="S86" s="50"/>
      <c r="T86" s="50"/>
      <c r="U86" s="50"/>
      <c r="V86" s="40"/>
      <c r="W86" s="52"/>
      <c r="X86" s="52"/>
      <c r="Y86" s="53"/>
      <c r="Z86" s="53"/>
      <c r="AA86" s="53"/>
    </row>
    <row r="87" spans="1:27">
      <c r="A87" s="40"/>
      <c r="B87" s="40"/>
      <c r="C87" s="50"/>
      <c r="D87" s="51"/>
      <c r="E87" s="50"/>
      <c r="F87" s="50"/>
      <c r="G87" s="50"/>
      <c r="H87" s="50"/>
      <c r="I87" s="50"/>
      <c r="J87" s="50"/>
      <c r="K87" s="51"/>
      <c r="L87" s="50"/>
      <c r="M87" s="51"/>
      <c r="N87" s="50"/>
      <c r="O87" s="50"/>
      <c r="P87" s="50"/>
      <c r="Q87" s="50"/>
      <c r="R87" s="50"/>
      <c r="S87" s="50"/>
      <c r="T87" s="50"/>
      <c r="U87" s="50"/>
      <c r="V87" s="40"/>
      <c r="W87" s="52"/>
      <c r="X87" s="52"/>
      <c r="Y87" s="53"/>
      <c r="Z87" s="53"/>
      <c r="AA87" s="53"/>
    </row>
    <row r="88" spans="1:27">
      <c r="A88" s="40"/>
      <c r="B88" s="40"/>
      <c r="C88" s="50"/>
      <c r="D88" s="51"/>
      <c r="E88" s="50"/>
      <c r="F88" s="50"/>
      <c r="G88" s="50"/>
      <c r="H88" s="50"/>
      <c r="I88" s="50"/>
      <c r="J88" s="50"/>
      <c r="K88" s="51"/>
      <c r="L88" s="50"/>
      <c r="M88" s="51"/>
      <c r="N88" s="50"/>
      <c r="O88" s="50"/>
      <c r="P88" s="50"/>
      <c r="Q88" s="50"/>
      <c r="R88" s="50"/>
      <c r="S88" s="50"/>
      <c r="T88" s="50"/>
      <c r="U88" s="50"/>
      <c r="V88" s="40"/>
      <c r="W88" s="52"/>
      <c r="X88" s="52"/>
      <c r="Y88" s="53"/>
      <c r="Z88" s="53"/>
      <c r="AA88" s="53"/>
    </row>
    <row r="89" spans="1:27">
      <c r="A89" s="40"/>
      <c r="B89" s="40"/>
      <c r="C89" s="50"/>
      <c r="D89" s="51"/>
      <c r="E89" s="50"/>
      <c r="F89" s="50"/>
      <c r="G89" s="50"/>
      <c r="H89" s="50"/>
      <c r="I89" s="50"/>
      <c r="J89" s="50"/>
      <c r="K89" s="51"/>
      <c r="L89" s="50"/>
      <c r="M89" s="51"/>
      <c r="N89" s="50"/>
      <c r="O89" s="50"/>
      <c r="P89" s="50"/>
      <c r="Q89" s="50"/>
      <c r="R89" s="50"/>
      <c r="S89" s="50"/>
      <c r="T89" s="50"/>
      <c r="U89" s="50"/>
      <c r="V89" s="40"/>
      <c r="W89" s="52"/>
      <c r="X89" s="52"/>
      <c r="Y89" s="53"/>
      <c r="Z89" s="53"/>
      <c r="AA89" s="53"/>
    </row>
    <row r="90" spans="1:27">
      <c r="A90" s="40"/>
      <c r="B90" s="40"/>
      <c r="C90" s="50"/>
      <c r="D90" s="50"/>
      <c r="E90" s="50"/>
      <c r="F90" s="50"/>
      <c r="G90" s="50"/>
      <c r="H90" s="50"/>
      <c r="I90" s="50"/>
      <c r="J90" s="50"/>
      <c r="K90" s="50"/>
      <c r="L90" s="50"/>
      <c r="M90" s="50"/>
      <c r="N90" s="50"/>
      <c r="O90" s="50"/>
      <c r="P90" s="50"/>
      <c r="Q90" s="50"/>
      <c r="R90" s="50"/>
      <c r="S90" s="50"/>
      <c r="T90" s="50"/>
      <c r="U90" s="50"/>
      <c r="V90" s="40"/>
      <c r="W90" s="40"/>
      <c r="X90" s="40"/>
      <c r="Y90" s="40"/>
      <c r="Z90" s="40"/>
      <c r="AA90" s="40"/>
    </row>
    <row r="91" spans="1:27" hidden="1">
      <c r="A91" s="40"/>
      <c r="B91" s="40"/>
      <c r="C91" s="50"/>
      <c r="D91" s="50"/>
      <c r="E91" s="50"/>
      <c r="F91" s="50"/>
      <c r="G91" s="50"/>
      <c r="H91" s="50"/>
      <c r="I91" s="50"/>
      <c r="J91" s="50"/>
      <c r="K91" s="50"/>
      <c r="L91" s="50"/>
      <c r="M91" s="50"/>
      <c r="N91" s="50"/>
      <c r="O91" s="50"/>
      <c r="P91" s="50"/>
      <c r="Q91" s="50"/>
      <c r="R91" s="50"/>
      <c r="S91" s="50"/>
      <c r="T91" s="50"/>
      <c r="U91" s="50"/>
      <c r="V91" s="40"/>
      <c r="W91" s="40"/>
      <c r="X91" s="40"/>
      <c r="Y91" s="40"/>
      <c r="Z91" s="40"/>
      <c r="AA91" s="40"/>
    </row>
    <row r="92" spans="1:27" hidden="1">
      <c r="C92" s="386">
        <v>0.109217999126256</v>
      </c>
      <c r="D92" s="387">
        <v>9.5238095238095233E-2</v>
      </c>
      <c r="E92" s="386">
        <v>0.1223091976516634</v>
      </c>
      <c r="F92" s="386">
        <v>0.11122233344455566</v>
      </c>
      <c r="G92" s="386">
        <v>8.2644628099173556E-2</v>
      </c>
      <c r="H92" s="386">
        <v>0.12531328320802007</v>
      </c>
      <c r="I92" s="386">
        <v>0.11122233344455566</v>
      </c>
      <c r="J92" s="386">
        <v>0.12422360248447206</v>
      </c>
      <c r="K92" s="386">
        <v>0.23474178403755869</v>
      </c>
      <c r="L92" s="388">
        <v>1.1627906976744187</v>
      </c>
      <c r="M92" s="388">
        <v>0.14285714285714285</v>
      </c>
      <c r="N92" s="391">
        <v>0.14285714285714285</v>
      </c>
      <c r="O92" s="388">
        <v>96.15384615384616</v>
      </c>
      <c r="P92" s="388">
        <v>0.25</v>
      </c>
      <c r="Q92" s="388">
        <v>1.1111111111111112</v>
      </c>
      <c r="R92" s="388">
        <v>0.10705491917353602</v>
      </c>
      <c r="S92" s="392">
        <v>0.18474043968224643</v>
      </c>
      <c r="T92" s="388">
        <v>0.17857142857142858</v>
      </c>
      <c r="U92" s="388">
        <v>0.2857142857142857</v>
      </c>
    </row>
    <row r="93" spans="1:27" hidden="1">
      <c r="C93" s="389"/>
      <c r="D93" s="389"/>
      <c r="E93" s="389"/>
      <c r="F93" s="389"/>
      <c r="G93" s="389"/>
      <c r="H93" s="389"/>
      <c r="I93" s="389"/>
      <c r="J93" s="389"/>
      <c r="K93" s="390"/>
    </row>
  </sheetData>
  <phoneticPr fontId="0" type="noConversion"/>
  <hyperlinks>
    <hyperlink ref="D1" location="INDICE!A40" display="VOLVER A INDICE"/>
  </hyperlinks>
  <pageMargins left="0.75" right="0.75" top="1" bottom="1" header="0" footer="0"/>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Y50"/>
  <sheetViews>
    <sheetView showGridLines="0" zoomScale="85" workbookViewId="0">
      <selection activeCell="J30" sqref="J30"/>
    </sheetView>
  </sheetViews>
  <sheetFormatPr baseColWidth="10" defaultRowHeight="12.75"/>
  <cols>
    <col min="1" max="1" width="2.28515625" style="260" customWidth="1"/>
    <col min="2" max="2" width="28.42578125" style="260" customWidth="1"/>
    <col min="3" max="13" width="9.85546875" style="260" customWidth="1"/>
    <col min="14" max="14" width="11.140625" style="260" customWidth="1"/>
    <col min="15" max="16" width="9.5703125" style="3" customWidth="1"/>
    <col min="17" max="25" width="11.42578125" style="3"/>
    <col min="26" max="16384" width="11.42578125" style="260"/>
  </cols>
  <sheetData>
    <row r="1" spans="1:24">
      <c r="A1" s="1176"/>
      <c r="B1" s="1175"/>
      <c r="C1" s="1179"/>
      <c r="D1" s="1179"/>
      <c r="E1" s="1179"/>
      <c r="F1" s="1179"/>
      <c r="G1" s="1179"/>
      <c r="H1" s="1179"/>
      <c r="I1" s="1179"/>
      <c r="J1" s="1179"/>
      <c r="K1" s="1175"/>
      <c r="L1" s="1175"/>
      <c r="M1" s="1175"/>
      <c r="N1" s="1175"/>
      <c r="O1" s="1175"/>
      <c r="P1" s="1175"/>
      <c r="R1" s="1175"/>
      <c r="S1" s="1175"/>
      <c r="T1" s="1175"/>
      <c r="U1" s="1175"/>
      <c r="V1" s="1175"/>
      <c r="W1" s="1175"/>
    </row>
    <row r="2" spans="1:24">
      <c r="A2" s="1176"/>
      <c r="B2" s="557"/>
      <c r="C2" s="558"/>
      <c r="D2" s="558"/>
      <c r="E2" s="558"/>
      <c r="F2" s="558"/>
      <c r="G2" s="558"/>
      <c r="H2" s="558"/>
      <c r="I2" s="558"/>
      <c r="J2" s="558"/>
      <c r="K2" s="558"/>
      <c r="L2" s="558"/>
      <c r="M2" s="558"/>
      <c r="N2" s="558"/>
      <c r="O2" s="558"/>
      <c r="P2" s="558"/>
      <c r="Q2" s="559" t="s">
        <v>606</v>
      </c>
      <c r="R2" s="558"/>
      <c r="S2" s="558"/>
      <c r="T2" s="558"/>
      <c r="U2" s="558"/>
      <c r="V2" s="558"/>
      <c r="W2" s="558"/>
    </row>
    <row r="3" spans="1:24" ht="18">
      <c r="A3" s="1000"/>
      <c r="B3" s="1416" t="s">
        <v>397</v>
      </c>
      <c r="C3" s="1416"/>
      <c r="D3" s="1416"/>
      <c r="E3" s="1416"/>
      <c r="F3" s="1416"/>
      <c r="G3" s="1166"/>
      <c r="H3" s="1166"/>
      <c r="I3" s="1166"/>
      <c r="J3" s="1166"/>
      <c r="K3" s="1166"/>
      <c r="L3" s="1166"/>
      <c r="M3" s="1166"/>
      <c r="N3" s="1166"/>
      <c r="O3" s="1166"/>
      <c r="P3" s="1166"/>
      <c r="Q3" s="1166"/>
      <c r="R3" s="1166"/>
      <c r="S3" s="1166"/>
      <c r="T3" s="1166"/>
      <c r="U3" s="1166"/>
      <c r="V3" s="1166"/>
      <c r="W3" s="1166"/>
    </row>
    <row r="4" spans="1:24" ht="16.5" thickBot="1">
      <c r="A4" s="1167"/>
      <c r="B4" s="1417" t="s">
        <v>398</v>
      </c>
      <c r="C4" s="1417"/>
      <c r="D4" s="1417"/>
      <c r="E4" s="1417"/>
      <c r="F4" s="1417"/>
      <c r="G4" s="1168"/>
      <c r="H4" s="1168"/>
      <c r="I4" s="1168"/>
      <c r="J4" s="1168"/>
      <c r="K4" s="1168"/>
      <c r="L4" s="1168"/>
      <c r="M4" s="1168"/>
      <c r="N4" s="1168"/>
      <c r="O4" s="1168"/>
      <c r="P4" s="1168"/>
      <c r="Q4" s="1168"/>
      <c r="R4" s="1168"/>
      <c r="S4" s="1168"/>
      <c r="T4" s="1168"/>
      <c r="U4" s="1168"/>
      <c r="V4" s="1168"/>
      <c r="W4" s="1168"/>
    </row>
    <row r="5" spans="1:24" ht="16.5" thickBot="1">
      <c r="A5" s="1169"/>
      <c r="B5" s="1180"/>
      <c r="C5" s="1181"/>
      <c r="D5" s="1181"/>
      <c r="E5" s="1181"/>
      <c r="F5" s="1181"/>
      <c r="G5" s="1182"/>
      <c r="H5" s="1182"/>
      <c r="I5" s="1182"/>
      <c r="J5" s="1182"/>
      <c r="K5" s="1182"/>
      <c r="L5" s="1182"/>
      <c r="M5" s="1183"/>
      <c r="N5" s="1183"/>
      <c r="O5" s="1183"/>
      <c r="P5" s="1183"/>
      <c r="Q5" s="1183"/>
      <c r="R5" s="1183"/>
      <c r="S5" s="1183"/>
      <c r="T5" s="1183"/>
      <c r="U5" s="1313"/>
      <c r="V5" s="1313"/>
      <c r="W5" s="1183"/>
      <c r="X5" s="1184"/>
    </row>
    <row r="6" spans="1:24">
      <c r="A6" s="1185"/>
      <c r="B6" s="1186" t="s">
        <v>399</v>
      </c>
      <c r="C6" s="1187">
        <v>1999</v>
      </c>
      <c r="D6" s="1187"/>
      <c r="E6" s="1187">
        <v>2000</v>
      </c>
      <c r="F6" s="1187"/>
      <c r="G6" s="1187">
        <v>2001</v>
      </c>
      <c r="H6" s="1187"/>
      <c r="I6" s="1187">
        <v>2002</v>
      </c>
      <c r="J6" s="1187"/>
      <c r="K6" s="1187">
        <v>2003</v>
      </c>
      <c r="L6" s="1187"/>
      <c r="M6" s="1187">
        <v>2004</v>
      </c>
      <c r="N6" s="1188"/>
      <c r="O6" s="1187">
        <v>2005</v>
      </c>
      <c r="P6" s="1188"/>
      <c r="Q6" s="1189">
        <v>2006</v>
      </c>
      <c r="R6" s="1189"/>
      <c r="S6" s="1186">
        <v>2007</v>
      </c>
      <c r="T6" s="1188"/>
      <c r="U6" s="1310">
        <v>2008</v>
      </c>
      <c r="V6" s="1311"/>
      <c r="W6" s="1312">
        <v>2009</v>
      </c>
      <c r="X6" s="1311"/>
    </row>
    <row r="7" spans="1:24">
      <c r="A7" s="1190"/>
      <c r="B7" s="1191" t="s">
        <v>95</v>
      </c>
      <c r="C7" s="1192">
        <v>66988</v>
      </c>
      <c r="D7" s="1193">
        <v>0.26500000000000001</v>
      </c>
      <c r="E7" s="1192">
        <v>69835</v>
      </c>
      <c r="F7" s="1193">
        <v>0.27610000000000001</v>
      </c>
      <c r="G7" s="1192">
        <v>67320</v>
      </c>
      <c r="H7" s="1193">
        <v>0.27</v>
      </c>
      <c r="I7" s="1192">
        <v>68996</v>
      </c>
      <c r="J7" s="1193">
        <v>0.2646</v>
      </c>
      <c r="K7" s="1192">
        <v>70365</v>
      </c>
      <c r="L7" s="1193">
        <v>0.26800000000000002</v>
      </c>
      <c r="M7" s="1192">
        <v>73459.315952227378</v>
      </c>
      <c r="N7" s="1194">
        <v>0.25772670480207505</v>
      </c>
      <c r="O7" s="1192">
        <v>80206.461333364161</v>
      </c>
      <c r="P7" s="1194">
        <v>0.27148569624383712</v>
      </c>
      <c r="Q7" s="1192">
        <v>81525.950917679933</v>
      </c>
      <c r="R7" s="1195">
        <v>0.2697508421314479</v>
      </c>
      <c r="S7" s="1196">
        <v>86923.772350387182</v>
      </c>
      <c r="T7" s="1194">
        <v>0.27690138901810135</v>
      </c>
      <c r="U7" s="1196">
        <v>89947.43432065571</v>
      </c>
      <c r="V7" s="1194">
        <v>0.28378675830117783</v>
      </c>
      <c r="W7" s="1192">
        <f>CUADRO5!C29</f>
        <v>86166.660186545327</v>
      </c>
      <c r="X7" s="1194">
        <f>W7/$W$10</f>
        <v>0.36004226171841341</v>
      </c>
    </row>
    <row r="8" spans="1:24">
      <c r="A8" s="1176"/>
      <c r="B8" s="1191" t="s">
        <v>400</v>
      </c>
      <c r="C8" s="1192">
        <v>68838</v>
      </c>
      <c r="D8" s="1193">
        <v>0.27300000000000002</v>
      </c>
      <c r="E8" s="1192">
        <v>74210</v>
      </c>
      <c r="F8" s="1193">
        <v>0.29339999999999999</v>
      </c>
      <c r="G8" s="1192">
        <v>75289</v>
      </c>
      <c r="H8" s="1193">
        <v>0.30199999999999999</v>
      </c>
      <c r="I8" s="1192">
        <v>75672</v>
      </c>
      <c r="J8" s="1193">
        <v>0.29020000000000001</v>
      </c>
      <c r="K8" s="1192">
        <v>75584</v>
      </c>
      <c r="L8" s="1193">
        <v>0.28699999999999998</v>
      </c>
      <c r="M8" s="1192">
        <v>78536.906260316391</v>
      </c>
      <c r="N8" s="1194">
        <v>0.27554106369550357</v>
      </c>
      <c r="O8" s="1192">
        <v>78634.325018109259</v>
      </c>
      <c r="P8" s="1194">
        <v>0.26616427306867385</v>
      </c>
      <c r="Q8" s="1192">
        <v>85627.638450679166</v>
      </c>
      <c r="R8" s="1195">
        <v>0.28332239393467451</v>
      </c>
      <c r="S8" s="1196">
        <v>91747.576933569479</v>
      </c>
      <c r="T8" s="1194">
        <v>0.29226793551416025</v>
      </c>
      <c r="U8" s="1196">
        <v>92581.754915774291</v>
      </c>
      <c r="V8" s="1194">
        <v>0.29209811601427998</v>
      </c>
      <c r="W8" s="1192">
        <f>CUADRO5!D29</f>
        <v>89536.291420555222</v>
      </c>
      <c r="X8" s="1194">
        <f>W8/$W$10</f>
        <v>0.37412206529932757</v>
      </c>
    </row>
    <row r="9" spans="1:24">
      <c r="A9" s="1176"/>
      <c r="B9" s="1191" t="s">
        <v>401</v>
      </c>
      <c r="C9" s="1192">
        <v>52669</v>
      </c>
      <c r="D9" s="1193">
        <v>0.20899999999999999</v>
      </c>
      <c r="E9" s="1192">
        <v>54257</v>
      </c>
      <c r="F9" s="1193">
        <v>0.2145</v>
      </c>
      <c r="G9" s="1192">
        <v>56282</v>
      </c>
      <c r="H9" s="1193">
        <v>0.22600000000000001</v>
      </c>
      <c r="I9" s="1192">
        <v>56190</v>
      </c>
      <c r="J9" s="1193">
        <v>0.215</v>
      </c>
      <c r="K9" s="1192">
        <v>56172</v>
      </c>
      <c r="L9" s="1193">
        <v>0.214</v>
      </c>
      <c r="M9" s="1192">
        <v>58868.26968253668</v>
      </c>
      <c r="N9" s="1194">
        <v>0.20653507272715144</v>
      </c>
      <c r="O9" s="1192">
        <v>59022.465896192669</v>
      </c>
      <c r="P9" s="1194">
        <v>0.19978135154543292</v>
      </c>
      <c r="Q9" s="1192">
        <v>60034.386626258405</v>
      </c>
      <c r="R9" s="1195">
        <v>0.19864014055635129</v>
      </c>
      <c r="S9" s="1196">
        <v>62267.003601618948</v>
      </c>
      <c r="T9" s="1194">
        <v>0.19835563184927291</v>
      </c>
      <c r="U9" s="1196">
        <v>62373.071224275154</v>
      </c>
      <c r="V9" s="1194">
        <v>0.19678884474818989</v>
      </c>
      <c r="W9" s="1192">
        <f>CUADRO5!E29</f>
        <v>63620.787154255406</v>
      </c>
      <c r="X9" s="1194">
        <f>W9/$W$10</f>
        <v>0.26583567298225902</v>
      </c>
    </row>
    <row r="10" spans="1:24" ht="13.5" thickBot="1">
      <c r="A10" s="1176"/>
      <c r="B10" s="1178" t="s">
        <v>100</v>
      </c>
      <c r="C10" s="1197">
        <f>SUM(C7:C9)</f>
        <v>188495</v>
      </c>
      <c r="D10" s="1198"/>
      <c r="E10" s="1198">
        <f>SUM(E7:E9)</f>
        <v>198302</v>
      </c>
      <c r="F10" s="1198"/>
      <c r="G10" s="1199">
        <f>SUM(G7:G9)</f>
        <v>198891</v>
      </c>
      <c r="H10" s="1199"/>
      <c r="I10" s="1199">
        <f>SUM(I7:I9)</f>
        <v>200858</v>
      </c>
      <c r="J10" s="1199"/>
      <c r="K10" s="1199">
        <f>SUM(K7:K9)</f>
        <v>202121</v>
      </c>
      <c r="L10" s="1199"/>
      <c r="M10" s="1199">
        <f>SUM(M7:M9)</f>
        <v>210864.49189508046</v>
      </c>
      <c r="N10" s="1200"/>
      <c r="O10" s="1199">
        <f>SUM(O7:O9)</f>
        <v>217863.2522476661</v>
      </c>
      <c r="P10" s="1200"/>
      <c r="Q10" s="1198">
        <f>SUM(Q7:Q9)</f>
        <v>227187.9759946175</v>
      </c>
      <c r="R10" s="1198"/>
      <c r="S10" s="1201">
        <f>SUM(S7:S9)</f>
        <v>240938.35288557562</v>
      </c>
      <c r="T10" s="1200"/>
      <c r="U10" s="1201">
        <f>SUM(U7:U9)</f>
        <v>244902.26046070515</v>
      </c>
      <c r="V10" s="1200"/>
      <c r="W10" s="1199">
        <f>SUM(W7:W9)</f>
        <v>239323.73876135595</v>
      </c>
      <c r="X10" s="1200"/>
    </row>
    <row r="11" spans="1:24">
      <c r="A11" s="1190"/>
      <c r="B11" s="897" t="s">
        <v>402</v>
      </c>
      <c r="C11" s="897"/>
      <c r="D11" s="1202"/>
      <c r="E11" s="1203"/>
      <c r="F11" s="1202"/>
      <c r="G11" s="897"/>
      <c r="H11" s="1202"/>
      <c r="I11" s="897"/>
      <c r="J11" s="1202"/>
      <c r="K11" s="897"/>
      <c r="L11" s="1202"/>
      <c r="M11" s="897"/>
      <c r="N11" s="897"/>
      <c r="O11" s="897"/>
      <c r="P11" s="897"/>
      <c r="Q11" s="897"/>
      <c r="R11" s="897"/>
      <c r="S11" s="897"/>
      <c r="T11" s="897"/>
      <c r="U11" s="897"/>
      <c r="V11" s="897"/>
      <c r="W11" s="897"/>
    </row>
    <row r="12" spans="1:24">
      <c r="A12" s="1190"/>
      <c r="B12" s="897"/>
      <c r="C12" s="897"/>
      <c r="D12" s="897"/>
      <c r="E12" s="897"/>
      <c r="F12" s="897"/>
      <c r="G12" s="897"/>
      <c r="H12" s="897"/>
      <c r="I12" s="1203"/>
      <c r="J12" s="897"/>
      <c r="K12" s="897"/>
      <c r="L12" s="897"/>
      <c r="M12" s="897"/>
      <c r="N12" s="897"/>
      <c r="O12" s="897"/>
      <c r="P12" s="897"/>
      <c r="Q12" s="897"/>
      <c r="R12" s="897"/>
      <c r="S12" s="897"/>
      <c r="T12" s="897"/>
      <c r="U12" s="897"/>
      <c r="V12" s="897"/>
      <c r="W12" s="897"/>
    </row>
    <row r="13" spans="1:24">
      <c r="A13" s="1190"/>
      <c r="B13" s="897"/>
      <c r="C13" s="1203"/>
      <c r="D13" s="897"/>
      <c r="E13" s="1203"/>
      <c r="F13" s="897"/>
      <c r="G13" s="1203"/>
      <c r="H13" s="897"/>
      <c r="I13" s="1203"/>
      <c r="J13" s="897"/>
      <c r="K13" s="1203"/>
      <c r="L13" s="897"/>
      <c r="M13" s="897"/>
      <c r="N13" s="897"/>
      <c r="O13" s="897"/>
      <c r="P13" s="897"/>
      <c r="Q13" s="897"/>
      <c r="R13" s="897"/>
      <c r="S13" s="897"/>
      <c r="T13" s="897"/>
      <c r="U13" s="897"/>
      <c r="V13" s="897"/>
      <c r="W13" s="897"/>
    </row>
    <row r="14" spans="1:24">
      <c r="A14" s="1190"/>
      <c r="B14" s="557"/>
      <c r="C14" s="558"/>
      <c r="D14" s="558"/>
      <c r="E14" s="558"/>
      <c r="F14" s="558"/>
      <c r="G14" s="558"/>
      <c r="H14" s="558"/>
      <c r="I14" s="558"/>
      <c r="J14" s="558"/>
      <c r="K14" s="558"/>
      <c r="L14" s="558"/>
      <c r="M14" s="558"/>
      <c r="N14" s="558"/>
      <c r="O14" s="558"/>
      <c r="P14" s="558"/>
      <c r="Q14" s="558"/>
      <c r="R14" s="558"/>
      <c r="S14" s="558"/>
      <c r="T14" s="558"/>
      <c r="U14" s="558"/>
      <c r="V14" s="558"/>
      <c r="W14" s="558"/>
    </row>
    <row r="15" spans="1:24" ht="18">
      <c r="A15" s="1000"/>
      <c r="B15" s="1416" t="s">
        <v>403</v>
      </c>
      <c r="C15" s="1416"/>
      <c r="D15" s="1416"/>
      <c r="E15" s="1416"/>
      <c r="F15" s="1416"/>
      <c r="G15" s="1166"/>
      <c r="H15" s="1166"/>
      <c r="I15" s="1166"/>
      <c r="J15" s="1166"/>
      <c r="K15" s="1166"/>
      <c r="L15" s="1166"/>
      <c r="M15" s="1166"/>
      <c r="N15" s="1166"/>
      <c r="O15" s="1166"/>
      <c r="P15" s="1166"/>
      <c r="Q15" s="1166"/>
      <c r="R15" s="1166"/>
      <c r="S15" s="1166"/>
      <c r="T15" s="1166"/>
      <c r="U15" s="1166"/>
      <c r="V15" s="1166"/>
      <c r="W15" s="1166"/>
    </row>
    <row r="16" spans="1:24" ht="16.5" thickBot="1">
      <c r="A16" s="1167"/>
      <c r="B16" s="1417" t="s">
        <v>404</v>
      </c>
      <c r="C16" s="1417"/>
      <c r="D16" s="1417"/>
      <c r="E16" s="1417"/>
      <c r="F16" s="1417"/>
      <c r="G16" s="1168"/>
      <c r="H16" s="1168"/>
      <c r="I16" s="1168"/>
      <c r="J16" s="1168"/>
      <c r="K16" s="1168"/>
      <c r="L16" s="1168"/>
      <c r="M16" s="1168"/>
      <c r="N16" s="1168"/>
      <c r="O16" s="1168"/>
      <c r="P16" s="1168"/>
      <c r="Q16" s="1168"/>
      <c r="R16" s="1168"/>
      <c r="S16" s="1168"/>
      <c r="T16" s="1168"/>
      <c r="U16" s="1168"/>
      <c r="V16" s="1168"/>
      <c r="W16" s="1168"/>
    </row>
    <row r="17" spans="1:24" ht="16.5" thickBot="1">
      <c r="A17" s="1169"/>
      <c r="B17" s="1170"/>
      <c r="C17" s="1171"/>
      <c r="D17" s="1171"/>
      <c r="E17" s="1171"/>
      <c r="F17" s="1171"/>
      <c r="G17" s="1172"/>
      <c r="H17" s="1172"/>
      <c r="I17" s="1172"/>
      <c r="J17" s="1172"/>
      <c r="K17" s="1172"/>
      <c r="L17" s="1172"/>
      <c r="M17" s="1173"/>
      <c r="N17" s="1335"/>
      <c r="O17" s="1335"/>
      <c r="P17" s="1335"/>
      <c r="Q17" s="1335"/>
      <c r="R17" s="1335"/>
      <c r="S17" s="1335"/>
      <c r="T17" s="1335"/>
      <c r="U17" s="394"/>
      <c r="V17" s="394"/>
      <c r="W17" s="1335"/>
      <c r="X17" s="1335"/>
    </row>
    <row r="18" spans="1:24">
      <c r="A18" s="1169"/>
      <c r="B18" s="1338" t="s">
        <v>405</v>
      </c>
      <c r="C18" s="1339">
        <v>1999</v>
      </c>
      <c r="D18" s="1340">
        <v>2000</v>
      </c>
      <c r="E18" s="1339">
        <v>2001</v>
      </c>
      <c r="F18" s="1340">
        <v>2002</v>
      </c>
      <c r="G18" s="1339">
        <v>2003</v>
      </c>
      <c r="H18" s="1340">
        <v>2004</v>
      </c>
      <c r="I18" s="1339">
        <v>2005</v>
      </c>
      <c r="J18" s="1340">
        <v>2006</v>
      </c>
      <c r="K18" s="1339">
        <v>2007</v>
      </c>
      <c r="L18" s="1340">
        <v>2008</v>
      </c>
      <c r="M18" s="1341">
        <v>2009</v>
      </c>
      <c r="N18" s="1332"/>
      <c r="O18" s="1331"/>
      <c r="P18" s="1332"/>
      <c r="Q18" s="1332"/>
      <c r="R18" s="1332"/>
      <c r="S18" s="1331"/>
      <c r="T18" s="1332"/>
      <c r="U18" s="1331"/>
      <c r="V18" s="1332"/>
      <c r="W18" s="1331"/>
      <c r="X18" s="1332"/>
    </row>
    <row r="19" spans="1:24">
      <c r="A19" s="1190"/>
      <c r="B19" s="1174" t="s">
        <v>812</v>
      </c>
      <c r="C19" s="1342">
        <v>177627</v>
      </c>
      <c r="D19" s="1343">
        <v>172937</v>
      </c>
      <c r="E19" s="1342">
        <v>162964</v>
      </c>
      <c r="F19" s="1343">
        <v>172073</v>
      </c>
      <c r="G19" s="1342">
        <v>177969</v>
      </c>
      <c r="H19" s="1343">
        <v>206149.64292894548</v>
      </c>
      <c r="I19" s="1342">
        <v>202470.97977233792</v>
      </c>
      <c r="J19" s="1343">
        <v>206548.81798173679</v>
      </c>
      <c r="K19" s="1342">
        <v>231407.20710380105</v>
      </c>
      <c r="L19" s="1343">
        <v>225470.60048185301</v>
      </c>
      <c r="M19" s="1346">
        <f>CUADRO3!D16+CUADRO4!D30-CUADRO4!E30</f>
        <v>204886.38187718764</v>
      </c>
      <c r="N19" s="1334"/>
      <c r="O19" s="1333"/>
      <c r="P19" s="1334"/>
      <c r="Q19" s="1333"/>
      <c r="R19" s="1334"/>
      <c r="S19" s="1333"/>
      <c r="T19" s="1334"/>
      <c r="U19" s="1333"/>
      <c r="V19" s="1334"/>
      <c r="W19" s="1333"/>
      <c r="X19" s="1334"/>
    </row>
    <row r="20" spans="1:24">
      <c r="A20" s="1176"/>
      <c r="B20" s="1177" t="s">
        <v>813</v>
      </c>
      <c r="C20" s="1342">
        <v>252315</v>
      </c>
      <c r="D20" s="1343">
        <v>252948</v>
      </c>
      <c r="E20" s="1342">
        <v>248145</v>
      </c>
      <c r="F20" s="1343">
        <v>257841</v>
      </c>
      <c r="G20" s="1342">
        <v>260462</v>
      </c>
      <c r="H20" s="1343">
        <v>274351.09117164084</v>
      </c>
      <c r="I20" s="1342">
        <v>288130.36977731949</v>
      </c>
      <c r="J20" s="1343">
        <v>290727.76629557781</v>
      </c>
      <c r="K20" s="1342">
        <v>304796.64569840155</v>
      </c>
      <c r="L20" s="1343">
        <v>313541.01276639989</v>
      </c>
      <c r="M20" s="1346">
        <f>CUADRO3!G16+CUADRO4!D30-CUADRO4!E30-CUADRO4!F30</f>
        <v>301594.74168118299</v>
      </c>
      <c r="N20" s="1334"/>
      <c r="O20" s="1333"/>
      <c r="P20" s="1334"/>
      <c r="Q20" s="1333"/>
      <c r="R20" s="1334"/>
      <c r="S20" s="1333"/>
      <c r="T20" s="1334"/>
      <c r="U20" s="1333"/>
      <c r="V20" s="1334"/>
      <c r="W20" s="1333"/>
      <c r="X20" s="1334"/>
    </row>
    <row r="21" spans="1:24" ht="13.5" thickBot="1">
      <c r="A21" s="1176"/>
      <c r="B21" s="1204" t="s">
        <v>814</v>
      </c>
      <c r="C21" s="1344">
        <f>C19/C20</f>
        <v>0.70398906129243211</v>
      </c>
      <c r="D21" s="1344">
        <f t="shared" ref="D21:M21" si="0">D19/D20</f>
        <v>0.68368597498300043</v>
      </c>
      <c r="E21" s="1344">
        <f t="shared" si="0"/>
        <v>0.65672892865058741</v>
      </c>
      <c r="F21" s="1344">
        <f t="shared" si="0"/>
        <v>0.66736089295340928</v>
      </c>
      <c r="G21" s="1344">
        <f t="shared" si="0"/>
        <v>0.68328201426695645</v>
      </c>
      <c r="H21" s="1344">
        <f t="shared" si="0"/>
        <v>0.75140813928811079</v>
      </c>
      <c r="I21" s="1344">
        <f t="shared" si="0"/>
        <v>0.70270613933830328</v>
      </c>
      <c r="J21" s="1344">
        <f t="shared" si="0"/>
        <v>0.71045439042015079</v>
      </c>
      <c r="K21" s="1344">
        <f t="shared" si="0"/>
        <v>0.75921835220188127</v>
      </c>
      <c r="L21" s="1344">
        <f t="shared" si="0"/>
        <v>0.71911039162789614</v>
      </c>
      <c r="M21" s="1345">
        <f t="shared" si="0"/>
        <v>0.67934334907527616</v>
      </c>
      <c r="N21" s="1336"/>
      <c r="O21" s="1333"/>
      <c r="P21" s="1336"/>
      <c r="Q21" s="1333"/>
      <c r="R21" s="1336"/>
      <c r="S21" s="1333"/>
      <c r="T21" s="1336"/>
      <c r="U21" s="1333"/>
      <c r="V21" s="1336"/>
      <c r="W21" s="1333"/>
      <c r="X21" s="1336"/>
    </row>
    <row r="22" spans="1:24" ht="53.25" customHeight="1">
      <c r="A22" s="1176"/>
      <c r="B22" s="1415" t="s">
        <v>816</v>
      </c>
      <c r="C22" s="1415"/>
      <c r="D22" s="1415"/>
      <c r="E22" s="1415"/>
      <c r="F22" s="1415"/>
      <c r="G22" s="1415"/>
      <c r="H22" s="1415"/>
      <c r="I22" s="1415"/>
      <c r="J22" s="1415"/>
      <c r="K22" s="1415"/>
      <c r="L22" s="1415"/>
      <c r="M22" s="1415"/>
      <c r="N22" s="1337"/>
      <c r="O22" s="1337"/>
      <c r="P22" s="1175"/>
      <c r="Q22" s="1175"/>
      <c r="R22" s="1175"/>
      <c r="S22" s="1175"/>
      <c r="T22" s="1175"/>
      <c r="U22" s="1175"/>
      <c r="V22" s="1175"/>
      <c r="W22" s="1175"/>
    </row>
    <row r="23" spans="1:24">
      <c r="A23" s="1176"/>
      <c r="B23" s="1175" t="s">
        <v>815</v>
      </c>
      <c r="C23" s="1175"/>
      <c r="D23" s="1175"/>
      <c r="E23" s="1175"/>
      <c r="F23" s="1175"/>
      <c r="G23" s="1175"/>
      <c r="H23" s="1175"/>
      <c r="I23" s="1175"/>
      <c r="J23" s="1175"/>
      <c r="K23" s="1175"/>
      <c r="L23" s="1175"/>
      <c r="M23" s="1175"/>
      <c r="N23" s="1175"/>
      <c r="O23" s="1175"/>
      <c r="P23" s="1175"/>
      <c r="Q23" s="1175"/>
      <c r="R23" s="1175"/>
      <c r="S23" s="1175"/>
      <c r="T23" s="1175"/>
      <c r="U23" s="1175"/>
      <c r="V23" s="1175"/>
      <c r="W23" s="1175"/>
    </row>
    <row r="24" spans="1:24">
      <c r="A24" s="1176"/>
      <c r="C24" s="1175"/>
      <c r="D24" s="1175"/>
      <c r="E24" s="1175"/>
      <c r="F24" s="1175"/>
      <c r="G24" s="1175"/>
      <c r="H24" s="1175"/>
      <c r="I24" s="1175"/>
      <c r="J24" s="1175"/>
      <c r="K24" s="1175"/>
      <c r="L24" s="1175"/>
      <c r="M24" s="1175"/>
      <c r="N24" s="1175"/>
      <c r="O24" s="1175"/>
      <c r="P24" s="1175"/>
      <c r="Q24" s="1175"/>
      <c r="R24" s="1175"/>
      <c r="S24" s="1175"/>
      <c r="T24" s="1175"/>
      <c r="U24" s="1175"/>
      <c r="V24" s="1175"/>
      <c r="W24" s="1175"/>
    </row>
    <row r="25" spans="1:24">
      <c r="A25" s="1176"/>
      <c r="B25" s="1175"/>
      <c r="C25" s="1175"/>
      <c r="D25" s="1175"/>
      <c r="E25" s="1175"/>
      <c r="F25" s="1175"/>
      <c r="G25" s="1175"/>
      <c r="H25" s="1175"/>
      <c r="I25" s="1175"/>
      <c r="J25" s="1175"/>
      <c r="K25" s="1175"/>
      <c r="L25" s="1175"/>
      <c r="M25" s="1175"/>
      <c r="N25" s="1175"/>
      <c r="O25" s="1175"/>
      <c r="P25" s="1175"/>
      <c r="Q25" s="1175"/>
      <c r="R25" s="1175"/>
      <c r="S25" s="1175"/>
      <c r="T25" s="1175"/>
      <c r="U25" s="1175"/>
      <c r="V25" s="1175"/>
      <c r="W25" s="1175"/>
    </row>
    <row r="26" spans="1:24">
      <c r="A26" s="1176"/>
      <c r="B26" s="1175"/>
      <c r="C26" s="1175"/>
      <c r="D26" s="1175"/>
      <c r="E26" s="1175"/>
      <c r="F26" s="1175"/>
      <c r="G26" s="1175"/>
      <c r="H26" s="1175"/>
      <c r="I26" s="1175"/>
      <c r="J26" s="1175"/>
      <c r="K26" s="1175"/>
      <c r="L26" s="1175"/>
      <c r="M26" s="1175"/>
      <c r="N26" s="1175"/>
      <c r="O26" s="1175"/>
      <c r="P26" s="1175"/>
      <c r="Q26" s="1175"/>
      <c r="R26" s="1175"/>
      <c r="S26" s="1175"/>
      <c r="T26" s="1175"/>
      <c r="U26" s="1175"/>
      <c r="V26" s="1175"/>
      <c r="W26" s="1175"/>
    </row>
    <row r="27" spans="1:24">
      <c r="A27" s="1176"/>
      <c r="B27" s="1175"/>
      <c r="C27" s="1175"/>
      <c r="D27" s="1175"/>
      <c r="E27" s="1175"/>
      <c r="F27" s="1175"/>
      <c r="G27" s="1175"/>
      <c r="H27" s="1175"/>
      <c r="I27" s="1175"/>
      <c r="J27" s="1175"/>
      <c r="K27" s="1175"/>
      <c r="L27" s="1175"/>
      <c r="M27" s="1175"/>
      <c r="N27" s="1175"/>
      <c r="O27" s="1175"/>
      <c r="P27" s="1175"/>
      <c r="Q27" s="1175"/>
      <c r="R27" s="1175"/>
      <c r="S27" s="1175"/>
      <c r="T27" s="1175"/>
      <c r="U27" s="1175"/>
      <c r="V27" s="1175"/>
      <c r="W27" s="1175"/>
    </row>
    <row r="28" spans="1:24">
      <c r="A28" s="1176"/>
      <c r="B28" s="1175"/>
      <c r="C28" s="1175"/>
      <c r="D28" s="1175"/>
      <c r="E28" s="1175"/>
      <c r="F28" s="1175"/>
      <c r="G28" s="1175"/>
      <c r="H28" s="1175"/>
      <c r="I28" s="1175"/>
      <c r="J28" s="1175"/>
      <c r="K28" s="1175"/>
      <c r="L28" s="1175"/>
      <c r="M28" s="1175"/>
      <c r="N28" s="1175"/>
      <c r="O28" s="1175"/>
      <c r="P28" s="1175"/>
      <c r="Q28" s="1175"/>
      <c r="R28" s="1175"/>
      <c r="S28" s="1175"/>
      <c r="T28" s="1175"/>
      <c r="U28" s="1175"/>
      <c r="V28" s="1175"/>
      <c r="W28" s="1175"/>
    </row>
    <row r="29" spans="1:24">
      <c r="A29" s="1175"/>
      <c r="B29" s="1175"/>
      <c r="C29" s="1175"/>
      <c r="D29" s="1175"/>
      <c r="E29" s="1175"/>
      <c r="F29" s="1175"/>
      <c r="G29" s="1175"/>
      <c r="H29" s="1175"/>
      <c r="I29" s="1175"/>
      <c r="J29" s="1175"/>
      <c r="K29" s="1175"/>
      <c r="L29" s="1175"/>
      <c r="M29" s="1175"/>
      <c r="N29" s="1175"/>
      <c r="O29" s="1175"/>
      <c r="P29" s="1175"/>
      <c r="Q29" s="1175"/>
      <c r="R29" s="1175"/>
      <c r="S29" s="1175"/>
      <c r="T29" s="1175"/>
      <c r="U29" s="1175"/>
      <c r="V29" s="1175"/>
      <c r="W29" s="1175"/>
    </row>
    <row r="30" spans="1:24">
      <c r="A30" s="1175"/>
      <c r="B30" s="1175"/>
      <c r="C30" s="1175"/>
      <c r="D30" s="1175"/>
      <c r="E30" s="1175"/>
      <c r="F30" s="1175"/>
      <c r="G30" s="1175"/>
      <c r="H30" s="1175"/>
      <c r="I30" s="1175"/>
      <c r="J30" s="1175"/>
      <c r="K30" s="1175"/>
      <c r="L30" s="1175"/>
      <c r="M30" s="1175"/>
      <c r="N30" s="1175"/>
      <c r="O30" s="1175"/>
      <c r="P30" s="1175"/>
      <c r="Q30" s="1175"/>
      <c r="R30" s="1175"/>
      <c r="S30" s="1175"/>
      <c r="T30" s="1175"/>
      <c r="U30" s="1175"/>
      <c r="V30" s="1175"/>
      <c r="W30" s="1175"/>
    </row>
    <row r="31" spans="1:24">
      <c r="A31" s="1175"/>
      <c r="B31" s="1175"/>
      <c r="C31" s="1175"/>
      <c r="D31" s="1175"/>
      <c r="E31" s="1175"/>
      <c r="F31" s="1175"/>
      <c r="G31" s="1175"/>
      <c r="H31" s="1175"/>
      <c r="I31" s="1175"/>
      <c r="J31" s="1175"/>
      <c r="K31" s="1175"/>
      <c r="L31" s="1175"/>
      <c r="M31" s="1175"/>
      <c r="N31" s="1175"/>
      <c r="O31" s="1175"/>
      <c r="P31" s="1175"/>
      <c r="Q31" s="1175"/>
      <c r="R31" s="1175"/>
      <c r="S31" s="1175"/>
      <c r="T31" s="1175"/>
      <c r="U31" s="1175"/>
      <c r="V31" s="1175"/>
      <c r="W31" s="1175"/>
    </row>
    <row r="32" spans="1:24">
      <c r="A32" s="3"/>
      <c r="B32" s="3"/>
      <c r="C32" s="3"/>
      <c r="D32" s="3"/>
      <c r="E32" s="3"/>
      <c r="F32" s="3"/>
      <c r="G32" s="3"/>
      <c r="H32" s="3"/>
      <c r="I32" s="3"/>
      <c r="J32" s="3"/>
      <c r="K32" s="3"/>
      <c r="L32" s="3"/>
      <c r="M32" s="3"/>
      <c r="N32" s="3"/>
    </row>
    <row r="33" spans="1:14">
      <c r="A33" s="3"/>
      <c r="B33" s="3"/>
      <c r="C33" s="3"/>
      <c r="D33" s="3"/>
      <c r="E33" s="3"/>
      <c r="F33" s="3"/>
      <c r="G33" s="3"/>
      <c r="H33" s="3"/>
      <c r="I33" s="3"/>
      <c r="J33" s="3"/>
      <c r="K33" s="3"/>
      <c r="L33" s="3"/>
      <c r="M33" s="3"/>
      <c r="N33" s="3"/>
    </row>
    <row r="34" spans="1:14">
      <c r="A34" s="3"/>
      <c r="B34" s="3"/>
      <c r="C34" s="3"/>
      <c r="D34" s="3"/>
      <c r="E34" s="3"/>
      <c r="F34" s="3"/>
      <c r="G34" s="3"/>
      <c r="H34" s="3"/>
      <c r="I34" s="3"/>
      <c r="J34" s="3"/>
      <c r="K34" s="3"/>
      <c r="L34" s="3"/>
      <c r="M34" s="3"/>
      <c r="N34" s="3"/>
    </row>
    <row r="35" spans="1:14">
      <c r="A35" s="3"/>
      <c r="B35" s="3"/>
      <c r="C35" s="3"/>
      <c r="D35" s="3"/>
      <c r="E35" s="3"/>
      <c r="F35" s="3"/>
      <c r="G35" s="3"/>
      <c r="H35" s="3"/>
      <c r="I35" s="3"/>
      <c r="J35" s="3"/>
      <c r="K35" s="3"/>
      <c r="L35" s="3"/>
      <c r="M35" s="3"/>
      <c r="N35" s="3"/>
    </row>
    <row r="36" spans="1:14">
      <c r="A36" s="3"/>
      <c r="B36" s="3"/>
      <c r="C36" s="3"/>
      <c r="D36" s="3"/>
      <c r="E36" s="3"/>
      <c r="F36" s="3"/>
      <c r="G36" s="3"/>
      <c r="H36" s="3"/>
      <c r="I36" s="3"/>
      <c r="J36" s="3"/>
      <c r="K36" s="3"/>
      <c r="L36" s="3"/>
      <c r="M36" s="3"/>
      <c r="N36" s="3"/>
    </row>
    <row r="37" spans="1:14">
      <c r="A37" s="3"/>
      <c r="B37" s="3"/>
      <c r="C37" s="3"/>
      <c r="D37" s="3"/>
      <c r="E37" s="3"/>
      <c r="F37" s="3"/>
      <c r="G37" s="3"/>
      <c r="H37" s="3"/>
      <c r="I37" s="3"/>
      <c r="J37" s="3"/>
      <c r="K37" s="3"/>
      <c r="L37" s="3"/>
      <c r="M37" s="3"/>
      <c r="N37" s="3"/>
    </row>
    <row r="38" spans="1:14">
      <c r="A38" s="3"/>
      <c r="B38" s="3"/>
      <c r="C38" s="3"/>
      <c r="D38" s="3"/>
      <c r="E38" s="3"/>
      <c r="F38" s="3"/>
      <c r="G38" s="3"/>
      <c r="H38" s="3"/>
      <c r="I38" s="3"/>
      <c r="J38" s="3"/>
      <c r="K38" s="3"/>
      <c r="L38" s="3"/>
      <c r="M38" s="3"/>
      <c r="N38" s="3"/>
    </row>
    <row r="39" spans="1:14">
      <c r="A39" s="3"/>
      <c r="B39" s="3"/>
      <c r="C39" s="3"/>
      <c r="D39" s="3"/>
      <c r="E39" s="3"/>
      <c r="F39" s="3"/>
      <c r="G39" s="3"/>
      <c r="H39" s="3"/>
      <c r="I39" s="3"/>
      <c r="J39" s="3"/>
      <c r="K39" s="3"/>
      <c r="L39" s="3"/>
      <c r="M39" s="3"/>
      <c r="N39" s="3"/>
    </row>
    <row r="40" spans="1:14">
      <c r="A40" s="3"/>
      <c r="B40" s="3"/>
      <c r="C40" s="3"/>
      <c r="D40" s="3"/>
      <c r="E40" s="3"/>
      <c r="F40" s="3"/>
      <c r="G40" s="3"/>
      <c r="H40" s="3"/>
      <c r="I40" s="3"/>
      <c r="J40" s="3"/>
      <c r="K40" s="3"/>
      <c r="L40" s="3"/>
      <c r="M40" s="3"/>
      <c r="N40" s="3"/>
    </row>
    <row r="41" spans="1:14">
      <c r="A41" s="3"/>
      <c r="B41" s="3"/>
      <c r="C41" s="3"/>
      <c r="D41" s="3"/>
      <c r="E41" s="3"/>
      <c r="F41" s="3"/>
      <c r="G41" s="3"/>
      <c r="H41" s="3"/>
      <c r="I41" s="3"/>
      <c r="J41" s="3"/>
      <c r="K41" s="3"/>
      <c r="L41" s="3"/>
      <c r="M41" s="3"/>
      <c r="N41" s="3"/>
    </row>
    <row r="42" spans="1:14">
      <c r="A42" s="3"/>
      <c r="B42" s="3"/>
      <c r="C42" s="3"/>
      <c r="D42" s="3"/>
      <c r="E42" s="3"/>
      <c r="F42" s="3"/>
      <c r="G42" s="3"/>
      <c r="H42" s="3"/>
      <c r="I42" s="3"/>
      <c r="J42" s="3"/>
      <c r="K42" s="3"/>
      <c r="L42" s="3"/>
      <c r="M42" s="3"/>
      <c r="N42" s="3"/>
    </row>
    <row r="43" spans="1:14">
      <c r="A43" s="3"/>
      <c r="B43" s="3"/>
      <c r="C43" s="3"/>
      <c r="D43" s="3"/>
      <c r="E43" s="3"/>
      <c r="F43" s="3"/>
      <c r="G43" s="3"/>
      <c r="H43" s="3"/>
      <c r="I43" s="3"/>
      <c r="J43" s="3"/>
      <c r="K43" s="3"/>
      <c r="L43" s="3"/>
      <c r="M43" s="3"/>
      <c r="N43" s="3"/>
    </row>
    <row r="44" spans="1:14">
      <c r="A44" s="3"/>
      <c r="B44" s="3"/>
      <c r="C44" s="3"/>
      <c r="D44" s="3"/>
      <c r="E44" s="3"/>
      <c r="F44" s="3"/>
      <c r="G44" s="3"/>
      <c r="H44" s="3"/>
      <c r="I44" s="3"/>
      <c r="J44" s="3"/>
      <c r="K44" s="3"/>
      <c r="L44" s="3"/>
      <c r="M44" s="3"/>
      <c r="N44" s="3"/>
    </row>
    <row r="45" spans="1:14">
      <c r="A45" s="3"/>
      <c r="B45" s="3"/>
      <c r="C45" s="3"/>
      <c r="D45" s="3"/>
      <c r="E45" s="3"/>
      <c r="F45" s="3"/>
      <c r="G45" s="3"/>
      <c r="H45" s="3"/>
      <c r="I45" s="3"/>
      <c r="J45" s="3"/>
      <c r="K45" s="3"/>
      <c r="L45" s="3"/>
      <c r="M45" s="3"/>
      <c r="N45" s="3"/>
    </row>
    <row r="46" spans="1:14">
      <c r="A46" s="3"/>
      <c r="B46" s="3"/>
      <c r="C46" s="3"/>
      <c r="D46" s="3"/>
      <c r="E46" s="3"/>
      <c r="F46" s="3"/>
      <c r="G46" s="3"/>
      <c r="H46" s="3"/>
      <c r="I46" s="3"/>
      <c r="J46" s="3"/>
      <c r="K46" s="3"/>
      <c r="L46" s="3"/>
      <c r="M46" s="3"/>
      <c r="N46" s="3"/>
    </row>
    <row r="47" spans="1:14">
      <c r="A47" s="3"/>
      <c r="B47" s="3"/>
      <c r="C47" s="3"/>
      <c r="D47" s="3"/>
      <c r="E47" s="3"/>
      <c r="F47" s="3"/>
      <c r="G47" s="3"/>
      <c r="H47" s="3"/>
      <c r="I47" s="3"/>
      <c r="J47" s="3"/>
      <c r="K47" s="3"/>
      <c r="L47" s="3"/>
      <c r="M47" s="3"/>
      <c r="N47" s="3"/>
    </row>
    <row r="48" spans="1:14">
      <c r="A48" s="3"/>
      <c r="B48" s="3"/>
      <c r="C48" s="3"/>
      <c r="D48" s="3"/>
      <c r="E48" s="3"/>
      <c r="F48" s="3"/>
      <c r="G48" s="3"/>
      <c r="H48" s="3"/>
      <c r="I48" s="3"/>
      <c r="J48" s="3"/>
      <c r="K48" s="3"/>
      <c r="L48" s="3"/>
      <c r="M48" s="3"/>
      <c r="N48" s="3"/>
    </row>
    <row r="49" s="3" customFormat="1"/>
    <row r="50" s="3" customFormat="1"/>
  </sheetData>
  <mergeCells count="5">
    <mergeCell ref="B22:M22"/>
    <mergeCell ref="B15:F15"/>
    <mergeCell ref="B16:F16"/>
    <mergeCell ref="B3:F3"/>
    <mergeCell ref="B4:F4"/>
  </mergeCells>
  <phoneticPr fontId="0" type="noConversion"/>
  <hyperlinks>
    <hyperlink ref="Q2" location="INDICE!A60" display="VOLVER A INDICE"/>
  </hyperlinks>
  <pageMargins left="0.75" right="0.75" top="1" bottom="1" header="0" footer="0"/>
  <pageSetup scale="72" orientation="portrait"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W47"/>
  <sheetViews>
    <sheetView showGridLines="0" workbookViewId="0">
      <selection activeCell="Q5" sqref="Q5:Q14"/>
    </sheetView>
  </sheetViews>
  <sheetFormatPr baseColWidth="10" defaultRowHeight="12.75"/>
  <cols>
    <col min="1" max="1" width="1.5703125" style="260" customWidth="1"/>
    <col min="2" max="2" width="5" style="260" customWidth="1"/>
    <col min="3" max="3" width="11.42578125" style="260"/>
    <col min="4" max="4" width="12.7109375" style="260" customWidth="1"/>
    <col min="5" max="5" width="12.42578125" style="260" customWidth="1"/>
    <col min="6" max="7" width="11.42578125" style="260"/>
    <col min="8" max="14" width="11.42578125" style="3"/>
    <col min="15" max="15" width="9.5703125" style="3" customWidth="1"/>
    <col min="16" max="16" width="9.42578125" style="3" customWidth="1"/>
    <col min="17" max="17" width="11.42578125" style="3"/>
    <col min="18" max="18" width="6.42578125" style="3" customWidth="1"/>
    <col min="19" max="19" width="11.42578125" style="3"/>
    <col min="20" max="21" width="11.42578125" style="260"/>
    <col min="22" max="22" width="9.42578125" style="260" customWidth="1"/>
    <col min="23" max="16384" width="11.42578125" style="260"/>
  </cols>
  <sheetData>
    <row r="1" spans="2:23" s="3" customFormat="1"/>
    <row r="2" spans="2:23" s="3" customFormat="1">
      <c r="C2" s="3" t="s">
        <v>799</v>
      </c>
      <c r="H2" s="3" t="s">
        <v>800</v>
      </c>
    </row>
    <row r="3" spans="2:23" s="3" customFormat="1">
      <c r="C3" s="1315" t="s">
        <v>42</v>
      </c>
      <c r="D3" s="1315" t="s">
        <v>43</v>
      </c>
      <c r="E3" s="1315" t="s">
        <v>44</v>
      </c>
      <c r="F3" s="1315" t="s">
        <v>63</v>
      </c>
      <c r="G3" s="1316" t="s">
        <v>46</v>
      </c>
      <c r="H3" s="1319" t="s">
        <v>42</v>
      </c>
      <c r="I3" s="1319" t="s">
        <v>43</v>
      </c>
      <c r="J3" s="1319" t="s">
        <v>44</v>
      </c>
      <c r="K3" s="1320" t="s">
        <v>63</v>
      </c>
      <c r="L3" s="1321" t="s">
        <v>46</v>
      </c>
      <c r="M3" s="1321" t="s">
        <v>46</v>
      </c>
      <c r="N3" s="1321" t="s">
        <v>46</v>
      </c>
      <c r="O3" s="58" t="s">
        <v>802</v>
      </c>
      <c r="P3" s="58" t="s">
        <v>803</v>
      </c>
      <c r="Q3" s="1328" t="s">
        <v>804</v>
      </c>
      <c r="S3" s="3" t="s">
        <v>807</v>
      </c>
      <c r="T3" s="58" t="s">
        <v>805</v>
      </c>
      <c r="U3" s="58" t="s">
        <v>808</v>
      </c>
      <c r="V3" s="58" t="s">
        <v>809</v>
      </c>
      <c r="W3" s="1328" t="s">
        <v>810</v>
      </c>
    </row>
    <row r="4" spans="2:23" s="3" customFormat="1">
      <c r="C4" s="1317" t="s">
        <v>47</v>
      </c>
      <c r="D4" s="1317"/>
      <c r="E4" s="1317"/>
      <c r="F4" s="1317" t="s">
        <v>48</v>
      </c>
      <c r="G4" s="1318" t="s">
        <v>49</v>
      </c>
      <c r="H4" s="1322" t="s">
        <v>47</v>
      </c>
      <c r="I4" s="1323"/>
      <c r="J4" s="1323"/>
      <c r="K4" s="1322" t="s">
        <v>67</v>
      </c>
      <c r="L4" s="1324" t="s">
        <v>68</v>
      </c>
      <c r="M4" s="1324" t="s">
        <v>801</v>
      </c>
      <c r="N4" s="1325" t="s">
        <v>70</v>
      </c>
      <c r="O4" s="58"/>
      <c r="P4" s="58" t="s">
        <v>811</v>
      </c>
      <c r="Q4" s="1328" t="s">
        <v>21</v>
      </c>
      <c r="S4" s="3" t="s">
        <v>806</v>
      </c>
      <c r="W4" s="1328"/>
    </row>
    <row r="5" spans="2:23" s="3" customFormat="1">
      <c r="B5" s="3">
        <v>1999</v>
      </c>
      <c r="C5" s="1327">
        <v>79897</v>
      </c>
      <c r="D5" s="1327">
        <v>170831</v>
      </c>
      <c r="E5" s="1327">
        <v>0</v>
      </c>
      <c r="F5" s="1327">
        <v>5186</v>
      </c>
      <c r="G5" s="1327">
        <v>245542</v>
      </c>
      <c r="H5" s="1326">
        <v>279493</v>
      </c>
      <c r="I5" s="1326">
        <v>21403</v>
      </c>
      <c r="J5" s="1326">
        <v>14607</v>
      </c>
      <c r="K5" s="1326">
        <v>23</v>
      </c>
      <c r="L5" s="1326">
        <v>188495</v>
      </c>
      <c r="M5" s="1326">
        <v>97771</v>
      </c>
      <c r="N5" s="1326">
        <v>286266</v>
      </c>
      <c r="O5" s="74">
        <f>G5+I5-J5-K5</f>
        <v>252315</v>
      </c>
      <c r="P5" s="74">
        <f>D5+I5-J5</f>
        <v>177627</v>
      </c>
      <c r="Q5" s="1329">
        <f>P5/O5</f>
        <v>0.70398906129243211</v>
      </c>
      <c r="R5" s="3">
        <v>70.412022135189559</v>
      </c>
      <c r="S5" s="1330">
        <f>C5/(D5+C5)</f>
        <v>0.31866006189974794</v>
      </c>
      <c r="T5" s="74">
        <f>C5-F5*S5-J5-K5*S5</f>
        <v>63630.099737564211</v>
      </c>
      <c r="U5" s="74">
        <f>D5-F5*(1-S5)+I5-K5*(1-S5)</f>
        <v>188684.90026243578</v>
      </c>
      <c r="V5" s="74">
        <f>T5+U5</f>
        <v>252315</v>
      </c>
      <c r="W5" s="1329">
        <f>U5/V5</f>
        <v>0.7478148356714257</v>
      </c>
    </row>
    <row r="6" spans="2:23" s="3" customFormat="1">
      <c r="B6" s="3">
        <v>2000</v>
      </c>
      <c r="C6" s="1327">
        <v>88171</v>
      </c>
      <c r="D6" s="1327">
        <v>176699</v>
      </c>
      <c r="E6" s="1327">
        <v>0</v>
      </c>
      <c r="F6" s="1327">
        <v>8140</v>
      </c>
      <c r="G6" s="1327">
        <v>256730</v>
      </c>
      <c r="H6" s="1326">
        <v>292263</v>
      </c>
      <c r="I6" s="1326">
        <v>21837</v>
      </c>
      <c r="J6" s="1326">
        <v>25599</v>
      </c>
      <c r="K6" s="1326">
        <v>20</v>
      </c>
      <c r="L6" s="1326">
        <v>198302</v>
      </c>
      <c r="M6" s="1326">
        <v>90179</v>
      </c>
      <c r="N6" s="1326">
        <v>288481</v>
      </c>
      <c r="O6" s="74">
        <f t="shared" ref="O6:O15" si="0">G6+I6-J6-K6</f>
        <v>252948</v>
      </c>
      <c r="P6" s="74">
        <f t="shared" ref="P6:P15" si="1">D6+I6-J6</f>
        <v>172937</v>
      </c>
      <c r="Q6" s="1329">
        <f t="shared" ref="Q6:Q15" si="2">P6/O6</f>
        <v>0.68368597498300043</v>
      </c>
      <c r="R6" s="3">
        <v>68.376977427377355</v>
      </c>
      <c r="S6" s="1330">
        <f t="shared" ref="S6:S15" si="3">C6/(D6+C6)</f>
        <v>0.33288405632952012</v>
      </c>
      <c r="T6" s="74">
        <f t="shared" ref="T6:T15" si="4">C6-F6*S6-J6-K6*S6</f>
        <v>59855.666100351118</v>
      </c>
      <c r="U6" s="74">
        <f t="shared" ref="U6:U15" si="5">D6-F6*(1-S6)+I6-K6*(1-S6)</f>
        <v>193092.33389964889</v>
      </c>
      <c r="V6" s="74">
        <f t="shared" ref="V6:V15" si="6">T6+U6</f>
        <v>252948</v>
      </c>
      <c r="W6" s="1329">
        <f t="shared" ref="W6:W15" si="7">U6/V6</f>
        <v>0.76336770363730444</v>
      </c>
    </row>
    <row r="7" spans="2:23" s="3" customFormat="1">
      <c r="B7" s="3">
        <v>2001</v>
      </c>
      <c r="C7" s="1327">
        <v>94111</v>
      </c>
      <c r="D7" s="1327">
        <v>173819</v>
      </c>
      <c r="E7" s="1327">
        <v>0</v>
      </c>
      <c r="F7" s="1327">
        <v>7658</v>
      </c>
      <c r="G7" s="1327">
        <v>260272</v>
      </c>
      <c r="H7" s="1326">
        <v>299677</v>
      </c>
      <c r="I7" s="1326">
        <v>17432</v>
      </c>
      <c r="J7" s="1326">
        <v>28287</v>
      </c>
      <c r="K7" s="1326">
        <v>1272</v>
      </c>
      <c r="L7" s="1326">
        <v>198891</v>
      </c>
      <c r="M7" s="1326">
        <v>88659</v>
      </c>
      <c r="N7" s="1326">
        <v>287550</v>
      </c>
      <c r="O7" s="74">
        <f t="shared" si="0"/>
        <v>248145</v>
      </c>
      <c r="P7" s="74">
        <f t="shared" si="1"/>
        <v>162964</v>
      </c>
      <c r="Q7" s="1329">
        <f t="shared" si="2"/>
        <v>0.65672892865058741</v>
      </c>
      <c r="R7" s="3">
        <v>65.345041902241462</v>
      </c>
      <c r="S7" s="1330">
        <f t="shared" si="3"/>
        <v>0.35125219273690889</v>
      </c>
      <c r="T7" s="74">
        <f t="shared" si="4"/>
        <v>62687.317918859408</v>
      </c>
      <c r="U7" s="74">
        <f t="shared" si="5"/>
        <v>185457.68208114061</v>
      </c>
      <c r="V7" s="74">
        <f t="shared" si="6"/>
        <v>248145</v>
      </c>
      <c r="W7" s="1329">
        <f t="shared" si="7"/>
        <v>0.74737626017506142</v>
      </c>
    </row>
    <row r="8" spans="2:23" s="3" customFormat="1">
      <c r="B8" s="3">
        <v>2002</v>
      </c>
      <c r="C8" s="1327">
        <v>94095</v>
      </c>
      <c r="D8" s="1327">
        <v>173733</v>
      </c>
      <c r="E8" s="1327">
        <v>0</v>
      </c>
      <c r="F8" s="1327">
        <v>5427</v>
      </c>
      <c r="G8" s="1327">
        <v>262401</v>
      </c>
      <c r="H8" s="1326">
        <v>297014</v>
      </c>
      <c r="I8" s="1326">
        <v>24536</v>
      </c>
      <c r="J8" s="1326">
        <v>26196</v>
      </c>
      <c r="K8" s="1326">
        <v>2900</v>
      </c>
      <c r="L8" s="1326">
        <v>200858</v>
      </c>
      <c r="M8" s="1326">
        <v>91596</v>
      </c>
      <c r="N8" s="1326">
        <v>292454</v>
      </c>
      <c r="O8" s="74">
        <f t="shared" si="0"/>
        <v>257841</v>
      </c>
      <c r="P8" s="74">
        <f t="shared" si="1"/>
        <v>172073</v>
      </c>
      <c r="Q8" s="1329">
        <f t="shared" si="2"/>
        <v>0.66736089295340928</v>
      </c>
      <c r="R8" s="3">
        <v>65.993840631124371</v>
      </c>
      <c r="S8" s="1330">
        <f t="shared" si="3"/>
        <v>0.35132622429320309</v>
      </c>
      <c r="T8" s="74">
        <f t="shared" si="4"/>
        <v>64973.506530310493</v>
      </c>
      <c r="U8" s="74">
        <f t="shared" si="5"/>
        <v>192867.49346968951</v>
      </c>
      <c r="V8" s="74">
        <f t="shared" si="6"/>
        <v>257841</v>
      </c>
      <c r="W8" s="1329">
        <f t="shared" si="7"/>
        <v>0.74800940684254835</v>
      </c>
    </row>
    <row r="9" spans="2:23" s="3" customFormat="1">
      <c r="B9" s="3">
        <v>2003</v>
      </c>
      <c r="C9" s="1327">
        <v>88392</v>
      </c>
      <c r="D9" s="1327">
        <v>185962</v>
      </c>
      <c r="E9" s="1327">
        <v>0</v>
      </c>
      <c r="F9" s="1327">
        <v>3415</v>
      </c>
      <c r="G9" s="1327">
        <v>270939</v>
      </c>
      <c r="H9" s="1326">
        <v>309043</v>
      </c>
      <c r="I9" s="1326">
        <v>24523</v>
      </c>
      <c r="J9" s="1326">
        <v>32516</v>
      </c>
      <c r="K9" s="1326">
        <v>2484</v>
      </c>
      <c r="L9" s="1326">
        <v>202121</v>
      </c>
      <c r="M9" s="1326">
        <v>96445</v>
      </c>
      <c r="N9" s="1326">
        <v>298566</v>
      </c>
      <c r="O9" s="74">
        <f t="shared" si="0"/>
        <v>260462</v>
      </c>
      <c r="P9" s="74">
        <f t="shared" si="1"/>
        <v>177969</v>
      </c>
      <c r="Q9" s="1329">
        <f t="shared" si="2"/>
        <v>0.68328201426695645</v>
      </c>
      <c r="R9" s="3">
        <v>67.682718124633951</v>
      </c>
      <c r="S9" s="1330">
        <f t="shared" si="3"/>
        <v>0.32218229003404358</v>
      </c>
      <c r="T9" s="74">
        <f t="shared" si="4"/>
        <v>53975.446671089187</v>
      </c>
      <c r="U9" s="74">
        <f t="shared" si="5"/>
        <v>206486.55332891081</v>
      </c>
      <c r="V9" s="74">
        <f t="shared" si="6"/>
        <v>260462</v>
      </c>
      <c r="W9" s="1329">
        <f t="shared" si="7"/>
        <v>0.7927703593188673</v>
      </c>
    </row>
    <row r="10" spans="2:23" s="3" customFormat="1">
      <c r="B10" s="3">
        <v>2004</v>
      </c>
      <c r="C10" s="1327">
        <v>84656.365265695</v>
      </c>
      <c r="D10" s="1327">
        <v>203788.56889643433</v>
      </c>
      <c r="E10" s="1327">
        <v>0</v>
      </c>
      <c r="F10" s="1327">
        <v>5914.1459320435097</v>
      </c>
      <c r="G10" s="1327">
        <v>282530.7882300858</v>
      </c>
      <c r="H10" s="1326">
        <v>329596.34269812313</v>
      </c>
      <c r="I10" s="1326">
        <v>32736.065054528004</v>
      </c>
      <c r="J10" s="1326">
        <v>30374.99102201686</v>
      </c>
      <c r="K10" s="1326">
        <v>10540.771090956114</v>
      </c>
      <c r="L10" s="1326">
        <v>224748.25326288998</v>
      </c>
      <c r="M10" s="1326">
        <v>96668.378364988181</v>
      </c>
      <c r="N10" s="1326">
        <v>321416.63162787817</v>
      </c>
      <c r="O10" s="74">
        <f t="shared" si="0"/>
        <v>274351.09117164084</v>
      </c>
      <c r="P10" s="74">
        <f t="shared" si="1"/>
        <v>206149.64292894548</v>
      </c>
      <c r="Q10" s="1329">
        <f t="shared" si="2"/>
        <v>0.75140813928811079</v>
      </c>
      <c r="R10" s="3">
        <v>72.37386102143671</v>
      </c>
      <c r="S10" s="1330">
        <f t="shared" si="3"/>
        <v>0.29349229346531458</v>
      </c>
      <c r="T10" s="74">
        <f t="shared" si="4"/>
        <v>49451.982907816535</v>
      </c>
      <c r="U10" s="74">
        <f t="shared" si="5"/>
        <v>224899.10826382431</v>
      </c>
      <c r="V10" s="74">
        <f t="shared" si="6"/>
        <v>274351.09117164084</v>
      </c>
      <c r="W10" s="1329">
        <f t="shared" si="7"/>
        <v>0.81974927565759836</v>
      </c>
    </row>
    <row r="11" spans="2:23" s="3" customFormat="1">
      <c r="B11" s="3">
        <v>2005</v>
      </c>
      <c r="C11" s="1327">
        <v>94929.022976866414</v>
      </c>
      <c r="D11" s="1327">
        <v>194893.48399389294</v>
      </c>
      <c r="E11" s="1327">
        <v>0</v>
      </c>
      <c r="F11" s="1327">
        <v>2329.0698964352823</v>
      </c>
      <c r="G11" s="1327">
        <v>287493.43707432412</v>
      </c>
      <c r="H11" s="1326">
        <v>328656.55071013991</v>
      </c>
      <c r="I11" s="1326">
        <v>41346.534465668497</v>
      </c>
      <c r="J11" s="1326">
        <v>33769.038687223503</v>
      </c>
      <c r="K11" s="1326">
        <v>6940.5630754496106</v>
      </c>
      <c r="L11" s="1326">
        <v>232012.88057836657</v>
      </c>
      <c r="M11" s="1326">
        <v>97280.016850768778</v>
      </c>
      <c r="N11" s="1326">
        <v>329292.89742913534</v>
      </c>
      <c r="O11" s="74">
        <f t="shared" si="0"/>
        <v>288130.36977731949</v>
      </c>
      <c r="P11" s="74">
        <f t="shared" si="1"/>
        <v>202470.97977233792</v>
      </c>
      <c r="Q11" s="1329">
        <f t="shared" si="2"/>
        <v>0.70270613933830328</v>
      </c>
      <c r="R11" s="3">
        <v>68.656437004870085</v>
      </c>
      <c r="S11" s="1330">
        <f t="shared" si="3"/>
        <v>0.32754192891735612</v>
      </c>
      <c r="T11" s="74">
        <f t="shared" si="4"/>
        <v>58123.790825675802</v>
      </c>
      <c r="U11" s="74">
        <f t="shared" si="5"/>
        <v>230006.57895164363</v>
      </c>
      <c r="V11" s="74">
        <f t="shared" si="6"/>
        <v>288130.36977731943</v>
      </c>
      <c r="W11" s="1329">
        <f t="shared" si="7"/>
        <v>0.7982725983706731</v>
      </c>
    </row>
    <row r="12" spans="2:23" s="3" customFormat="1">
      <c r="B12" s="3">
        <v>2006</v>
      </c>
      <c r="C12" s="1327">
        <v>98921.161644835491</v>
      </c>
      <c r="D12" s="1327">
        <v>200160.74402900197</v>
      </c>
      <c r="E12" s="1327">
        <v>0</v>
      </c>
      <c r="F12" s="1327">
        <v>3243.1162236664595</v>
      </c>
      <c r="G12" s="1327">
        <v>295838.78945017105</v>
      </c>
      <c r="H12" s="1326">
        <v>343388.6799632294</v>
      </c>
      <c r="I12" s="1326">
        <v>44879.635989402312</v>
      </c>
      <c r="J12" s="1326">
        <v>38491.562036667499</v>
      </c>
      <c r="K12" s="1326">
        <v>11499.097107328053</v>
      </c>
      <c r="L12" s="1326">
        <v>240579.19630019419</v>
      </c>
      <c r="M12" s="1326">
        <v>97698.460508441975</v>
      </c>
      <c r="N12" s="1326">
        <v>338277.65680863615</v>
      </c>
      <c r="O12" s="74">
        <f t="shared" si="0"/>
        <v>290727.76629557781</v>
      </c>
      <c r="P12" s="74">
        <f t="shared" si="1"/>
        <v>206548.81798173679</v>
      </c>
      <c r="Q12" s="1329">
        <f t="shared" si="2"/>
        <v>0.71045439042015079</v>
      </c>
      <c r="R12" s="3">
        <v>68.342309368569147</v>
      </c>
      <c r="S12" s="1330">
        <f t="shared" si="3"/>
        <v>0.3307494026492982</v>
      </c>
      <c r="T12" s="74">
        <f t="shared" si="4"/>
        <v>55553.621355213036</v>
      </c>
      <c r="U12" s="74">
        <f t="shared" si="5"/>
        <v>235174.14494036473</v>
      </c>
      <c r="V12" s="74">
        <f t="shared" si="6"/>
        <v>290727.76629557775</v>
      </c>
      <c r="W12" s="1329">
        <f t="shared" si="7"/>
        <v>0.80891532287035617</v>
      </c>
    </row>
    <row r="13" spans="2:23" s="3" customFormat="1">
      <c r="B13" s="3">
        <v>2007</v>
      </c>
      <c r="C13" s="1327">
        <v>91353.111943698634</v>
      </c>
      <c r="D13" s="1327">
        <v>176642.76264209469</v>
      </c>
      <c r="E13" s="1327">
        <v>0</v>
      </c>
      <c r="F13" s="1327">
        <v>8844.3337986684419</v>
      </c>
      <c r="G13" s="1327">
        <v>259151.54078712486</v>
      </c>
      <c r="H13" s="1326">
        <v>314514.8652214813</v>
      </c>
      <c r="I13" s="1326">
        <v>77340.636250301352</v>
      </c>
      <c r="J13" s="1326">
        <v>22576.191788595002</v>
      </c>
      <c r="K13" s="1326">
        <v>9119.3395504296859</v>
      </c>
      <c r="L13" s="1326">
        <v>251211.89597586385</v>
      </c>
      <c r="M13" s="1326">
        <v>108948.07415689412</v>
      </c>
      <c r="N13" s="1326">
        <v>360159.97013275803</v>
      </c>
      <c r="O13" s="74">
        <f t="shared" si="0"/>
        <v>304796.64569840155</v>
      </c>
      <c r="P13" s="74">
        <f t="shared" si="1"/>
        <v>231407.20710380105</v>
      </c>
      <c r="Q13" s="1329">
        <f t="shared" si="2"/>
        <v>0.75921835220188127</v>
      </c>
      <c r="R13" s="3">
        <v>73.716286515441993</v>
      </c>
      <c r="S13" s="1330">
        <f t="shared" si="3"/>
        <v>0.34087506789009853</v>
      </c>
      <c r="T13" s="74">
        <f t="shared" si="4"/>
        <v>62653.551782674251</v>
      </c>
      <c r="U13" s="74">
        <f t="shared" si="5"/>
        <v>242143.09391572728</v>
      </c>
      <c r="V13" s="74">
        <f t="shared" si="6"/>
        <v>304796.64569840155</v>
      </c>
      <c r="W13" s="1329">
        <f t="shared" si="7"/>
        <v>0.79444146559056816</v>
      </c>
    </row>
    <row r="14" spans="2:23" s="3" customFormat="1">
      <c r="B14" s="3">
        <v>2008</v>
      </c>
      <c r="C14" s="1327">
        <v>96555.955100995474</v>
      </c>
      <c r="D14" s="1327">
        <v>159493.2274479343</v>
      </c>
      <c r="E14" s="1327">
        <v>0</v>
      </c>
      <c r="F14" s="1327">
        <v>5072.2520800892771</v>
      </c>
      <c r="G14" s="1327">
        <v>250976.93046884055</v>
      </c>
      <c r="H14" s="1326">
        <v>292694.64272697608</v>
      </c>
      <c r="I14" s="1326">
        <v>84717.142725706726</v>
      </c>
      <c r="J14" s="1326">
        <v>18739.769691788006</v>
      </c>
      <c r="K14" s="1326">
        <v>3413.2907363593708</v>
      </c>
      <c r="L14" s="1326">
        <v>255067.17758738366</v>
      </c>
      <c r="M14" s="1326">
        <v>100191.54743715172</v>
      </c>
      <c r="N14" s="1326">
        <v>355258.72502453544</v>
      </c>
      <c r="O14" s="74">
        <f t="shared" si="0"/>
        <v>313541.01276639989</v>
      </c>
      <c r="P14" s="74">
        <f t="shared" si="1"/>
        <v>225470.60048185301</v>
      </c>
      <c r="Q14" s="1329">
        <f t="shared" si="2"/>
        <v>0.71911039162789614</v>
      </c>
      <c r="S14" s="1330">
        <f t="shared" si="3"/>
        <v>0.37709925155704843</v>
      </c>
      <c r="T14" s="74">
        <f t="shared" si="4"/>
        <v>74616.29356406939</v>
      </c>
      <c r="U14" s="74">
        <f t="shared" si="5"/>
        <v>238924.71920233042</v>
      </c>
      <c r="V14" s="74">
        <f t="shared" si="6"/>
        <v>313541.01276639983</v>
      </c>
      <c r="W14" s="1329">
        <f t="shared" si="7"/>
        <v>0.76202062720368446</v>
      </c>
    </row>
    <row r="15" spans="2:23" s="3" customFormat="1">
      <c r="B15" s="3">
        <v>2009</v>
      </c>
      <c r="C15" s="1327">
        <f>CUADRO3!C16</f>
        <v>102933.26336085313</v>
      </c>
      <c r="D15" s="1327">
        <f>CUADRO3!D16</f>
        <v>150039.65209114854</v>
      </c>
      <c r="E15" s="1327">
        <f>CUADRO3!E16</f>
        <v>0</v>
      </c>
      <c r="F15" s="1327">
        <f>CUADRO3!F16</f>
        <v>3404.3594194590041</v>
      </c>
      <c r="G15" s="1327">
        <f>CUADRO3!G16</f>
        <v>249568.55603254269</v>
      </c>
      <c r="H15" s="1326">
        <f>CUADRO4!C30</f>
        <v>293021.38953337359</v>
      </c>
      <c r="I15" s="1326">
        <f>CUADRO4!D30</f>
        <v>72727.203191458859</v>
      </c>
      <c r="J15" s="1326">
        <f>CUADRO4!E30</f>
        <v>17880.473405419754</v>
      </c>
      <c r="K15" s="1326">
        <f>CUADRO4!F30</f>
        <v>2820.5441373988488</v>
      </c>
      <c r="L15" s="1326">
        <f>CUADRO4!G30</f>
        <v>249028.58913328283</v>
      </c>
      <c r="M15" s="1326">
        <f>CUADRO4!H30</f>
        <v>96018.986048730949</v>
      </c>
      <c r="N15" s="1326">
        <f>CUADRO4!I30</f>
        <v>345047.57518201374</v>
      </c>
      <c r="O15" s="74">
        <f t="shared" si="0"/>
        <v>301594.74168118299</v>
      </c>
      <c r="P15" s="74">
        <f t="shared" si="1"/>
        <v>204886.38187718764</v>
      </c>
      <c r="Q15" s="1329">
        <f t="shared" si="2"/>
        <v>0.67934334907527616</v>
      </c>
      <c r="S15" s="1330">
        <f t="shared" si="3"/>
        <v>0.40689440281358258</v>
      </c>
      <c r="T15" s="74">
        <f t="shared" si="4"/>
        <v>82519.911540093555</v>
      </c>
      <c r="U15" s="74">
        <f t="shared" si="5"/>
        <v>219074.83014108936</v>
      </c>
      <c r="V15" s="74">
        <f t="shared" si="6"/>
        <v>301594.74168118293</v>
      </c>
      <c r="W15" s="1329">
        <f t="shared" si="7"/>
        <v>0.72638809589284647</v>
      </c>
    </row>
    <row r="16" spans="2:23" s="3" customFormat="1"/>
    <row r="17" s="3" customFormat="1"/>
    <row r="18" s="3" customFormat="1"/>
    <row r="19" s="3" customFormat="1"/>
    <row r="20" s="3" customFormat="1"/>
    <row r="21" s="3" customFormat="1"/>
    <row r="22" s="3" customFormat="1"/>
    <row r="23" s="3" customFormat="1"/>
    <row r="24" s="3" customFormat="1"/>
    <row r="25" s="3" customFormat="1"/>
    <row r="26" s="3" customFormat="1"/>
    <row r="27" s="3" customFormat="1"/>
    <row r="28" s="3" customFormat="1"/>
    <row r="29" s="3" customFormat="1"/>
    <row r="30" s="3" customFormat="1"/>
    <row r="31" s="3" customFormat="1"/>
    <row r="32" s="3" customFormat="1"/>
    <row r="33" s="3" customFormat="1"/>
    <row r="34" s="3" customFormat="1"/>
    <row r="35" s="3" customFormat="1"/>
    <row r="36" s="3" customFormat="1"/>
    <row r="37" s="3" customFormat="1"/>
    <row r="38" s="3" customFormat="1"/>
    <row r="39" s="3" customFormat="1"/>
    <row r="40" s="3" customFormat="1"/>
    <row r="41" s="3" customFormat="1"/>
    <row r="42" s="3" customFormat="1"/>
    <row r="43" s="3" customFormat="1"/>
    <row r="44" s="3" customFormat="1"/>
    <row r="45" s="3" customFormat="1"/>
    <row r="46" s="3" customFormat="1"/>
    <row r="47" s="3" customFormat="1"/>
  </sheetData>
  <phoneticPr fontId="0" type="noConversion"/>
  <pageMargins left="0.75" right="0.75" top="1" bottom="1" header="0" footer="0"/>
  <pageSetup orientation="portrait" verticalDpi="0" r:id="rId1"/>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60"/>
  <sheetViews>
    <sheetView showGridLines="0" topLeftCell="A10" zoomScale="85" workbookViewId="0">
      <selection activeCell="J22" sqref="J22"/>
    </sheetView>
  </sheetViews>
  <sheetFormatPr baseColWidth="10" defaultRowHeight="12.75"/>
  <cols>
    <col min="1" max="1" width="2.5703125" customWidth="1"/>
    <col min="2" max="2" width="20.28515625" customWidth="1"/>
  </cols>
  <sheetData>
    <row r="1" spans="1:22" ht="15">
      <c r="A1" s="459"/>
      <c r="B1" s="104" t="s">
        <v>692</v>
      </c>
      <c r="C1" s="62"/>
      <c r="D1" s="62"/>
      <c r="E1" s="62"/>
      <c r="F1" s="62"/>
      <c r="G1" s="112"/>
      <c r="H1" s="147"/>
      <c r="I1" s="147"/>
      <c r="J1" s="147"/>
      <c r="K1" s="147"/>
      <c r="L1" s="62"/>
      <c r="M1" s="62"/>
      <c r="N1" s="62"/>
      <c r="O1" s="62"/>
      <c r="P1" s="62"/>
      <c r="Q1" s="62"/>
      <c r="R1" s="770"/>
      <c r="S1" s="770"/>
      <c r="T1" s="770"/>
      <c r="U1" s="770"/>
      <c r="V1" s="770"/>
    </row>
    <row r="2" spans="1:22">
      <c r="A2" s="459"/>
      <c r="B2" s="62"/>
      <c r="C2" s="62"/>
      <c r="D2" s="62"/>
      <c r="E2" s="62"/>
      <c r="F2" s="62"/>
      <c r="G2" s="62"/>
      <c r="H2" s="527" t="s">
        <v>606</v>
      </c>
      <c r="I2" s="147"/>
      <c r="J2" s="147"/>
      <c r="K2" s="147"/>
      <c r="L2" s="62"/>
      <c r="M2" s="62"/>
      <c r="N2" s="62"/>
      <c r="O2" s="62"/>
      <c r="P2" s="62"/>
      <c r="Q2" s="62"/>
      <c r="R2" s="770"/>
      <c r="S2" s="770"/>
      <c r="T2" s="770"/>
      <c r="U2" s="770"/>
      <c r="V2" s="770"/>
    </row>
    <row r="3" spans="1:22" ht="18.75" thickBot="1">
      <c r="A3" s="459"/>
      <c r="B3" s="113" t="s">
        <v>817</v>
      </c>
      <c r="C3" s="62"/>
      <c r="D3" s="62"/>
      <c r="E3" s="62"/>
      <c r="F3" s="62"/>
      <c r="G3" s="62"/>
      <c r="H3" s="106"/>
      <c r="I3" s="107"/>
      <c r="J3" s="107"/>
      <c r="K3" s="147"/>
      <c r="L3" s="62"/>
      <c r="M3" s="62"/>
      <c r="N3" s="62"/>
      <c r="O3" s="62"/>
      <c r="P3" s="62"/>
      <c r="Q3" s="62"/>
      <c r="R3" s="770"/>
      <c r="S3" s="770"/>
      <c r="T3" s="770"/>
      <c r="U3" s="770"/>
      <c r="V3" s="770"/>
    </row>
    <row r="4" spans="1:22" ht="13.5" thickBot="1">
      <c r="A4" s="459"/>
      <c r="B4" s="524"/>
      <c r="C4" s="525"/>
      <c r="D4" s="525"/>
      <c r="E4" s="525"/>
      <c r="F4" s="526"/>
      <c r="G4" s="62"/>
      <c r="H4" s="105"/>
      <c r="I4" s="105"/>
      <c r="J4" s="105"/>
      <c r="K4" s="147"/>
      <c r="L4" s="62"/>
      <c r="M4" s="62"/>
      <c r="N4" s="62"/>
      <c r="O4" s="62"/>
      <c r="P4" s="62"/>
      <c r="Q4" s="62"/>
      <c r="R4" s="770"/>
      <c r="S4" s="770"/>
      <c r="T4" s="770"/>
      <c r="U4" s="770"/>
      <c r="V4" s="770"/>
    </row>
    <row r="5" spans="1:22" ht="13.5" thickTop="1">
      <c r="A5" s="459"/>
      <c r="B5" s="114" t="s">
        <v>92</v>
      </c>
      <c r="C5" s="75" t="s">
        <v>407</v>
      </c>
      <c r="D5" s="76" t="s">
        <v>408</v>
      </c>
      <c r="E5" s="75" t="s">
        <v>409</v>
      </c>
      <c r="F5" s="115" t="s">
        <v>410</v>
      </c>
      <c r="G5" s="62"/>
      <c r="H5" s="108"/>
      <c r="I5" s="109"/>
      <c r="J5" s="109"/>
      <c r="K5" s="147"/>
      <c r="L5" s="62"/>
      <c r="M5" s="62"/>
      <c r="N5" s="62"/>
      <c r="O5" s="62"/>
      <c r="P5" s="62"/>
      <c r="Q5" s="62"/>
      <c r="R5" s="770"/>
      <c r="S5" s="770"/>
      <c r="T5" s="770"/>
      <c r="U5" s="770"/>
      <c r="V5" s="770"/>
    </row>
    <row r="6" spans="1:22">
      <c r="A6" s="459"/>
      <c r="B6" s="63" t="s">
        <v>411</v>
      </c>
      <c r="C6" s="77">
        <v>14870.5882714</v>
      </c>
      <c r="D6" s="78">
        <f>C6/C8</f>
        <v>0.92058005155010847</v>
      </c>
      <c r="E6" s="77">
        <v>57320.458624019077</v>
      </c>
      <c r="F6" s="116">
        <f>E6/E8</f>
        <v>0.93909395053686728</v>
      </c>
      <c r="G6" s="62"/>
      <c r="H6" s="110"/>
      <c r="I6" s="109"/>
      <c r="J6" s="109"/>
      <c r="K6" s="147"/>
      <c r="L6" s="62"/>
      <c r="M6" s="62"/>
      <c r="N6" s="62"/>
      <c r="O6" s="62"/>
      <c r="P6" s="62"/>
      <c r="Q6" s="62"/>
      <c r="R6" s="770"/>
      <c r="S6" s="770"/>
      <c r="T6" s="770"/>
      <c r="U6" s="770"/>
      <c r="V6" s="770"/>
    </row>
    <row r="7" spans="1:22">
      <c r="A7" s="459"/>
      <c r="B7" s="64" t="s">
        <v>349</v>
      </c>
      <c r="C7" s="79">
        <v>1282.9100000000001</v>
      </c>
      <c r="D7" s="80">
        <f>C7/C8</f>
        <v>7.9419948449891545E-2</v>
      </c>
      <c r="E7" s="79">
        <v>3717.5861757049015</v>
      </c>
      <c r="F7" s="117">
        <f>E7/E8</f>
        <v>6.0906049463132758E-2</v>
      </c>
      <c r="G7" s="62"/>
      <c r="H7" s="110"/>
      <c r="I7" s="109"/>
      <c r="J7" s="109"/>
      <c r="K7" s="147"/>
      <c r="L7" s="62"/>
      <c r="M7" s="62"/>
      <c r="N7" s="62"/>
      <c r="O7" s="62"/>
      <c r="P7" s="62"/>
      <c r="Q7" s="62"/>
      <c r="R7" s="770"/>
      <c r="S7" s="770"/>
      <c r="T7" s="770"/>
      <c r="U7" s="770"/>
      <c r="V7" s="770"/>
    </row>
    <row r="8" spans="1:22" ht="13.5" thickBot="1">
      <c r="A8" s="459"/>
      <c r="B8" s="118" t="s">
        <v>100</v>
      </c>
      <c r="C8" s="119">
        <f>C6+C7</f>
        <v>16153.4982714</v>
      </c>
      <c r="D8" s="120"/>
      <c r="E8" s="119">
        <f>E6+E7</f>
        <v>61038.044799723975</v>
      </c>
      <c r="F8" s="121"/>
      <c r="G8" s="62"/>
      <c r="H8" s="110"/>
      <c r="I8" s="109"/>
      <c r="J8" s="109"/>
      <c r="K8" s="147"/>
      <c r="L8" s="62"/>
      <c r="M8" s="62"/>
      <c r="N8" s="62"/>
      <c r="O8" s="62"/>
      <c r="P8" s="62"/>
      <c r="Q8" s="62"/>
      <c r="R8" s="770"/>
      <c r="S8" s="770"/>
      <c r="T8" s="770"/>
      <c r="U8" s="770"/>
      <c r="V8" s="770"/>
    </row>
    <row r="9" spans="1:22">
      <c r="A9" s="459"/>
      <c r="B9" s="104" t="s">
        <v>424</v>
      </c>
      <c r="C9" s="62"/>
      <c r="D9" s="62"/>
      <c r="E9" s="458"/>
      <c r="F9" s="62"/>
      <c r="G9" s="62"/>
      <c r="H9" s="110"/>
      <c r="I9" s="109"/>
      <c r="J9" s="109"/>
      <c r="K9" s="147"/>
      <c r="L9" s="62"/>
      <c r="M9" s="62"/>
      <c r="N9" s="62"/>
      <c r="O9" s="62"/>
      <c r="P9" s="62"/>
      <c r="Q9" s="62"/>
      <c r="R9" s="770"/>
      <c r="S9" s="770"/>
      <c r="T9" s="770"/>
      <c r="U9" s="770"/>
      <c r="V9" s="770"/>
    </row>
    <row r="10" spans="1:22">
      <c r="A10" s="459"/>
      <c r="B10" s="104"/>
      <c r="C10" s="62"/>
      <c r="D10" s="62"/>
      <c r="E10" s="458"/>
      <c r="F10" s="62"/>
      <c r="G10" s="62"/>
      <c r="H10" s="110"/>
      <c r="I10" s="109"/>
      <c r="J10" s="109"/>
      <c r="K10" s="147"/>
      <c r="L10" s="62"/>
      <c r="M10" s="62"/>
      <c r="N10" s="62"/>
      <c r="O10" s="62"/>
      <c r="P10" s="62"/>
      <c r="Q10" s="62"/>
      <c r="R10" s="770"/>
      <c r="S10" s="770"/>
      <c r="T10" s="770"/>
      <c r="U10" s="770"/>
      <c r="V10" s="770"/>
    </row>
    <row r="11" spans="1:22">
      <c r="A11" s="459"/>
      <c r="B11" s="104" t="s">
        <v>693</v>
      </c>
      <c r="C11" s="62"/>
      <c r="D11" s="62"/>
      <c r="E11" s="62"/>
      <c r="F11" s="62"/>
      <c r="G11" s="62"/>
      <c r="H11" s="110"/>
      <c r="I11" s="109"/>
      <c r="J11" s="109"/>
      <c r="K11" s="147"/>
      <c r="L11" s="62"/>
      <c r="M11" s="62"/>
      <c r="N11" s="62"/>
      <c r="O11" s="62"/>
      <c r="P11" s="62"/>
      <c r="Q11" s="62"/>
      <c r="R11" s="770"/>
      <c r="S11" s="770"/>
      <c r="T11" s="770"/>
      <c r="U11" s="770"/>
      <c r="V11" s="770"/>
    </row>
    <row r="12" spans="1:22" ht="18.75" thickBot="1">
      <c r="A12" s="459"/>
      <c r="B12" s="113" t="s">
        <v>818</v>
      </c>
      <c r="C12" s="62"/>
      <c r="D12" s="62"/>
      <c r="E12" s="62"/>
      <c r="F12" s="62"/>
      <c r="G12" s="62"/>
      <c r="H12" s="110"/>
      <c r="I12" s="109"/>
      <c r="J12" s="109"/>
      <c r="K12" s="147"/>
      <c r="L12" s="62"/>
      <c r="M12" s="62"/>
      <c r="N12" s="62"/>
      <c r="O12" s="62"/>
      <c r="P12" s="62"/>
      <c r="Q12" s="62"/>
      <c r="R12" s="770"/>
      <c r="S12" s="770"/>
      <c r="T12" s="770"/>
      <c r="U12" s="770"/>
      <c r="V12" s="770"/>
    </row>
    <row r="13" spans="1:22">
      <c r="A13" s="459"/>
      <c r="B13" s="1205"/>
      <c r="C13" s="1206"/>
      <c r="D13" s="1206"/>
      <c r="E13" s="1207"/>
      <c r="F13" s="1208"/>
      <c r="G13" s="62"/>
      <c r="H13" s="110"/>
      <c r="I13" s="109"/>
      <c r="J13" s="109"/>
      <c r="K13" s="147"/>
      <c r="L13" s="62"/>
      <c r="M13" s="62"/>
      <c r="N13" s="62"/>
      <c r="O13" s="62"/>
      <c r="P13" s="62"/>
      <c r="Q13" s="62"/>
      <c r="R13" s="770"/>
      <c r="S13" s="770"/>
      <c r="T13" s="770"/>
      <c r="U13" s="770"/>
      <c r="V13" s="770"/>
    </row>
    <row r="14" spans="1:22" ht="25.5">
      <c r="A14" s="459"/>
      <c r="B14" s="81" t="s">
        <v>412</v>
      </c>
      <c r="C14" s="82" t="s">
        <v>413</v>
      </c>
      <c r="D14" s="83" t="s">
        <v>413</v>
      </c>
      <c r="E14" s="84" t="s">
        <v>409</v>
      </c>
      <c r="F14" s="85" t="s">
        <v>409</v>
      </c>
      <c r="G14" s="62"/>
      <c r="H14" s="110"/>
      <c r="I14" s="109"/>
      <c r="J14" s="109"/>
      <c r="K14" s="147"/>
      <c r="L14" s="62"/>
      <c r="M14" s="62"/>
      <c r="N14" s="62"/>
      <c r="O14" s="62"/>
      <c r="P14" s="62"/>
      <c r="Q14" s="62"/>
      <c r="R14" s="770"/>
      <c r="S14" s="770"/>
      <c r="T14" s="770"/>
      <c r="U14" s="770"/>
      <c r="V14" s="770"/>
    </row>
    <row r="15" spans="1:22" ht="25.5">
      <c r="A15" s="459"/>
      <c r="B15" s="86" t="s">
        <v>414</v>
      </c>
      <c r="C15" s="87" t="s">
        <v>415</v>
      </c>
      <c r="D15" s="88" t="s">
        <v>416</v>
      </c>
      <c r="E15" s="89" t="s">
        <v>417</v>
      </c>
      <c r="F15" s="90" t="s">
        <v>418</v>
      </c>
      <c r="G15" s="62"/>
      <c r="H15" s="110"/>
      <c r="I15" s="109"/>
      <c r="J15" s="109"/>
      <c r="K15" s="147"/>
      <c r="L15" s="62"/>
      <c r="M15" s="62"/>
      <c r="N15" s="62"/>
      <c r="O15" s="62"/>
      <c r="P15" s="62"/>
      <c r="Q15" s="62"/>
      <c r="R15" s="770"/>
      <c r="S15" s="770"/>
      <c r="T15" s="770"/>
      <c r="U15" s="770"/>
      <c r="V15" s="770"/>
    </row>
    <row r="16" spans="1:22">
      <c r="A16" s="459"/>
      <c r="B16" s="91" t="s">
        <v>373</v>
      </c>
      <c r="C16" s="92">
        <v>3572.6995520000005</v>
      </c>
      <c r="D16" s="93">
        <f>C16/$C$21</f>
        <v>0.22117187818848605</v>
      </c>
      <c r="E16" s="94">
        <v>14896.286869999998</v>
      </c>
      <c r="F16" s="95">
        <f>E16/$E$21</f>
        <v>0.24404921420529119</v>
      </c>
      <c r="G16" s="1209"/>
      <c r="H16" s="110"/>
      <c r="I16" s="109"/>
      <c r="J16" s="109"/>
      <c r="K16" s="147"/>
      <c r="L16" s="62"/>
      <c r="M16" s="62"/>
      <c r="N16" s="62"/>
      <c r="O16" s="62"/>
      <c r="P16" s="62"/>
      <c r="Q16" s="62"/>
      <c r="R16" s="770"/>
      <c r="S16" s="770"/>
      <c r="T16" s="770"/>
      <c r="U16" s="770"/>
      <c r="V16" s="770"/>
    </row>
    <row r="17" spans="1:24">
      <c r="A17" s="459"/>
      <c r="B17" s="91" t="s">
        <v>374</v>
      </c>
      <c r="C17" s="92">
        <v>11147.223719400001</v>
      </c>
      <c r="D17" s="93">
        <f>C17/$C$21</f>
        <v>0.69008109154512498</v>
      </c>
      <c r="E17" s="94">
        <v>42031.001830529087</v>
      </c>
      <c r="F17" s="95">
        <f>E17/$E$21</f>
        <v>0.68860334515038646</v>
      </c>
      <c r="G17" s="1209"/>
      <c r="H17" s="110"/>
      <c r="I17" s="109"/>
      <c r="J17" s="109"/>
      <c r="K17" s="147"/>
      <c r="L17" s="62"/>
      <c r="M17" s="62"/>
      <c r="N17" s="62"/>
      <c r="O17" s="62"/>
      <c r="P17" s="62"/>
      <c r="Q17" s="62"/>
      <c r="R17" s="770"/>
      <c r="S17" s="770"/>
      <c r="T17" s="770"/>
      <c r="U17" s="770"/>
      <c r="V17" s="770"/>
    </row>
    <row r="18" spans="1:24">
      <c r="A18" s="459"/>
      <c r="B18" s="91" t="s">
        <v>392</v>
      </c>
      <c r="C18" s="92">
        <v>51.451999999999998</v>
      </c>
      <c r="D18" s="93">
        <f>C18/$C$21</f>
        <v>3.1851924044896517E-3</v>
      </c>
      <c r="E18" s="96">
        <v>137.16049648999999</v>
      </c>
      <c r="F18" s="95">
        <f>E18/$E$21</f>
        <v>2.2471312267626931E-3</v>
      </c>
      <c r="G18" s="1209"/>
      <c r="H18" s="110"/>
      <c r="I18" s="109"/>
      <c r="J18" s="109"/>
      <c r="K18" s="147"/>
      <c r="L18" s="62"/>
      <c r="M18" s="62"/>
      <c r="N18" s="62"/>
      <c r="O18" s="62"/>
      <c r="P18" s="62"/>
      <c r="Q18" s="62"/>
      <c r="R18" s="770"/>
      <c r="S18" s="770"/>
      <c r="T18" s="770"/>
      <c r="U18" s="770"/>
      <c r="V18" s="770"/>
    </row>
    <row r="19" spans="1:24">
      <c r="A19" s="459"/>
      <c r="B19" s="91" t="s">
        <v>378</v>
      </c>
      <c r="C19" s="92">
        <v>99.212999999999994</v>
      </c>
      <c r="D19" s="93">
        <f>C19/$C$21</f>
        <v>6.1418894120079262E-3</v>
      </c>
      <c r="E19" s="96">
        <v>256.00942700000002</v>
      </c>
      <c r="F19" s="95">
        <f>E19/$E$21</f>
        <v>4.1942599544269434E-3</v>
      </c>
      <c r="G19" s="1209"/>
      <c r="H19" s="110"/>
      <c r="I19" s="109"/>
      <c r="J19" s="109"/>
      <c r="K19" s="147"/>
      <c r="L19" s="62"/>
      <c r="M19" s="62"/>
      <c r="N19" s="62"/>
      <c r="O19" s="62"/>
      <c r="P19" s="62"/>
      <c r="Q19" s="62"/>
      <c r="R19" s="770"/>
      <c r="S19" s="770"/>
      <c r="T19" s="770"/>
      <c r="U19" s="770"/>
      <c r="V19" s="770"/>
    </row>
    <row r="20" spans="1:24">
      <c r="A20" s="459"/>
      <c r="B20" s="97" t="s">
        <v>323</v>
      </c>
      <c r="C20" s="98">
        <v>1282.9100000000001</v>
      </c>
      <c r="D20" s="93">
        <f>C20/$C$21</f>
        <v>7.9419948449891545E-2</v>
      </c>
      <c r="E20" s="99">
        <v>3717.5861757049015</v>
      </c>
      <c r="F20" s="95">
        <f>E20/$E$21</f>
        <v>6.0906049463132751E-2</v>
      </c>
      <c r="G20" s="1209"/>
      <c r="H20" s="110"/>
      <c r="I20" s="109"/>
      <c r="J20" s="109"/>
      <c r="K20" s="147"/>
      <c r="L20" s="62"/>
      <c r="M20" s="62"/>
      <c r="N20" s="62"/>
      <c r="O20" s="62"/>
      <c r="P20" s="62"/>
      <c r="Q20" s="62"/>
      <c r="R20" s="770"/>
      <c r="S20" s="770"/>
      <c r="T20" s="770"/>
      <c r="U20" s="770"/>
      <c r="V20" s="770"/>
    </row>
    <row r="21" spans="1:24" ht="13.5" thickBot="1">
      <c r="A21" s="459"/>
      <c r="B21" s="100" t="s">
        <v>28</v>
      </c>
      <c r="C21" s="101">
        <f>C16+C17+C18+C19+C20</f>
        <v>16153.4982714</v>
      </c>
      <c r="D21" s="102">
        <v>1</v>
      </c>
      <c r="E21" s="101">
        <f>E16+E17+E18+E19+E20</f>
        <v>61038.044799723983</v>
      </c>
      <c r="F21" s="103">
        <v>1</v>
      </c>
      <c r="G21" s="1209"/>
      <c r="H21" s="147"/>
      <c r="I21" s="111"/>
      <c r="J21" s="147"/>
      <c r="K21" s="147"/>
      <c r="L21" s="62"/>
      <c r="M21" s="62"/>
      <c r="N21" s="62"/>
      <c r="O21" s="62"/>
      <c r="P21" s="62"/>
      <c r="Q21" s="62"/>
      <c r="R21" s="770"/>
      <c r="S21" s="770"/>
      <c r="T21" s="770"/>
      <c r="U21" s="770"/>
      <c r="V21" s="770"/>
    </row>
    <row r="22" spans="1:24" ht="13.5" thickBot="1">
      <c r="A22" s="459"/>
      <c r="B22" s="1210"/>
      <c r="C22" s="1211"/>
      <c r="D22" s="1212"/>
      <c r="E22" s="1213"/>
      <c r="F22" s="1214"/>
      <c r="G22" s="62"/>
      <c r="H22" s="147"/>
      <c r="I22" s="147"/>
      <c r="J22" s="147"/>
      <c r="K22" s="147"/>
      <c r="L22" s="62"/>
      <c r="M22" s="62"/>
      <c r="N22" s="62"/>
      <c r="O22" s="62"/>
      <c r="P22" s="62"/>
      <c r="Q22" s="62"/>
      <c r="R22" s="770"/>
      <c r="S22" s="770"/>
      <c r="T22" s="770"/>
      <c r="U22" s="770"/>
      <c r="V22" s="770"/>
    </row>
    <row r="23" spans="1:24">
      <c r="A23" s="459"/>
      <c r="B23" s="104" t="s">
        <v>761</v>
      </c>
      <c r="C23" s="458"/>
      <c r="D23" s="62"/>
      <c r="E23" s="458"/>
      <c r="F23" s="62"/>
      <c r="G23" s="62"/>
      <c r="H23" s="62"/>
      <c r="I23" s="62"/>
      <c r="J23" s="62"/>
      <c r="K23" s="62"/>
      <c r="L23" s="62"/>
      <c r="M23" s="62"/>
      <c r="N23" s="62"/>
      <c r="O23" s="62"/>
      <c r="P23" s="62"/>
      <c r="Q23" s="62"/>
      <c r="R23" s="770"/>
      <c r="S23" s="770"/>
      <c r="T23" s="770"/>
      <c r="U23" s="770"/>
      <c r="V23" s="770"/>
    </row>
    <row r="24" spans="1:24">
      <c r="A24" s="459"/>
      <c r="B24" s="104"/>
      <c r="C24" s="458"/>
      <c r="D24" s="62"/>
      <c r="E24" s="458"/>
      <c r="F24" s="62"/>
      <c r="G24" s="62"/>
      <c r="H24" s="62"/>
      <c r="I24" s="62"/>
      <c r="J24" s="62"/>
      <c r="K24" s="62"/>
      <c r="L24" s="62"/>
      <c r="M24" s="62"/>
      <c r="N24" s="62"/>
      <c r="O24" s="62"/>
      <c r="P24" s="62"/>
      <c r="Q24" s="62"/>
      <c r="R24" s="770"/>
      <c r="S24" s="770"/>
      <c r="T24" s="770"/>
      <c r="U24" s="770"/>
      <c r="V24" s="770"/>
    </row>
    <row r="25" spans="1:24">
      <c r="A25" s="459"/>
      <c r="B25" s="104" t="s">
        <v>694</v>
      </c>
      <c r="C25" s="62"/>
      <c r="D25" s="62"/>
      <c r="E25" s="62"/>
      <c r="F25" s="62"/>
      <c r="G25" s="62"/>
      <c r="H25" s="62"/>
      <c r="I25" s="62"/>
      <c r="J25" s="62"/>
      <c r="K25" s="62"/>
      <c r="L25" s="62"/>
      <c r="M25" s="62"/>
      <c r="N25" s="62"/>
      <c r="O25" s="62"/>
      <c r="P25" s="62"/>
      <c r="Q25" s="62"/>
      <c r="R25" s="770"/>
      <c r="S25" s="770"/>
      <c r="T25" s="770"/>
      <c r="U25" s="770"/>
      <c r="V25" s="770"/>
    </row>
    <row r="26" spans="1:24" ht="18">
      <c r="A26" s="459"/>
      <c r="B26" s="1418" t="s">
        <v>419</v>
      </c>
      <c r="C26" s="1418"/>
      <c r="D26" s="1418"/>
      <c r="E26" s="1418"/>
      <c r="F26" s="1418"/>
      <c r="G26" s="1418"/>
      <c r="H26" s="1418"/>
      <c r="I26" s="1418"/>
      <c r="J26" s="1418"/>
      <c r="K26" s="1418"/>
      <c r="L26" s="1418"/>
      <c r="M26" s="62"/>
      <c r="N26" s="62"/>
      <c r="O26" s="62"/>
      <c r="P26" s="62"/>
      <c r="Q26" s="62"/>
      <c r="R26" s="770"/>
      <c r="S26" s="770"/>
      <c r="T26" s="770"/>
      <c r="U26" s="770"/>
      <c r="V26" s="770"/>
    </row>
    <row r="27" spans="1:24" ht="16.5" thickBot="1">
      <c r="A27" s="459"/>
      <c r="B27" s="1419" t="s">
        <v>186</v>
      </c>
      <c r="C27" s="1419"/>
      <c r="D27" s="1419"/>
      <c r="E27" s="1419"/>
      <c r="F27" s="1419"/>
      <c r="G27" s="62"/>
      <c r="H27" s="62"/>
      <c r="I27" s="62"/>
      <c r="J27" s="62"/>
      <c r="K27" s="62"/>
      <c r="L27" s="62"/>
      <c r="M27" s="62"/>
      <c r="N27" s="62"/>
      <c r="O27" s="62"/>
      <c r="P27" s="62"/>
      <c r="Q27" s="62"/>
      <c r="R27" s="770"/>
      <c r="S27" s="770"/>
      <c r="T27" s="770"/>
      <c r="U27" s="770"/>
      <c r="V27" s="770"/>
    </row>
    <row r="28" spans="1:24" ht="16.5" thickBot="1">
      <c r="A28" s="459"/>
      <c r="B28" s="348"/>
      <c r="C28" s="349"/>
      <c r="D28" s="349"/>
      <c r="E28" s="349"/>
      <c r="F28" s="349"/>
      <c r="G28" s="1215"/>
      <c r="H28" s="1215"/>
      <c r="I28" s="1215"/>
      <c r="J28" s="1215"/>
      <c r="K28" s="1215"/>
      <c r="L28" s="1215"/>
      <c r="M28" s="1215"/>
      <c r="N28" s="1215"/>
      <c r="O28" s="1215"/>
      <c r="P28" s="1215"/>
      <c r="Q28" s="1215"/>
      <c r="R28" s="1215"/>
      <c r="S28" s="1215"/>
      <c r="T28" s="1215"/>
      <c r="U28" s="1215"/>
      <c r="V28" s="1215"/>
      <c r="W28" s="1314"/>
      <c r="X28" s="1347"/>
    </row>
    <row r="29" spans="1:24" ht="13.5" thickBot="1">
      <c r="A29" s="459"/>
      <c r="B29" s="57" t="s">
        <v>420</v>
      </c>
      <c r="C29" s="61">
        <v>1999</v>
      </c>
      <c r="D29" s="861"/>
      <c r="E29" s="61">
        <v>2000</v>
      </c>
      <c r="F29" s="861"/>
      <c r="G29" s="61">
        <v>2001</v>
      </c>
      <c r="H29" s="861"/>
      <c r="I29" s="61">
        <v>2002</v>
      </c>
      <c r="J29" s="861"/>
      <c r="K29" s="61">
        <v>2003</v>
      </c>
      <c r="L29" s="861"/>
      <c r="M29" s="862">
        <v>2004</v>
      </c>
      <c r="N29" s="861"/>
      <c r="O29" s="862">
        <v>2005</v>
      </c>
      <c r="P29" s="861"/>
      <c r="Q29" s="862">
        <v>2006</v>
      </c>
      <c r="R29" s="862"/>
      <c r="S29" s="862">
        <v>2007</v>
      </c>
      <c r="T29" s="862"/>
      <c r="U29" s="1352">
        <v>2008</v>
      </c>
      <c r="V29" s="1351"/>
      <c r="W29" s="61">
        <v>2009</v>
      </c>
      <c r="X29" s="863"/>
    </row>
    <row r="30" spans="1:24">
      <c r="A30" s="459"/>
      <c r="B30" s="64" t="s">
        <v>421</v>
      </c>
      <c r="C30" s="868">
        <v>13577</v>
      </c>
      <c r="D30" s="869">
        <v>0.35366901977128867</v>
      </c>
      <c r="E30" s="868">
        <v>19081</v>
      </c>
      <c r="F30" s="869">
        <v>0.46236793641562468</v>
      </c>
      <c r="G30" s="868">
        <v>21680</v>
      </c>
      <c r="H30" s="869">
        <v>0.49365849215565727</v>
      </c>
      <c r="I30" s="868">
        <v>23187</v>
      </c>
      <c r="J30" s="869">
        <v>0.50979486841237387</v>
      </c>
      <c r="K30" s="868">
        <v>22603</v>
      </c>
      <c r="L30" s="869">
        <v>0.46300000000000002</v>
      </c>
      <c r="M30" s="868">
        <v>20969.338340000002</v>
      </c>
      <c r="N30" s="869">
        <v>0.42820609962793699</v>
      </c>
      <c r="O30" s="868">
        <v>25575.5</v>
      </c>
      <c r="P30" s="869">
        <v>0.50209767694793395</v>
      </c>
      <c r="Q30" s="868">
        <v>28215.050083250269</v>
      </c>
      <c r="R30" s="870">
        <v>0.52307517754046107</v>
      </c>
      <c r="S30" s="868">
        <v>22334.859107965047</v>
      </c>
      <c r="T30" s="870">
        <v>0.39634516430825767</v>
      </c>
      <c r="U30" s="868">
        <v>23871.049691684639</v>
      </c>
      <c r="V30" s="869">
        <v>0.41991138188658123</v>
      </c>
      <c r="W30" s="1349">
        <v>24799.32538012437</v>
      </c>
      <c r="X30" s="871">
        <f>W30/$W$35</f>
        <v>0.43264352685644203</v>
      </c>
    </row>
    <row r="31" spans="1:24">
      <c r="A31" s="459"/>
      <c r="B31" s="64" t="s">
        <v>422</v>
      </c>
      <c r="C31" s="868">
        <v>6698</v>
      </c>
      <c r="D31" s="869">
        <v>0.17447706374221783</v>
      </c>
      <c r="E31" s="868">
        <v>9771</v>
      </c>
      <c r="F31" s="869">
        <v>0.23676940971212562</v>
      </c>
      <c r="G31" s="868">
        <v>12504</v>
      </c>
      <c r="H31" s="869">
        <v>0.28471890156431451</v>
      </c>
      <c r="I31" s="868">
        <v>12529</v>
      </c>
      <c r="J31" s="869">
        <v>0.27546555856034122</v>
      </c>
      <c r="K31" s="868">
        <v>15961</v>
      </c>
      <c r="L31" s="869">
        <v>0.32700000000000001</v>
      </c>
      <c r="M31" s="868">
        <v>17683.138361000001</v>
      </c>
      <c r="N31" s="869">
        <v>0.36109998245871977</v>
      </c>
      <c r="O31" s="868">
        <v>14953.694481592225</v>
      </c>
      <c r="P31" s="869">
        <v>0.29357061488520642</v>
      </c>
      <c r="Q31" s="868">
        <v>12465.623981257759</v>
      </c>
      <c r="R31" s="870">
        <v>0.23109859659685206</v>
      </c>
      <c r="S31" s="868">
        <v>6062.9986874184151</v>
      </c>
      <c r="T31" s="870">
        <v>0.10759146495393075</v>
      </c>
      <c r="U31" s="868">
        <v>3182.3089422435969</v>
      </c>
      <c r="V31" s="869">
        <v>5.5979429593036395E-2</v>
      </c>
      <c r="W31" s="1349">
        <v>5211.7122800543411</v>
      </c>
      <c r="X31" s="871">
        <f>W31/$W$35</f>
        <v>9.0922375800225538E-2</v>
      </c>
    </row>
    <row r="32" spans="1:24">
      <c r="A32" s="459"/>
      <c r="B32" s="64" t="s">
        <v>214</v>
      </c>
      <c r="C32" s="868">
        <v>13260</v>
      </c>
      <c r="D32" s="869">
        <v>0.34541144598713175</v>
      </c>
      <c r="E32" s="868">
        <v>9354</v>
      </c>
      <c r="F32" s="869">
        <v>0.22666472811863914</v>
      </c>
      <c r="G32" s="868">
        <v>6228</v>
      </c>
      <c r="H32" s="869">
        <v>0.14181296536648677</v>
      </c>
      <c r="I32" s="868">
        <v>6925</v>
      </c>
      <c r="J32" s="869">
        <v>0.15225468856495833</v>
      </c>
      <c r="K32" s="868">
        <v>6581</v>
      </c>
      <c r="L32" s="869">
        <v>0.13500000000000001</v>
      </c>
      <c r="M32" s="868">
        <v>8894.8492200000001</v>
      </c>
      <c r="N32" s="869">
        <v>0.18163800066162686</v>
      </c>
      <c r="O32" s="868">
        <v>8371.4701332636341</v>
      </c>
      <c r="P32" s="869">
        <v>0.16434852521165499</v>
      </c>
      <c r="Q32" s="868">
        <v>12112.417708798426</v>
      </c>
      <c r="R32" s="870">
        <v>0.22455055102791124</v>
      </c>
      <c r="S32" s="868">
        <v>14727.158622132734</v>
      </c>
      <c r="T32" s="870">
        <v>0.26134206066253496</v>
      </c>
      <c r="U32" s="868">
        <v>15274.89700330563</v>
      </c>
      <c r="V32" s="869">
        <v>0.26869799157041618</v>
      </c>
      <c r="W32" s="1349">
        <v>15805.908957639083</v>
      </c>
      <c r="X32" s="871">
        <f>W32/$W$35</f>
        <v>0.27574637986263267</v>
      </c>
    </row>
    <row r="33" spans="1:24">
      <c r="A33" s="459"/>
      <c r="B33" s="64" t="s">
        <v>423</v>
      </c>
      <c r="C33" s="868">
        <v>3399</v>
      </c>
      <c r="D33" s="869">
        <v>8.8540988303941234E-2</v>
      </c>
      <c r="E33" s="868">
        <v>1687</v>
      </c>
      <c r="F33" s="869">
        <v>4.087913153048367E-2</v>
      </c>
      <c r="G33" s="868">
        <v>1822</v>
      </c>
      <c r="H33" s="869">
        <v>4.1487351139649797E-2</v>
      </c>
      <c r="I33" s="868">
        <v>1062</v>
      </c>
      <c r="J33" s="869">
        <v>2.4E-2</v>
      </c>
      <c r="K33" s="868">
        <v>1940</v>
      </c>
      <c r="L33" s="869">
        <v>0.04</v>
      </c>
      <c r="M33" s="868">
        <v>159.74271499999998</v>
      </c>
      <c r="N33" s="869">
        <v>3.2620392606115549E-3</v>
      </c>
      <c r="O33" s="868">
        <v>1201.000738985445</v>
      </c>
      <c r="P33" s="869">
        <v>2.35780211943987E-2</v>
      </c>
      <c r="Q33" s="868">
        <v>570.45888370728949</v>
      </c>
      <c r="R33" s="870">
        <v>1.0575663732451186E-2</v>
      </c>
      <c r="S33" s="868">
        <v>12473.755315674507</v>
      </c>
      <c r="T33" s="870">
        <v>0.22135409837301903</v>
      </c>
      <c r="U33" s="868">
        <v>13628.241741205997</v>
      </c>
      <c r="V33" s="869">
        <v>0.23973197224869652</v>
      </c>
      <c r="W33" s="1349">
        <v>10453.896762931199</v>
      </c>
      <c r="X33" s="871">
        <f>W33/$W$35</f>
        <v>0.18237636288818329</v>
      </c>
    </row>
    <row r="34" spans="1:24">
      <c r="A34" s="459"/>
      <c r="B34" s="64" t="s">
        <v>231</v>
      </c>
      <c r="C34" s="868">
        <v>1450</v>
      </c>
      <c r="D34" s="869">
        <v>3.7901482195420562E-2</v>
      </c>
      <c r="E34" s="868">
        <v>1375</v>
      </c>
      <c r="F34" s="869">
        <v>3.3076475719685958E-2</v>
      </c>
      <c r="G34" s="868">
        <v>1683</v>
      </c>
      <c r="H34" s="869">
        <v>3.8322289773891662E-2</v>
      </c>
      <c r="I34" s="868">
        <v>1781</v>
      </c>
      <c r="J34" s="869">
        <v>3.913550117626366E-2</v>
      </c>
      <c r="K34" s="868">
        <v>1695</v>
      </c>
      <c r="L34" s="869">
        <v>3.5000000000000003E-2</v>
      </c>
      <c r="M34" s="868">
        <v>1263.1313639999921</v>
      </c>
      <c r="N34" s="869">
        <v>2.5793877991104632E-2</v>
      </c>
      <c r="O34" s="868">
        <v>835.63464615869862</v>
      </c>
      <c r="P34" s="869">
        <v>1.6405161760805902E-2</v>
      </c>
      <c r="Q34" s="868">
        <v>577.16626998624486</v>
      </c>
      <c r="R34" s="870">
        <v>1.0700011102324535E-2</v>
      </c>
      <c r="S34" s="868">
        <v>753.26966725413581</v>
      </c>
      <c r="T34" s="870">
        <v>1.3367211702257686E-2</v>
      </c>
      <c r="U34" s="868">
        <v>891.32985700347479</v>
      </c>
      <c r="V34" s="869">
        <v>1.5679224701269687E-2</v>
      </c>
      <c r="W34" s="1349">
        <v>1049.6152432700853</v>
      </c>
      <c r="X34" s="871">
        <f>W34/$W$35</f>
        <v>1.8311354592516527E-2</v>
      </c>
    </row>
    <row r="35" spans="1:24" ht="13.5" thickBot="1">
      <c r="A35" s="459"/>
      <c r="B35" s="118" t="s">
        <v>100</v>
      </c>
      <c r="C35" s="872">
        <v>38384</v>
      </c>
      <c r="D35" s="874"/>
      <c r="E35" s="872">
        <v>41268</v>
      </c>
      <c r="F35" s="874">
        <v>0.99975768149655919</v>
      </c>
      <c r="G35" s="872">
        <v>43917</v>
      </c>
      <c r="H35" s="873"/>
      <c r="I35" s="872">
        <v>45484</v>
      </c>
      <c r="J35" s="873"/>
      <c r="K35" s="872">
        <v>48780</v>
      </c>
      <c r="L35" s="873"/>
      <c r="M35" s="875">
        <v>48970.2</v>
      </c>
      <c r="N35" s="873"/>
      <c r="O35" s="875">
        <v>50937.3</v>
      </c>
      <c r="P35" s="873"/>
      <c r="Q35" s="875">
        <v>53940.716926999987</v>
      </c>
      <c r="R35" s="878"/>
      <c r="S35" s="875">
        <v>56352.041400444832</v>
      </c>
      <c r="T35" s="878"/>
      <c r="U35" s="875">
        <v>56847.827235443336</v>
      </c>
      <c r="V35" s="873"/>
      <c r="W35" s="1350">
        <f>SUM(W30:W34)</f>
        <v>57320.458624019077</v>
      </c>
      <c r="X35" s="879"/>
    </row>
    <row r="36" spans="1:24">
      <c r="A36" s="459"/>
      <c r="B36" s="104" t="s">
        <v>424</v>
      </c>
      <c r="C36" s="62"/>
      <c r="D36" s="62"/>
      <c r="E36" s="458"/>
      <c r="F36" s="62"/>
      <c r="G36" s="458"/>
      <c r="H36" s="62"/>
      <c r="I36" s="62"/>
      <c r="J36" s="62"/>
      <c r="K36" s="62"/>
      <c r="L36" s="62"/>
      <c r="M36" s="62"/>
      <c r="N36" s="62"/>
      <c r="O36" s="62"/>
      <c r="P36" s="62"/>
      <c r="Q36" s="62"/>
      <c r="R36" s="770"/>
      <c r="S36" s="770"/>
      <c r="T36" s="770"/>
      <c r="U36" s="770"/>
      <c r="V36" s="770"/>
    </row>
    <row r="37" spans="1:24">
      <c r="A37" s="459"/>
      <c r="B37" s="62"/>
      <c r="C37" s="458"/>
      <c r="D37" s="1209"/>
      <c r="E37" s="458"/>
      <c r="F37" s="1209"/>
      <c r="G37" s="458"/>
      <c r="H37" s="1209"/>
      <c r="I37" s="458"/>
      <c r="J37" s="1209"/>
      <c r="K37" s="458"/>
      <c r="L37" s="1209"/>
      <c r="M37" s="62"/>
      <c r="N37" s="62"/>
      <c r="O37" s="62"/>
      <c r="P37" s="62"/>
      <c r="Q37" s="62"/>
      <c r="R37" s="770"/>
      <c r="S37" s="770"/>
      <c r="T37" s="770"/>
      <c r="U37" s="770"/>
      <c r="V37" s="770"/>
    </row>
    <row r="38" spans="1:24">
      <c r="A38" s="459"/>
      <c r="B38" s="62"/>
      <c r="C38" s="62"/>
      <c r="D38" s="62"/>
      <c r="E38" s="62"/>
      <c r="F38" s="62"/>
      <c r="G38" s="62"/>
      <c r="H38" s="62"/>
      <c r="I38" s="62"/>
      <c r="J38" s="62"/>
      <c r="K38" s="62"/>
      <c r="L38" s="62"/>
      <c r="M38" s="62"/>
      <c r="N38" s="62"/>
      <c r="O38" s="62"/>
      <c r="P38" s="62"/>
      <c r="Q38" s="62"/>
      <c r="R38" s="770"/>
      <c r="S38" s="770"/>
      <c r="T38" s="770"/>
      <c r="U38" s="770"/>
      <c r="V38" s="770"/>
    </row>
    <row r="39" spans="1:24">
      <c r="A39" s="459"/>
      <c r="B39" s="104" t="s">
        <v>695</v>
      </c>
      <c r="C39" s="62"/>
      <c r="D39" s="62"/>
      <c r="E39" s="62"/>
      <c r="F39" s="62"/>
      <c r="G39" s="62"/>
      <c r="H39" s="62"/>
      <c r="I39" s="62"/>
      <c r="J39" s="62"/>
      <c r="K39" s="62"/>
      <c r="L39" s="62"/>
      <c r="M39" s="62"/>
      <c r="N39" s="62"/>
      <c r="O39" s="62"/>
      <c r="P39" s="62"/>
      <c r="Q39" s="62"/>
      <c r="R39" s="770"/>
      <c r="S39" s="770"/>
      <c r="T39" s="770"/>
      <c r="U39" s="770"/>
      <c r="V39" s="770"/>
    </row>
    <row r="40" spans="1:24" ht="18">
      <c r="A40" s="459"/>
      <c r="B40" s="1420" t="s">
        <v>425</v>
      </c>
      <c r="C40" s="1420"/>
      <c r="D40" s="1420"/>
      <c r="E40" s="1420"/>
      <c r="F40" s="1420"/>
      <c r="G40" s="1420"/>
      <c r="H40" s="1420"/>
      <c r="I40" s="1420"/>
      <c r="J40" s="62"/>
      <c r="K40" s="62"/>
      <c r="L40" s="62"/>
      <c r="M40" s="62"/>
      <c r="N40" s="62"/>
      <c r="O40" s="62"/>
      <c r="P40" s="62"/>
      <c r="Q40" s="62"/>
      <c r="R40" s="770"/>
      <c r="S40" s="770"/>
      <c r="T40" s="770"/>
      <c r="U40" s="770"/>
      <c r="V40" s="770"/>
    </row>
    <row r="41" spans="1:24" ht="16.5" thickBot="1">
      <c r="A41" s="459"/>
      <c r="B41" s="1419" t="s">
        <v>426</v>
      </c>
      <c r="C41" s="1419"/>
      <c r="D41" s="1419"/>
      <c r="E41" s="1419"/>
      <c r="F41" s="1419"/>
      <c r="G41" s="62"/>
      <c r="H41" s="62"/>
      <c r="I41" s="62"/>
      <c r="J41" s="62"/>
      <c r="K41" s="62"/>
      <c r="L41" s="62"/>
      <c r="M41" s="62"/>
      <c r="N41" s="62"/>
      <c r="O41" s="62"/>
      <c r="P41" s="62"/>
      <c r="Q41" s="62"/>
      <c r="R41" s="770"/>
      <c r="S41" s="770"/>
      <c r="T41" s="770"/>
      <c r="U41" s="770"/>
      <c r="V41" s="770"/>
    </row>
    <row r="42" spans="1:24" ht="16.5" thickBot="1">
      <c r="A42" s="459"/>
      <c r="B42" s="348"/>
      <c r="C42" s="349"/>
      <c r="D42" s="349"/>
      <c r="E42" s="349"/>
      <c r="F42" s="349"/>
      <c r="G42" s="1215"/>
      <c r="H42" s="1215"/>
      <c r="I42" s="1215"/>
      <c r="J42" s="1215"/>
      <c r="K42" s="1215"/>
      <c r="L42" s="1215"/>
      <c r="M42" s="1215"/>
      <c r="N42" s="1215"/>
      <c r="O42" s="1215"/>
      <c r="P42" s="1215"/>
      <c r="Q42" s="1215"/>
      <c r="R42" s="1215"/>
      <c r="S42" s="1215"/>
      <c r="T42" s="1215"/>
      <c r="U42" s="1314"/>
      <c r="V42" s="1314"/>
      <c r="W42" s="1215"/>
      <c r="X42" s="1216"/>
    </row>
    <row r="43" spans="1:24" ht="13.5" thickBot="1">
      <c r="A43" s="459"/>
      <c r="B43" s="57" t="s">
        <v>420</v>
      </c>
      <c r="C43" s="61">
        <v>1999</v>
      </c>
      <c r="D43" s="861"/>
      <c r="E43" s="61">
        <v>2000</v>
      </c>
      <c r="F43" s="861"/>
      <c r="G43" s="61">
        <v>2001</v>
      </c>
      <c r="H43" s="861"/>
      <c r="I43" s="61">
        <v>2002</v>
      </c>
      <c r="J43" s="861"/>
      <c r="K43" s="61">
        <v>2003</v>
      </c>
      <c r="L43" s="861"/>
      <c r="M43" s="862">
        <v>2004</v>
      </c>
      <c r="N43" s="861"/>
      <c r="O43" s="862">
        <v>2005</v>
      </c>
      <c r="P43" s="861"/>
      <c r="Q43" s="862">
        <v>2006</v>
      </c>
      <c r="R43" s="862"/>
      <c r="S43" s="862">
        <v>2007</v>
      </c>
      <c r="T43" s="862"/>
      <c r="U43" s="862">
        <v>2008</v>
      </c>
      <c r="V43" s="861"/>
      <c r="W43" s="61">
        <v>2009</v>
      </c>
      <c r="X43" s="863"/>
    </row>
    <row r="44" spans="1:24">
      <c r="A44" s="459"/>
      <c r="B44" s="409" t="s">
        <v>421</v>
      </c>
      <c r="C44" s="864">
        <v>4012</v>
      </c>
      <c r="D44" s="865">
        <v>0.4</v>
      </c>
      <c r="E44" s="864">
        <v>4128</v>
      </c>
      <c r="F44" s="865">
        <v>0.39799460084843813</v>
      </c>
      <c r="G44" s="864">
        <v>4124</v>
      </c>
      <c r="H44" s="865">
        <v>0.37793255131964809</v>
      </c>
      <c r="I44" s="864">
        <v>4157</v>
      </c>
      <c r="J44" s="865">
        <v>0.373</v>
      </c>
      <c r="K44" s="864">
        <v>4167</v>
      </c>
      <c r="L44" s="865">
        <v>0.36399999999999999</v>
      </c>
      <c r="M44" s="864">
        <v>4725.6720000000005</v>
      </c>
      <c r="N44" s="865">
        <v>0.40874696175528791</v>
      </c>
      <c r="O44" s="864">
        <v>4725.6720000000005</v>
      </c>
      <c r="P44" s="865">
        <v>0.39438893971864913</v>
      </c>
      <c r="Q44" s="864">
        <v>4813.1720000000005</v>
      </c>
      <c r="R44" s="866">
        <v>0.38911540889652746</v>
      </c>
      <c r="S44" s="864">
        <v>4907.0039999999999</v>
      </c>
      <c r="T44" s="866">
        <v>0.3819426504276438</v>
      </c>
      <c r="U44" s="864">
        <v>4943.1730000000007</v>
      </c>
      <c r="V44" s="865">
        <v>0.37683482328948287</v>
      </c>
      <c r="W44" s="1348">
        <v>5318.5834443999993</v>
      </c>
      <c r="X44" s="867">
        <f>W44/$W$49</f>
        <v>0.35765790480723719</v>
      </c>
    </row>
    <row r="45" spans="1:24">
      <c r="A45" s="459"/>
      <c r="B45" s="64" t="s">
        <v>422</v>
      </c>
      <c r="C45" s="868">
        <v>2299</v>
      </c>
      <c r="D45" s="869">
        <v>0.22900000000000001</v>
      </c>
      <c r="E45" s="868">
        <v>2638</v>
      </c>
      <c r="F45" s="869">
        <v>0.25433860393366758</v>
      </c>
      <c r="G45" s="868">
        <v>3126</v>
      </c>
      <c r="H45" s="869">
        <v>0.28699999999999998</v>
      </c>
      <c r="I45" s="868">
        <v>3441</v>
      </c>
      <c r="J45" s="869">
        <v>0.309</v>
      </c>
      <c r="K45" s="868">
        <v>3708</v>
      </c>
      <c r="L45" s="869">
        <v>0.32300000000000001</v>
      </c>
      <c r="M45" s="868">
        <v>3915.9550000000004</v>
      </c>
      <c r="N45" s="869">
        <v>0.33871049633161771</v>
      </c>
      <c r="O45" s="868">
        <v>4311.8550000000005</v>
      </c>
      <c r="P45" s="869">
        <v>0.3598531429330169</v>
      </c>
      <c r="Q45" s="868">
        <v>4492.454999999999</v>
      </c>
      <c r="R45" s="870">
        <v>0.36318740827758672</v>
      </c>
      <c r="S45" s="868">
        <v>4730.5149999999994</v>
      </c>
      <c r="T45" s="870">
        <v>0.36820541352477509</v>
      </c>
      <c r="U45" s="868">
        <v>4738.5150000000003</v>
      </c>
      <c r="V45" s="869">
        <v>0.36123305064976763</v>
      </c>
      <c r="W45" s="1349">
        <v>5134.3254000000006</v>
      </c>
      <c r="X45" s="871">
        <f>W45/$W$49</f>
        <v>0.34526713444649937</v>
      </c>
    </row>
    <row r="46" spans="1:24">
      <c r="A46" s="459"/>
      <c r="B46" s="64" t="s">
        <v>214</v>
      </c>
      <c r="C46" s="868">
        <v>2260</v>
      </c>
      <c r="D46" s="869">
        <v>0.22600000000000001</v>
      </c>
      <c r="E46" s="868">
        <v>2225</v>
      </c>
      <c r="F46" s="869">
        <v>0.21451986116467411</v>
      </c>
      <c r="G46" s="868">
        <v>2264</v>
      </c>
      <c r="H46" s="869">
        <v>0.20799999999999999</v>
      </c>
      <c r="I46" s="868">
        <v>2253</v>
      </c>
      <c r="J46" s="869">
        <v>0.20200000000000001</v>
      </c>
      <c r="K46" s="868">
        <v>2258</v>
      </c>
      <c r="L46" s="869">
        <v>0.19700000000000001</v>
      </c>
      <c r="M46" s="868">
        <v>2143.34</v>
      </c>
      <c r="N46" s="869">
        <v>0.18538817611729691</v>
      </c>
      <c r="O46" s="868">
        <v>2143.34</v>
      </c>
      <c r="P46" s="869">
        <v>0.17887606039026183</v>
      </c>
      <c r="Q46" s="868">
        <v>2043.34</v>
      </c>
      <c r="R46" s="870">
        <v>0.16519149525814378</v>
      </c>
      <c r="S46" s="868">
        <v>2043.34</v>
      </c>
      <c r="T46" s="870">
        <v>0.15904586491570452</v>
      </c>
      <c r="U46" s="868">
        <v>2043.34</v>
      </c>
      <c r="V46" s="869">
        <v>0.15577073022132379</v>
      </c>
      <c r="W46" s="1349">
        <v>2136.6835000000001</v>
      </c>
      <c r="X46" s="871">
        <f>W46/$W$49</f>
        <v>0.14368520336948584</v>
      </c>
    </row>
    <row r="47" spans="1:24">
      <c r="A47" s="459"/>
      <c r="B47" s="64" t="s">
        <v>423</v>
      </c>
      <c r="C47" s="868">
        <f>1238</f>
        <v>1238</v>
      </c>
      <c r="D47" s="869">
        <v>0.124</v>
      </c>
      <c r="E47" s="868">
        <f>1168</f>
        <v>1168</v>
      </c>
      <c r="F47" s="869">
        <v>0.11280370227535673</v>
      </c>
      <c r="G47" s="868">
        <f>1015</f>
        <v>1015</v>
      </c>
      <c r="H47" s="869">
        <v>9.2999999999999999E-2</v>
      </c>
      <c r="I47" s="868">
        <f>996</f>
        <v>996</v>
      </c>
      <c r="J47" s="869">
        <v>0.09</v>
      </c>
      <c r="K47" s="868">
        <f>1003</f>
        <v>1003</v>
      </c>
      <c r="L47" s="869">
        <v>8.7999999999999995E-2</v>
      </c>
      <c r="M47" s="868">
        <v>553.51600000000008</v>
      </c>
      <c r="N47" s="869">
        <v>4.7876361982579399E-2</v>
      </c>
      <c r="O47" s="868">
        <v>553.51600000000008</v>
      </c>
      <c r="P47" s="869">
        <v>4.61946128206333E-2</v>
      </c>
      <c r="Q47" s="868">
        <v>839.67600000000004</v>
      </c>
      <c r="R47" s="870">
        <v>6.7882649961522379E-2</v>
      </c>
      <c r="S47" s="868">
        <v>955.6</v>
      </c>
      <c r="T47" s="870">
        <v>7.4380293300893269E-2</v>
      </c>
      <c r="U47" s="868">
        <v>1206.0540000000003</v>
      </c>
      <c r="V47" s="869">
        <v>9.1941582050147547E-2</v>
      </c>
      <c r="W47" s="1349">
        <v>2031.3374270000004</v>
      </c>
      <c r="X47" s="871">
        <f>W47/$W$49</f>
        <v>0.13660101335108507</v>
      </c>
    </row>
    <row r="48" spans="1:24">
      <c r="A48" s="459"/>
      <c r="B48" s="64" t="s">
        <v>231</v>
      </c>
      <c r="C48" s="868">
        <v>211</v>
      </c>
      <c r="D48" s="869">
        <v>2.1000000000000001E-2</v>
      </c>
      <c r="E48" s="868">
        <v>211</v>
      </c>
      <c r="F48" s="869">
        <v>2.0343231777863478E-2</v>
      </c>
      <c r="G48" s="868">
        <v>375</v>
      </c>
      <c r="H48" s="869">
        <v>3.4365835777126097E-2</v>
      </c>
      <c r="I48" s="868">
        <v>289</v>
      </c>
      <c r="J48" s="869">
        <v>2.5999999999999999E-2</v>
      </c>
      <c r="K48" s="868">
        <v>318</v>
      </c>
      <c r="L48" s="869">
        <v>2.8000000000000001E-2</v>
      </c>
      <c r="M48" s="868">
        <v>222.88</v>
      </c>
      <c r="N48" s="869">
        <v>1.9278003813218217E-2</v>
      </c>
      <c r="O48" s="868">
        <v>247.88</v>
      </c>
      <c r="P48" s="869">
        <v>2.0687244137438811E-2</v>
      </c>
      <c r="Q48" s="868">
        <v>180.88</v>
      </c>
      <c r="R48" s="870">
        <v>1.462303760621974E-2</v>
      </c>
      <c r="S48" s="868">
        <v>211.03</v>
      </c>
      <c r="T48" s="870">
        <v>1.6425777830983156E-2</v>
      </c>
      <c r="U48" s="868">
        <v>186.53</v>
      </c>
      <c r="V48" s="869">
        <v>1.4219813789278106E-2</v>
      </c>
      <c r="W48" s="1349">
        <v>249.6585</v>
      </c>
      <c r="X48" s="871">
        <f>W48/$W$49</f>
        <v>1.6788744025692519E-2</v>
      </c>
    </row>
    <row r="49" spans="1:24" ht="13.5" thickBot="1">
      <c r="A49" s="459"/>
      <c r="B49" s="118" t="s">
        <v>100</v>
      </c>
      <c r="C49" s="872">
        <v>10020</v>
      </c>
      <c r="D49" s="873"/>
      <c r="E49" s="872">
        <v>10370</v>
      </c>
      <c r="F49" s="873"/>
      <c r="G49" s="872">
        <v>10904</v>
      </c>
      <c r="H49" s="874"/>
      <c r="I49" s="872">
        <v>11136</v>
      </c>
      <c r="J49" s="874"/>
      <c r="K49" s="872">
        <v>11454</v>
      </c>
      <c r="L49" s="874"/>
      <c r="M49" s="875">
        <v>11561.362999999999</v>
      </c>
      <c r="N49" s="874"/>
      <c r="O49" s="875">
        <v>11982.263000000001</v>
      </c>
      <c r="P49" s="874"/>
      <c r="Q49" s="875">
        <v>12369.522999999999</v>
      </c>
      <c r="R49" s="876"/>
      <c r="S49" s="875">
        <v>12847.489000000001</v>
      </c>
      <c r="T49" s="876"/>
      <c r="U49" s="875">
        <v>13117.612000000003</v>
      </c>
      <c r="V49" s="874"/>
      <c r="W49" s="1350">
        <f>SUM(W44:W48)</f>
        <v>14870.5882714</v>
      </c>
      <c r="X49" s="877"/>
    </row>
    <row r="50" spans="1:24">
      <c r="A50" s="459"/>
      <c r="B50" s="104" t="s">
        <v>762</v>
      </c>
      <c r="C50" s="62"/>
      <c r="D50" s="62"/>
      <c r="E50" s="62"/>
      <c r="F50" s="62"/>
      <c r="G50" s="62"/>
      <c r="H50" s="62"/>
      <c r="I50" s="62"/>
      <c r="J50" s="62"/>
      <c r="K50" s="458"/>
      <c r="L50" s="62"/>
      <c r="M50" s="1209"/>
      <c r="N50" s="62"/>
      <c r="O50" s="62"/>
      <c r="P50" s="62"/>
      <c r="Q50" s="62"/>
      <c r="R50" s="770"/>
      <c r="S50" s="770"/>
      <c r="T50" s="770"/>
      <c r="U50" s="770"/>
      <c r="V50" s="770"/>
    </row>
    <row r="51" spans="1:24">
      <c r="A51" s="62"/>
      <c r="B51" s="104" t="s">
        <v>427</v>
      </c>
      <c r="C51" s="62"/>
      <c r="D51" s="62"/>
      <c r="E51" s="62"/>
      <c r="F51" s="62"/>
      <c r="G51" s="62"/>
      <c r="H51" s="62"/>
      <c r="I51" s="62"/>
      <c r="J51" s="62"/>
      <c r="K51" s="62"/>
      <c r="L51" s="62"/>
      <c r="M51" s="62"/>
      <c r="N51" s="62"/>
      <c r="O51" s="62"/>
      <c r="P51" s="62"/>
      <c r="Q51" s="62"/>
      <c r="R51" s="770"/>
      <c r="S51" s="770"/>
      <c r="T51" s="770"/>
      <c r="U51" s="770"/>
      <c r="V51" s="770"/>
    </row>
    <row r="52" spans="1:24">
      <c r="A52" s="62"/>
      <c r="B52" s="62"/>
      <c r="C52" s="458"/>
      <c r="D52" s="458"/>
      <c r="E52" s="458"/>
      <c r="F52" s="458"/>
      <c r="G52" s="458"/>
      <c r="H52" s="458"/>
      <c r="I52" s="458"/>
      <c r="J52" s="458"/>
      <c r="K52" s="458"/>
      <c r="L52" s="458"/>
      <c r="M52" s="62"/>
      <c r="N52" s="62"/>
      <c r="O52" s="62"/>
      <c r="P52" s="62"/>
      <c r="Q52" s="62"/>
      <c r="R52" s="770"/>
      <c r="S52" s="770"/>
      <c r="T52" s="770"/>
      <c r="U52" s="770"/>
      <c r="V52" s="770"/>
    </row>
    <row r="53" spans="1:24">
      <c r="A53" s="770"/>
      <c r="B53" s="770"/>
      <c r="C53" s="770"/>
      <c r="D53" s="770"/>
      <c r="E53" s="770"/>
      <c r="F53" s="770"/>
      <c r="G53" s="770"/>
      <c r="H53" s="770"/>
      <c r="I53" s="770"/>
      <c r="J53" s="770"/>
      <c r="K53" s="770"/>
      <c r="L53" s="770"/>
      <c r="M53" s="770"/>
      <c r="N53" s="770"/>
      <c r="O53" s="770"/>
      <c r="P53" s="770"/>
      <c r="Q53" s="770"/>
      <c r="R53" s="770"/>
      <c r="S53" s="770"/>
      <c r="T53" s="770"/>
      <c r="U53" s="770"/>
      <c r="V53" s="770"/>
    </row>
    <row r="54" spans="1:24">
      <c r="A54" s="770"/>
      <c r="B54" s="770"/>
      <c r="C54" s="770"/>
      <c r="D54" s="770"/>
      <c r="E54" s="770"/>
      <c r="F54" s="770"/>
      <c r="G54" s="770"/>
      <c r="H54" s="770"/>
      <c r="I54" s="770"/>
      <c r="J54" s="770"/>
      <c r="K54" s="770"/>
      <c r="L54" s="770"/>
      <c r="M54" s="770"/>
      <c r="N54" s="770"/>
      <c r="O54" s="770"/>
      <c r="P54" s="770"/>
      <c r="Q54" s="770"/>
      <c r="R54" s="770"/>
      <c r="S54" s="770"/>
      <c r="T54" s="770"/>
      <c r="U54" s="770"/>
      <c r="V54" s="770"/>
    </row>
    <row r="55" spans="1:24">
      <c r="A55" s="770"/>
      <c r="B55" s="770"/>
      <c r="C55" s="770"/>
      <c r="D55" s="770"/>
      <c r="E55" s="770"/>
      <c r="F55" s="770"/>
      <c r="G55" s="770"/>
      <c r="H55" s="770"/>
      <c r="I55" s="770"/>
      <c r="J55" s="770"/>
      <c r="K55" s="770"/>
      <c r="L55" s="770"/>
      <c r="M55" s="770"/>
      <c r="N55" s="770"/>
      <c r="O55" s="770"/>
      <c r="P55" s="770"/>
      <c r="Q55" s="770"/>
      <c r="R55" s="770"/>
      <c r="S55" s="770"/>
      <c r="T55" s="770"/>
      <c r="U55" s="770"/>
      <c r="V55" s="770"/>
    </row>
    <row r="56" spans="1:24">
      <c r="A56" s="770"/>
      <c r="B56" s="770"/>
      <c r="C56" s="770"/>
      <c r="D56" s="770"/>
      <c r="E56" s="770"/>
      <c r="F56" s="770"/>
      <c r="G56" s="770"/>
      <c r="H56" s="770"/>
      <c r="I56" s="770"/>
      <c r="J56" s="770"/>
      <c r="K56" s="770"/>
      <c r="L56" s="770"/>
      <c r="M56" s="770"/>
      <c r="N56" s="770"/>
      <c r="O56" s="770"/>
      <c r="P56" s="770"/>
      <c r="Q56" s="770"/>
      <c r="R56" s="770"/>
      <c r="S56" s="770"/>
      <c r="T56" s="770"/>
      <c r="U56" s="770"/>
      <c r="V56" s="770"/>
    </row>
    <row r="57" spans="1:24">
      <c r="A57" s="770"/>
      <c r="B57" s="770"/>
      <c r="C57" s="770"/>
      <c r="D57" s="770"/>
      <c r="E57" s="770"/>
      <c r="F57" s="770"/>
      <c r="G57" s="770"/>
      <c r="H57" s="770"/>
      <c r="I57" s="770"/>
      <c r="J57" s="770"/>
      <c r="K57" s="770"/>
      <c r="L57" s="770"/>
      <c r="M57" s="770"/>
      <c r="N57" s="770"/>
      <c r="O57" s="770"/>
      <c r="P57" s="770"/>
      <c r="Q57" s="770"/>
      <c r="R57" s="770"/>
      <c r="S57" s="770"/>
      <c r="T57" s="770"/>
      <c r="U57" s="770"/>
      <c r="V57" s="770"/>
    </row>
    <row r="58" spans="1:24">
      <c r="A58" s="770"/>
      <c r="B58" s="770"/>
      <c r="C58" s="770"/>
      <c r="D58" s="770"/>
      <c r="E58" s="770"/>
      <c r="F58" s="770"/>
      <c r="G58" s="770"/>
      <c r="H58" s="770"/>
      <c r="I58" s="770"/>
      <c r="J58" s="770"/>
      <c r="K58" s="770"/>
      <c r="L58" s="770"/>
      <c r="M58" s="770"/>
      <c r="N58" s="770"/>
      <c r="O58" s="770"/>
      <c r="P58" s="770"/>
      <c r="Q58" s="770"/>
      <c r="R58" s="770"/>
      <c r="S58" s="770"/>
      <c r="T58" s="770"/>
      <c r="U58" s="770"/>
      <c r="V58" s="770"/>
    </row>
    <row r="59" spans="1:24">
      <c r="A59" s="770"/>
      <c r="B59" s="770"/>
      <c r="C59" s="770"/>
      <c r="D59" s="770"/>
      <c r="E59" s="770"/>
      <c r="F59" s="770"/>
      <c r="G59" s="770"/>
      <c r="H59" s="770"/>
      <c r="I59" s="770"/>
      <c r="J59" s="770"/>
      <c r="K59" s="770"/>
      <c r="L59" s="770"/>
      <c r="M59" s="770"/>
      <c r="N59" s="770"/>
      <c r="O59" s="770"/>
      <c r="P59" s="770"/>
      <c r="Q59" s="770"/>
      <c r="R59" s="770"/>
      <c r="S59" s="770"/>
      <c r="T59" s="770"/>
      <c r="U59" s="770"/>
      <c r="V59" s="770"/>
    </row>
    <row r="60" spans="1:24">
      <c r="A60" s="770"/>
      <c r="B60" s="770"/>
      <c r="C60" s="770"/>
      <c r="D60" s="770"/>
      <c r="E60" s="770"/>
      <c r="F60" s="770"/>
      <c r="G60" s="770"/>
      <c r="H60" s="770"/>
      <c r="I60" s="770"/>
      <c r="J60" s="770"/>
      <c r="K60" s="770"/>
      <c r="L60" s="770"/>
      <c r="M60" s="770"/>
      <c r="N60" s="770"/>
      <c r="O60" s="770"/>
      <c r="P60" s="770"/>
      <c r="Q60" s="770"/>
      <c r="R60" s="770"/>
      <c r="S60" s="770"/>
      <c r="T60" s="770"/>
      <c r="U60" s="770"/>
      <c r="V60" s="770"/>
    </row>
  </sheetData>
  <mergeCells count="4">
    <mergeCell ref="B26:L26"/>
    <mergeCell ref="B27:F27"/>
    <mergeCell ref="B40:I40"/>
    <mergeCell ref="B41:F41"/>
  </mergeCells>
  <phoneticPr fontId="50" type="noConversion"/>
  <hyperlinks>
    <hyperlink ref="H2" location="INDICE!A60" display="VOLVER A INDICE"/>
  </hyperlinks>
  <pageMargins left="0.75" right="0.75" top="1" bottom="1" header="0" footer="0"/>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69"/>
  <sheetViews>
    <sheetView zoomScale="75" workbookViewId="0">
      <pane xSplit="2" ySplit="7" topLeftCell="C8" activePane="bottomRight" state="frozen"/>
      <selection pane="topRight" activeCell="D1" sqref="D1"/>
      <selection pane="bottomLeft" activeCell="A11" sqref="A11"/>
      <selection pane="bottomRight" activeCell="N38" sqref="N38"/>
    </sheetView>
  </sheetViews>
  <sheetFormatPr baseColWidth="10" defaultRowHeight="12.75"/>
  <cols>
    <col min="1" max="1" width="4.5703125" style="3" customWidth="1"/>
    <col min="2" max="2" width="26.140625" style="3" customWidth="1"/>
    <col min="3" max="3" width="11.42578125" style="58"/>
    <col min="4" max="4" width="12.7109375" style="58" customWidth="1"/>
    <col min="5" max="12" width="11.42578125" style="58"/>
    <col min="13" max="13" width="12.5703125" style="58" bestFit="1" customWidth="1"/>
    <col min="14" max="25" width="11.42578125" style="58"/>
    <col min="26" max="16384" width="11.42578125" style="3"/>
  </cols>
  <sheetData>
    <row r="1" spans="1:26">
      <c r="A1" s="148"/>
      <c r="B1" s="149"/>
      <c r="C1" s="150"/>
      <c r="D1" s="150"/>
      <c r="E1" s="253" t="s">
        <v>606</v>
      </c>
      <c r="F1" s="150"/>
      <c r="G1" s="150"/>
      <c r="H1" s="150"/>
      <c r="I1" s="150"/>
      <c r="J1" s="150"/>
      <c r="K1" s="150"/>
      <c r="L1" s="150"/>
      <c r="M1" s="150"/>
      <c r="N1" s="150"/>
      <c r="O1" s="150"/>
      <c r="P1" s="150"/>
      <c r="Q1" s="150"/>
      <c r="R1" s="150" t="s">
        <v>283</v>
      </c>
      <c r="S1" s="150"/>
      <c r="T1" s="150"/>
      <c r="U1" s="150"/>
      <c r="V1" s="150"/>
      <c r="W1" s="150"/>
      <c r="X1" s="150"/>
      <c r="Y1" s="150"/>
    </row>
    <row r="2" spans="1:26">
      <c r="A2" s="148"/>
      <c r="B2" s="148"/>
      <c r="C2" s="150"/>
      <c r="D2" s="150"/>
      <c r="E2" s="150"/>
      <c r="F2" s="150"/>
      <c r="G2" s="150"/>
      <c r="H2" s="170"/>
      <c r="I2" s="170"/>
      <c r="J2" s="170"/>
      <c r="K2" s="150"/>
      <c r="L2" s="150"/>
      <c r="M2" s="150"/>
      <c r="N2" s="150"/>
      <c r="O2" s="150"/>
      <c r="P2" s="150"/>
      <c r="Q2" s="150"/>
      <c r="R2" s="150" t="s">
        <v>283</v>
      </c>
      <c r="S2" s="150"/>
      <c r="T2" s="150"/>
      <c r="U2" s="150"/>
      <c r="V2" s="150"/>
      <c r="W2" s="171"/>
      <c r="X2" s="150" t="s">
        <v>284</v>
      </c>
      <c r="Y2" s="150"/>
    </row>
    <row r="3" spans="1:26">
      <c r="A3" s="148"/>
      <c r="B3" s="148"/>
      <c r="C3" s="150"/>
      <c r="D3" s="150"/>
      <c r="E3" s="150"/>
      <c r="F3" s="150"/>
      <c r="G3" s="150"/>
      <c r="H3" s="170"/>
      <c r="I3" s="170" t="s">
        <v>285</v>
      </c>
      <c r="J3" s="170"/>
      <c r="K3" s="150"/>
      <c r="L3" s="150"/>
      <c r="M3" s="150"/>
      <c r="N3" s="150"/>
      <c r="O3" s="150"/>
      <c r="P3" s="150"/>
      <c r="Q3" s="150"/>
      <c r="R3" s="150" t="s">
        <v>283</v>
      </c>
      <c r="S3" s="150"/>
      <c r="T3" s="150"/>
      <c r="U3" s="150" t="s">
        <v>286</v>
      </c>
      <c r="V3" s="150"/>
      <c r="W3" s="150"/>
      <c r="X3" s="150" t="s">
        <v>287</v>
      </c>
      <c r="Y3" s="150"/>
    </row>
    <row r="4" spans="1:26" ht="13.5" thickBot="1">
      <c r="A4" s="148"/>
      <c r="B4" s="148"/>
      <c r="C4" s="1421" t="s">
        <v>288</v>
      </c>
      <c r="D4" s="1422"/>
      <c r="E4" s="1422"/>
      <c r="F4" s="1422"/>
      <c r="G4" s="1422"/>
      <c r="H4" s="1422"/>
      <c r="I4" s="1422"/>
      <c r="J4" s="1422"/>
      <c r="K4" s="1422"/>
      <c r="L4" s="1423"/>
      <c r="M4" s="1421" t="s">
        <v>289</v>
      </c>
      <c r="N4" s="1422"/>
      <c r="O4" s="1422"/>
      <c r="P4" s="1422"/>
      <c r="Q4" s="1422"/>
      <c r="R4" s="1422"/>
      <c r="S4" s="1422"/>
      <c r="T4" s="1422"/>
      <c r="U4" s="1422"/>
      <c r="V4" s="1422"/>
      <c r="W4" s="1422"/>
      <c r="X4" s="1422"/>
      <c r="Y4" s="1423"/>
    </row>
    <row r="5" spans="1:26">
      <c r="A5" s="154"/>
      <c r="B5" s="157" t="s">
        <v>290</v>
      </c>
      <c r="C5" s="186" t="s">
        <v>480</v>
      </c>
      <c r="D5" s="187" t="s">
        <v>291</v>
      </c>
      <c r="E5" s="186" t="s">
        <v>24</v>
      </c>
      <c r="F5" s="187" t="s">
        <v>292</v>
      </c>
      <c r="G5" s="187" t="s">
        <v>293</v>
      </c>
      <c r="H5" s="188"/>
      <c r="I5" s="186" t="s">
        <v>294</v>
      </c>
      <c r="J5" s="189" t="s">
        <v>295</v>
      </c>
      <c r="K5" s="186" t="s">
        <v>296</v>
      </c>
      <c r="L5" s="187" t="s">
        <v>297</v>
      </c>
      <c r="M5" s="186" t="s">
        <v>298</v>
      </c>
      <c r="N5" s="187" t="s">
        <v>291</v>
      </c>
      <c r="O5" s="186" t="s">
        <v>299</v>
      </c>
      <c r="P5" s="187" t="s">
        <v>300</v>
      </c>
      <c r="Q5" s="186" t="s">
        <v>72</v>
      </c>
      <c r="R5" s="187" t="s">
        <v>301</v>
      </c>
      <c r="S5" s="186" t="s">
        <v>302</v>
      </c>
      <c r="T5" s="187" t="s">
        <v>24</v>
      </c>
      <c r="U5" s="186" t="s">
        <v>303</v>
      </c>
      <c r="V5" s="187" t="s">
        <v>296</v>
      </c>
      <c r="W5" s="186" t="s">
        <v>304</v>
      </c>
      <c r="X5" s="187" t="s">
        <v>297</v>
      </c>
      <c r="Y5" s="164" t="s">
        <v>28</v>
      </c>
    </row>
    <row r="6" spans="1:26">
      <c r="A6" s="155"/>
      <c r="B6" s="158">
        <v>2004</v>
      </c>
      <c r="C6" s="190" t="s">
        <v>305</v>
      </c>
      <c r="D6" s="189" t="s">
        <v>481</v>
      </c>
      <c r="E6" s="190" t="s">
        <v>482</v>
      </c>
      <c r="F6" s="189" t="s">
        <v>483</v>
      </c>
      <c r="G6" s="189" t="s">
        <v>475</v>
      </c>
      <c r="H6" s="189" t="s">
        <v>476</v>
      </c>
      <c r="I6" s="190" t="s">
        <v>283</v>
      </c>
      <c r="J6" s="189" t="s">
        <v>306</v>
      </c>
      <c r="K6" s="190" t="s">
        <v>283</v>
      </c>
      <c r="L6" s="189" t="s">
        <v>484</v>
      </c>
      <c r="M6" s="190" t="s">
        <v>485</v>
      </c>
      <c r="N6" s="189" t="s">
        <v>486</v>
      </c>
      <c r="O6" s="190" t="s">
        <v>307</v>
      </c>
      <c r="P6" s="189" t="s">
        <v>308</v>
      </c>
      <c r="Q6" s="190" t="s">
        <v>309</v>
      </c>
      <c r="R6" s="189" t="s">
        <v>309</v>
      </c>
      <c r="S6" s="190"/>
      <c r="T6" s="189" t="s">
        <v>310</v>
      </c>
      <c r="U6" s="190"/>
      <c r="V6" s="189" t="s">
        <v>283</v>
      </c>
      <c r="W6" s="190" t="s">
        <v>311</v>
      </c>
      <c r="X6" s="189" t="s">
        <v>312</v>
      </c>
      <c r="Y6" s="172"/>
    </row>
    <row r="7" spans="1:26" ht="13.5" thickBot="1">
      <c r="A7" s="155"/>
      <c r="B7" s="159"/>
      <c r="C7" s="190"/>
      <c r="D7" s="189"/>
      <c r="E7" s="190"/>
      <c r="F7" s="189"/>
      <c r="G7" s="191"/>
      <c r="H7" s="189" t="s">
        <v>283</v>
      </c>
      <c r="I7" s="190"/>
      <c r="J7" s="189" t="s">
        <v>313</v>
      </c>
      <c r="K7" s="190" t="s">
        <v>283</v>
      </c>
      <c r="L7" s="189"/>
      <c r="M7" s="190"/>
      <c r="N7" s="189"/>
      <c r="O7" s="190" t="s">
        <v>314</v>
      </c>
      <c r="P7" s="189" t="s">
        <v>315</v>
      </c>
      <c r="Q7" s="190"/>
      <c r="R7" s="189" t="s">
        <v>283</v>
      </c>
      <c r="S7" s="190"/>
      <c r="T7" s="192"/>
      <c r="U7" s="190"/>
      <c r="V7" s="189" t="s">
        <v>283</v>
      </c>
      <c r="W7" s="190" t="s">
        <v>316</v>
      </c>
      <c r="X7" s="189" t="s">
        <v>673</v>
      </c>
      <c r="Y7" s="172"/>
    </row>
    <row r="8" spans="1:26">
      <c r="A8" s="1424" t="s">
        <v>477</v>
      </c>
      <c r="B8" s="151" t="s">
        <v>42</v>
      </c>
      <c r="C8" s="70">
        <f>CUADRO3!C9</f>
        <v>1957.13745990966</v>
      </c>
      <c r="D8" s="65">
        <f>CUADRO3!C10</f>
        <v>23568.220215219913</v>
      </c>
      <c r="E8" s="70">
        <f>CUADRO3!C11</f>
        <v>3708.0321649999996</v>
      </c>
      <c r="F8" s="67">
        <f>CUADRO3!C12</f>
        <v>22283.143681192396</v>
      </c>
      <c r="G8" s="70">
        <v>0</v>
      </c>
      <c r="H8" s="67">
        <v>0</v>
      </c>
      <c r="I8" s="70">
        <f>CUADRO3!C14</f>
        <v>51279.987209247607</v>
      </c>
      <c r="J8" s="67">
        <v>0</v>
      </c>
      <c r="K8" s="70">
        <v>0</v>
      </c>
      <c r="L8" s="181">
        <f>SUM(C8:K8)</f>
        <v>102796.52073056958</v>
      </c>
      <c r="M8" s="70">
        <f>CUADRO4!C20</f>
        <v>51333.438527762657</v>
      </c>
      <c r="N8" s="67">
        <f>CUADRO4!C15</f>
        <v>9096.6720437999993</v>
      </c>
      <c r="O8" s="70" t="e">
        <f>CUADRO4!C13+CUADRO4!#REF!+CUADRO4!C16</f>
        <v>#REF!</v>
      </c>
      <c r="P8" s="67">
        <f>CUADRO4!C14+CUADRO4!C17</f>
        <v>7536.975480000001</v>
      </c>
      <c r="Q8" s="70">
        <f>CUADRO4!C12</f>
        <v>37512.607992971993</v>
      </c>
      <c r="R8" s="67">
        <f>CUADRO4!C11</f>
        <v>18923.525302499998</v>
      </c>
      <c r="S8" s="70">
        <f>CUADRO4!C22</f>
        <v>7605.3931346696036</v>
      </c>
      <c r="T8" s="67">
        <v>0</v>
      </c>
      <c r="U8" s="70">
        <f>CUADRO4!C19+CUADRO4!C24+CUADRO4!C25</f>
        <v>5892.3093375399858</v>
      </c>
      <c r="V8" s="67">
        <f>CUADRO4!C18+CUADRO4!C27+CUADRO4!C23</f>
        <v>6660.2819685039995</v>
      </c>
      <c r="W8" s="70">
        <f>CUADRO11!C17</f>
        <v>1955.6977122799999</v>
      </c>
      <c r="X8" s="67" t="e">
        <f>SUM(M8:W8)</f>
        <v>#REF!</v>
      </c>
      <c r="Y8" s="173" t="e">
        <f>X8+L8</f>
        <v>#REF!</v>
      </c>
      <c r="Z8" s="5"/>
    </row>
    <row r="9" spans="1:26">
      <c r="A9" s="1425"/>
      <c r="B9" s="152"/>
      <c r="C9" s="70"/>
      <c r="D9" s="67"/>
      <c r="E9" s="70"/>
      <c r="F9" s="67"/>
      <c r="G9" s="70"/>
      <c r="H9" s="67"/>
      <c r="I9" s="70"/>
      <c r="J9" s="67"/>
      <c r="K9" s="70"/>
      <c r="L9" s="181"/>
      <c r="M9" s="70"/>
      <c r="N9" s="67"/>
      <c r="O9" s="70"/>
      <c r="P9" s="67"/>
      <c r="Q9" s="70"/>
      <c r="R9" s="67"/>
      <c r="S9" s="70"/>
      <c r="T9" s="67"/>
      <c r="U9" s="70"/>
      <c r="V9" s="67"/>
      <c r="W9" s="70"/>
      <c r="X9" s="67"/>
      <c r="Y9" s="173"/>
    </row>
    <row r="10" spans="1:26">
      <c r="A10" s="1425"/>
      <c r="B10" s="152" t="s">
        <v>43</v>
      </c>
      <c r="C10" s="70">
        <f>CUADRO3!D9</f>
        <v>103619.40288279117</v>
      </c>
      <c r="D10" s="67">
        <f>CUADRO3!D10</f>
        <v>8263.6502244328694</v>
      </c>
      <c r="E10" s="70">
        <f>CUADRO3!D11</f>
        <v>38156.598983924494</v>
      </c>
      <c r="F10" s="67">
        <f>CUADRO3!D12</f>
        <v>0</v>
      </c>
      <c r="G10" s="70">
        <v>0</v>
      </c>
      <c r="H10" s="67">
        <v>0</v>
      </c>
      <c r="I10" s="70">
        <v>0</v>
      </c>
      <c r="J10" s="67">
        <v>0</v>
      </c>
      <c r="K10" s="70">
        <v>0</v>
      </c>
      <c r="L10" s="181">
        <f>SUM(C10:K10)</f>
        <v>150039.65209114854</v>
      </c>
      <c r="M10" s="70">
        <f>CUADRO4!D20</f>
        <v>1159.28</v>
      </c>
      <c r="N10" s="67">
        <f>CUADRO4!D15</f>
        <v>9827.2807492295433</v>
      </c>
      <c r="O10" s="70" t="e">
        <f>CUADRO4!D13+CUADRO4!#REF!+CUADRO4!D16</f>
        <v>#REF!</v>
      </c>
      <c r="P10" s="67">
        <f>CUADRO4!D14+CUADRO4!D17</f>
        <v>1935.4769975879999</v>
      </c>
      <c r="Q10" s="70">
        <f>CUADRO4!D12</f>
        <v>45611.942778616802</v>
      </c>
      <c r="R10" s="67">
        <f>CUADRO4!D11</f>
        <v>4963.1864680125</v>
      </c>
      <c r="S10" s="70">
        <f>CUADRO4!D22</f>
        <v>2940.1153326999997</v>
      </c>
      <c r="T10" s="67">
        <v>0</v>
      </c>
      <c r="U10" s="70">
        <f>CUADRO4!D19+CUADRO4!D24+CUADRO4!D25</f>
        <v>0</v>
      </c>
      <c r="V10" s="67">
        <f>CUADRO4!D18+CUADRO4!D27+CUADRO4!D23</f>
        <v>34.899969999999996</v>
      </c>
      <c r="W10" s="70">
        <v>0</v>
      </c>
      <c r="X10" s="67" t="e">
        <f>SUM(M10:W10)</f>
        <v>#REF!</v>
      </c>
      <c r="Y10" s="173" t="e">
        <f>X10+L10</f>
        <v>#REF!</v>
      </c>
      <c r="Z10" s="5"/>
    </row>
    <row r="11" spans="1:26">
      <c r="A11" s="1425"/>
      <c r="B11" s="152"/>
      <c r="C11" s="70"/>
      <c r="D11" s="67"/>
      <c r="E11" s="70"/>
      <c r="F11" s="67"/>
      <c r="G11" s="70"/>
      <c r="H11" s="67"/>
      <c r="I11" s="70"/>
      <c r="J11" s="67"/>
      <c r="K11" s="70"/>
      <c r="L11" s="181"/>
      <c r="M11" s="70"/>
      <c r="N11" s="67"/>
      <c r="O11" s="70"/>
      <c r="P11" s="67"/>
      <c r="Q11" s="70"/>
      <c r="R11" s="67"/>
      <c r="S11" s="70"/>
      <c r="T11" s="67"/>
      <c r="U11" s="70"/>
      <c r="V11" s="67"/>
      <c r="W11" s="70"/>
      <c r="X11" s="67"/>
      <c r="Y11" s="173"/>
    </row>
    <row r="12" spans="1:26">
      <c r="A12" s="1425"/>
      <c r="B12" s="152" t="s">
        <v>44</v>
      </c>
      <c r="C12" s="70">
        <f>CUADRO3!E9</f>
        <v>0</v>
      </c>
      <c r="D12" s="67">
        <f>CUADRO3!E10</f>
        <v>0</v>
      </c>
      <c r="E12" s="70">
        <f>CUADRO3!E11</f>
        <v>0</v>
      </c>
      <c r="F12" s="67">
        <f>CUADRO3!E12</f>
        <v>0</v>
      </c>
      <c r="G12" s="70">
        <v>0</v>
      </c>
      <c r="H12" s="67">
        <v>0</v>
      </c>
      <c r="I12" s="70">
        <v>0</v>
      </c>
      <c r="J12" s="67">
        <v>0</v>
      </c>
      <c r="K12" s="70">
        <v>0</v>
      </c>
      <c r="L12" s="181">
        <f>SUM(C12:K12)</f>
        <v>0</v>
      </c>
      <c r="M12" s="70">
        <v>0</v>
      </c>
      <c r="N12" s="67">
        <f>CUADRO4!E15</f>
        <v>381.89146960799997</v>
      </c>
      <c r="O12" s="70" t="e">
        <f>CUADRO4!E13+CUADRO4!#REF!+CUADRO4!E16</f>
        <v>#REF!</v>
      </c>
      <c r="P12" s="67">
        <f>CUADRO4!E14+CUADRO4!E17</f>
        <v>0</v>
      </c>
      <c r="Q12" s="70">
        <f>CUADRO4!E12</f>
        <v>5168.8609708679978</v>
      </c>
      <c r="R12" s="67">
        <f>CUADRO4!E11</f>
        <v>847.01147894999997</v>
      </c>
      <c r="S12" s="70">
        <f>CUADRO4!E22</f>
        <v>0</v>
      </c>
      <c r="T12" s="67">
        <v>0</v>
      </c>
      <c r="U12" s="70">
        <f>CUADRO4!E19+CUADRO4!E24+CUADRO4!E25</f>
        <v>0</v>
      </c>
      <c r="V12" s="67">
        <f>CUADRO4!E18+CUADRO4!E27+CUADRO4!E23</f>
        <v>4734.3167089377584</v>
      </c>
      <c r="W12" s="70">
        <v>0</v>
      </c>
      <c r="X12" s="67" t="e">
        <f>SUM(M12:W12)</f>
        <v>#REF!</v>
      </c>
      <c r="Y12" s="173" t="e">
        <f>X12+L12</f>
        <v>#REF!</v>
      </c>
      <c r="Z12" s="5"/>
    </row>
    <row r="13" spans="1:26">
      <c r="A13" s="1425"/>
      <c r="B13" s="152"/>
      <c r="C13" s="70"/>
      <c r="D13" s="67"/>
      <c r="E13" s="70"/>
      <c r="F13" s="67"/>
      <c r="G13" s="70"/>
      <c r="H13" s="67"/>
      <c r="I13" s="70"/>
      <c r="J13" s="67"/>
      <c r="K13" s="70"/>
      <c r="L13" s="181"/>
      <c r="M13" s="70"/>
      <c r="N13" s="67"/>
      <c r="O13" s="70"/>
      <c r="P13" s="67"/>
      <c r="Q13" s="70"/>
      <c r="R13" s="67"/>
      <c r="S13" s="70"/>
      <c r="T13" s="67"/>
      <c r="U13" s="70"/>
      <c r="V13" s="67"/>
      <c r="W13" s="70"/>
      <c r="X13" s="67"/>
      <c r="Y13" s="173"/>
    </row>
    <row r="14" spans="1:26">
      <c r="A14" s="1425"/>
      <c r="B14" s="152" t="s">
        <v>318</v>
      </c>
      <c r="C14" s="70">
        <f>CUADRO3!F9</f>
        <v>-911.38588984677335</v>
      </c>
      <c r="D14" s="67">
        <f>CUADRO3!F10</f>
        <v>1764.6083099999996</v>
      </c>
      <c r="E14" s="70">
        <f>CUADRO3!F11</f>
        <v>1918.3063636803372</v>
      </c>
      <c r="F14" s="67">
        <v>0</v>
      </c>
      <c r="G14" s="70">
        <v>0</v>
      </c>
      <c r="H14" s="67">
        <v>0</v>
      </c>
      <c r="I14" s="70">
        <v>0</v>
      </c>
      <c r="J14" s="67">
        <v>0</v>
      </c>
      <c r="K14" s="70">
        <v>0</v>
      </c>
      <c r="L14" s="181">
        <f>SUM(C14:K14)</f>
        <v>2771.5287838335635</v>
      </c>
      <c r="M14" s="70">
        <f>CUADRO4!F20</f>
        <v>4291.6041415141517</v>
      </c>
      <c r="N14" s="67">
        <f>CUADRO4!F15</f>
        <v>2096.398584976097</v>
      </c>
      <c r="O14" s="70" t="e">
        <f>CUADRO4!F13+CUADRO4!#REF!+CUADRO4!F16</f>
        <v>#REF!</v>
      </c>
      <c r="P14" s="67">
        <f>CUADRO4!F14+CUADRO4!F17</f>
        <v>372.35450098383922</v>
      </c>
      <c r="Q14" s="70">
        <f>CUADRO4!F12</f>
        <v>-4715.189597661586</v>
      </c>
      <c r="R14" s="67">
        <f>CUADRO4!F11</f>
        <v>966.35113574999832</v>
      </c>
      <c r="S14" s="70">
        <f>CUADRO4!F22</f>
        <v>338.3511196095078</v>
      </c>
      <c r="T14" s="67">
        <v>0</v>
      </c>
      <c r="U14" s="70">
        <f>CUADRO4!F19+CUADRO4!F24+CUADRO4!F25</f>
        <v>196.59132359947247</v>
      </c>
      <c r="V14" s="67">
        <f>CUADRO4!F18+CUADRO4!F23+CUADRO4!F27</f>
        <v>292.23344113937139</v>
      </c>
      <c r="W14" s="70">
        <v>0</v>
      </c>
      <c r="X14" s="67" t="e">
        <f>SUM(M14:W14)</f>
        <v>#REF!</v>
      </c>
      <c r="Y14" s="173" t="e">
        <f>X14+L14</f>
        <v>#REF!</v>
      </c>
      <c r="Z14" s="5"/>
    </row>
    <row r="15" spans="1:26">
      <c r="A15" s="1425"/>
      <c r="B15" s="152"/>
      <c r="C15" s="70"/>
      <c r="D15" s="67"/>
      <c r="E15" s="70"/>
      <c r="F15" s="67"/>
      <c r="G15" s="70"/>
      <c r="H15" s="67"/>
      <c r="I15" s="70"/>
      <c r="J15" s="67"/>
      <c r="K15" s="70"/>
      <c r="L15" s="181"/>
      <c r="M15" s="70"/>
      <c r="N15" s="67"/>
      <c r="O15" s="70"/>
      <c r="P15" s="67"/>
      <c r="Q15" s="70"/>
      <c r="R15" s="67"/>
      <c r="S15" s="70"/>
      <c r="T15" s="67"/>
      <c r="U15" s="70"/>
      <c r="V15" s="67"/>
      <c r="W15" s="70"/>
      <c r="X15" s="67"/>
      <c r="Y15" s="173"/>
    </row>
    <row r="16" spans="1:26">
      <c r="A16" s="1425"/>
      <c r="B16" s="152" t="s">
        <v>319</v>
      </c>
      <c r="C16" s="70">
        <v>0</v>
      </c>
      <c r="D16" s="69">
        <v>0</v>
      </c>
      <c r="E16" s="70">
        <v>0</v>
      </c>
      <c r="F16" s="67">
        <f>CUADRO3!F12</f>
        <v>632.83063562544055</v>
      </c>
      <c r="G16" s="70">
        <v>0</v>
      </c>
      <c r="H16" s="67">
        <v>0</v>
      </c>
      <c r="I16" s="70">
        <v>0</v>
      </c>
      <c r="J16" s="67">
        <v>0</v>
      </c>
      <c r="K16" s="70">
        <v>0</v>
      </c>
      <c r="L16" s="181">
        <f>SUM(C16:K16)</f>
        <v>632.83063562544055</v>
      </c>
      <c r="M16" s="70">
        <v>0</v>
      </c>
      <c r="N16" s="67">
        <v>0</v>
      </c>
      <c r="O16" s="70">
        <v>0</v>
      </c>
      <c r="P16" s="67">
        <v>0</v>
      </c>
      <c r="Q16" s="70">
        <v>0</v>
      </c>
      <c r="R16" s="67">
        <v>0</v>
      </c>
      <c r="S16" s="70">
        <v>0</v>
      </c>
      <c r="T16" s="67">
        <v>0</v>
      </c>
      <c r="U16" s="70">
        <v>0</v>
      </c>
      <c r="V16" s="67">
        <v>0</v>
      </c>
      <c r="W16" s="70">
        <v>0</v>
      </c>
      <c r="X16" s="67">
        <f>SUM(M16:W16)</f>
        <v>0</v>
      </c>
      <c r="Y16" s="173">
        <f>X16+L16</f>
        <v>632.83063562544055</v>
      </c>
      <c r="Z16" s="5"/>
    </row>
    <row r="17" spans="1:26" ht="13.5" thickBot="1">
      <c r="A17" s="1426"/>
      <c r="B17" s="153"/>
      <c r="C17" s="70"/>
      <c r="D17" s="67"/>
      <c r="E17" s="70"/>
      <c r="F17" s="67"/>
      <c r="G17" s="70"/>
      <c r="H17" s="67"/>
      <c r="I17" s="70"/>
      <c r="J17" s="67"/>
      <c r="K17" s="70"/>
      <c r="L17" s="176"/>
      <c r="M17" s="160"/>
      <c r="N17" s="174"/>
      <c r="O17" s="160"/>
      <c r="P17" s="174"/>
      <c r="Q17" s="160"/>
      <c r="R17" s="174"/>
      <c r="S17" s="160"/>
      <c r="T17" s="174"/>
      <c r="U17" s="160"/>
      <c r="V17" s="174"/>
      <c r="W17" s="160"/>
      <c r="X17" s="174"/>
      <c r="Y17" s="175"/>
      <c r="Z17" s="5"/>
    </row>
    <row r="18" spans="1:26" ht="13.5" thickBot="1">
      <c r="A18" s="156"/>
      <c r="B18" s="153" t="s">
        <v>320</v>
      </c>
      <c r="C18" s="376">
        <f>CUADRO3!G9</f>
        <v>106487.9262325476</v>
      </c>
      <c r="D18" s="184">
        <f>CUADRO3!G10</f>
        <v>30067.262129652787</v>
      </c>
      <c r="E18" s="183">
        <f>CUADRO3!G11</f>
        <v>39946.324785244156</v>
      </c>
      <c r="F18" s="184">
        <f>CUADRO3!G12</f>
        <v>21650.31304556696</v>
      </c>
      <c r="G18" s="183">
        <v>0</v>
      </c>
      <c r="H18" s="184">
        <v>0</v>
      </c>
      <c r="I18" s="183">
        <f>I8</f>
        <v>51279.987209247607</v>
      </c>
      <c r="J18" s="184">
        <v>0</v>
      </c>
      <c r="K18" s="185">
        <f>K8+K10-K12-K14-K16</f>
        <v>0</v>
      </c>
      <c r="L18" s="369">
        <f>SUM(C18:K18)</f>
        <v>249431.81340225911</v>
      </c>
      <c r="M18" s="165">
        <f>CUADRO4!I20</f>
        <v>48201.114386248504</v>
      </c>
      <c r="N18" s="176">
        <f>CUADRO4!I15</f>
        <v>16445.662738445444</v>
      </c>
      <c r="O18" s="165" t="e">
        <f>CUADRO4!I13+CUADRO4!#REF!+CUADRO4!I16</f>
        <v>#REF!</v>
      </c>
      <c r="P18" s="176">
        <f>CUADRO4!I14+CUADRO4!I17</f>
        <v>9100.0979766041601</v>
      </c>
      <c r="Q18" s="165">
        <f>CUADRO4!I12</f>
        <v>82670.879398382385</v>
      </c>
      <c r="R18" s="176">
        <f>CUADRO4!I11</f>
        <v>22073.349155812495</v>
      </c>
      <c r="S18" s="165">
        <f>CUADRO4!I22</f>
        <v>10207.157347760094</v>
      </c>
      <c r="T18" s="176">
        <f>T8+T10-T12-T14-T16</f>
        <v>0</v>
      </c>
      <c r="U18" s="165">
        <f>CUADRO4!I19+CUADRO4!I24+CUADRO4!I25</f>
        <v>5695.7180139405145</v>
      </c>
      <c r="V18" s="176">
        <f>CUADRO4!I18+CUADRO4!I27+CUADRO4!I23</f>
        <v>1668.6317884268703</v>
      </c>
      <c r="W18" s="165">
        <f>W8</f>
        <v>1955.6977122799999</v>
      </c>
      <c r="X18" s="176" t="e">
        <f>X8+X10-X12-X14-X16</f>
        <v>#REF!</v>
      </c>
      <c r="Y18" s="175" t="e">
        <f>X18+L18</f>
        <v>#REF!</v>
      </c>
      <c r="Z18" s="5"/>
    </row>
    <row r="19" spans="1:26">
      <c r="A19" s="1427" t="s">
        <v>478</v>
      </c>
      <c r="B19" s="151"/>
      <c r="C19" s="161"/>
      <c r="D19" s="177"/>
      <c r="E19" s="161"/>
      <c r="F19" s="177"/>
      <c r="G19" s="161"/>
      <c r="H19" s="177"/>
      <c r="I19" s="161"/>
      <c r="J19" s="177"/>
      <c r="K19" s="161"/>
      <c r="L19" s="179"/>
      <c r="M19" s="161"/>
      <c r="N19" s="177"/>
      <c r="O19" s="161"/>
      <c r="P19" s="177"/>
      <c r="Q19" s="161"/>
      <c r="R19" s="177"/>
      <c r="S19" s="161"/>
      <c r="T19" s="177"/>
      <c r="U19" s="161"/>
      <c r="V19" s="177"/>
      <c r="W19" s="161"/>
      <c r="X19" s="177"/>
      <c r="Y19" s="178"/>
      <c r="Z19" s="5"/>
    </row>
    <row r="20" spans="1:26">
      <c r="A20" s="1428"/>
      <c r="B20" s="152" t="s">
        <v>321</v>
      </c>
      <c r="C20" s="70">
        <v>0</v>
      </c>
      <c r="D20" s="67">
        <f>CUADRO10!E16</f>
        <v>5093.0010335739998</v>
      </c>
      <c r="E20" s="70">
        <v>0</v>
      </c>
      <c r="F20" s="67">
        <v>0</v>
      </c>
      <c r="G20" s="70">
        <v>0</v>
      </c>
      <c r="H20" s="67">
        <v>0</v>
      </c>
      <c r="I20" s="70">
        <v>0</v>
      </c>
      <c r="J20" s="67">
        <v>0</v>
      </c>
      <c r="K20" s="70">
        <v>0</v>
      </c>
      <c r="L20" s="181">
        <f>SUM(C20:K20)</f>
        <v>5093.0010335739998</v>
      </c>
      <c r="M20" s="70">
        <v>0</v>
      </c>
      <c r="N20" s="67">
        <f>CUADRO10!E12</f>
        <v>0</v>
      </c>
      <c r="O20" s="70">
        <v>0</v>
      </c>
      <c r="P20" s="67">
        <v>0</v>
      </c>
      <c r="Q20" s="70">
        <v>0</v>
      </c>
      <c r="R20" s="67">
        <f>CUADRO10!E11</f>
        <v>0</v>
      </c>
      <c r="S20" s="70">
        <v>0</v>
      </c>
      <c r="T20" s="67">
        <v>0</v>
      </c>
      <c r="U20" s="70">
        <v>0</v>
      </c>
      <c r="V20" s="67">
        <v>0</v>
      </c>
      <c r="W20" s="70">
        <v>0</v>
      </c>
      <c r="X20" s="67">
        <f>SUM(M20:W20)</f>
        <v>0</v>
      </c>
      <c r="Y20" s="173">
        <f>X20+L20</f>
        <v>5093.0010335739998</v>
      </c>
      <c r="Z20" s="5"/>
    </row>
    <row r="21" spans="1:26">
      <c r="A21" s="1428"/>
      <c r="B21" s="152"/>
      <c r="C21" s="70"/>
      <c r="D21" s="67"/>
      <c r="E21" s="70"/>
      <c r="F21" s="67"/>
      <c r="G21" s="70"/>
      <c r="H21" s="67"/>
      <c r="I21" s="70"/>
      <c r="J21" s="67"/>
      <c r="K21" s="70"/>
      <c r="L21" s="181"/>
      <c r="M21" s="70"/>
      <c r="N21" s="67"/>
      <c r="O21" s="70"/>
      <c r="P21" s="67"/>
      <c r="Q21" s="70"/>
      <c r="R21" s="67"/>
      <c r="S21" s="70"/>
      <c r="T21" s="67"/>
      <c r="U21" s="70"/>
      <c r="V21" s="67"/>
      <c r="W21" s="70"/>
      <c r="X21" s="67"/>
      <c r="Y21" s="173"/>
    </row>
    <row r="22" spans="1:26">
      <c r="A22" s="1428"/>
      <c r="B22" s="152" t="s">
        <v>322</v>
      </c>
      <c r="C22" s="70">
        <v>0</v>
      </c>
      <c r="D22" s="67">
        <f>CONS_TERAC!S50</f>
        <v>8056.9488230933948</v>
      </c>
      <c r="E22" s="70">
        <f>CONS_TERAC!N50</f>
        <v>33506.247771058537</v>
      </c>
      <c r="F22" s="67">
        <v>0</v>
      </c>
      <c r="G22" s="70">
        <v>0</v>
      </c>
      <c r="H22" s="67">
        <v>0</v>
      </c>
      <c r="I22" s="70">
        <f>CONS_TERAC!V50</f>
        <v>0</v>
      </c>
      <c r="J22" s="67">
        <v>0</v>
      </c>
      <c r="K22" s="70">
        <v>0</v>
      </c>
      <c r="L22" s="181">
        <f>SUM(C22:K22)</f>
        <v>41563.19659415193</v>
      </c>
      <c r="M22" s="70">
        <v>0</v>
      </c>
      <c r="N22" s="67">
        <f>CONS_TERAC!G49</f>
        <v>10.0628198</v>
      </c>
      <c r="O22" s="70">
        <v>0</v>
      </c>
      <c r="P22" s="67">
        <v>0</v>
      </c>
      <c r="Q22" s="70">
        <f>CONS_TERAC!C50</f>
        <v>19683.611521896</v>
      </c>
      <c r="R22" s="67">
        <f>CONS_TERAC!D50</f>
        <v>1372.0946085</v>
      </c>
      <c r="S22" s="70">
        <f>CONS_TERAC!O50</f>
        <v>5032.3818471696031</v>
      </c>
      <c r="T22" s="67">
        <v>0</v>
      </c>
      <c r="U22" s="70">
        <f>CONS_TERAC!Q37+CONS_TERAC!R37+CONS_TERAC!K50</f>
        <v>0</v>
      </c>
      <c r="V22" s="67">
        <v>0</v>
      </c>
      <c r="W22" s="70">
        <v>0</v>
      </c>
      <c r="X22" s="67">
        <f>SUM(M22:W22)</f>
        <v>26098.150797365604</v>
      </c>
      <c r="Y22" s="173">
        <f>X22+L22</f>
        <v>67661.347391517542</v>
      </c>
      <c r="Z22" s="5"/>
    </row>
    <row r="23" spans="1:26">
      <c r="A23" s="1428"/>
      <c r="B23" s="152"/>
      <c r="C23" s="70"/>
      <c r="D23" s="67"/>
      <c r="E23" s="70"/>
      <c r="F23" s="67"/>
      <c r="G23" s="70"/>
      <c r="H23" s="67"/>
      <c r="I23" s="70"/>
      <c r="J23" s="67"/>
      <c r="K23" s="70"/>
      <c r="L23" s="181"/>
      <c r="M23" s="70"/>
      <c r="N23" s="67"/>
      <c r="O23" s="70"/>
      <c r="P23" s="67"/>
      <c r="Q23" s="70"/>
      <c r="R23" s="67"/>
      <c r="S23" s="70"/>
      <c r="T23" s="67"/>
      <c r="U23" s="70"/>
      <c r="V23" s="67"/>
      <c r="W23" s="70"/>
      <c r="X23" s="67"/>
      <c r="Y23" s="173"/>
    </row>
    <row r="24" spans="1:26">
      <c r="A24" s="1428"/>
      <c r="B24" s="152" t="s">
        <v>323</v>
      </c>
      <c r="C24" s="70">
        <v>0</v>
      </c>
      <c r="D24" s="67">
        <f>CONS_TERAC!S49</f>
        <v>535.06257310656008</v>
      </c>
      <c r="E24" s="70">
        <f>CONS_TERAC!N49</f>
        <v>0</v>
      </c>
      <c r="F24" s="67">
        <v>0</v>
      </c>
      <c r="G24" s="70">
        <v>0</v>
      </c>
      <c r="H24" s="67">
        <v>0</v>
      </c>
      <c r="I24" s="70">
        <f>CONS_TERAC!V49</f>
        <v>5880.1823984000757</v>
      </c>
      <c r="J24" s="67">
        <v>0</v>
      </c>
      <c r="K24" s="70">
        <v>0</v>
      </c>
      <c r="L24" s="181">
        <f>SUM(C24:K24)</f>
        <v>6415.2449715066359</v>
      </c>
      <c r="M24" s="70">
        <v>0</v>
      </c>
      <c r="N24" s="67">
        <f>CONS_TERAC!G50</f>
        <v>120.255109521943</v>
      </c>
      <c r="O24" s="70">
        <v>0</v>
      </c>
      <c r="P24" s="67">
        <v>0</v>
      </c>
      <c r="Q24" s="70">
        <f>CONS_TERAC!C49</f>
        <v>410.33141849059501</v>
      </c>
      <c r="R24" s="67">
        <f>CONS_TERAC!D49</f>
        <v>1197.510138069</v>
      </c>
      <c r="S24" s="70">
        <f>CONS_TERAC!O49</f>
        <v>0</v>
      </c>
      <c r="T24" s="67">
        <v>0</v>
      </c>
      <c r="U24" s="70">
        <f>CONS_TERAC!K49+CONS_TERAC!Q36+CONS_TERAC!R36</f>
        <v>188.53401745400006</v>
      </c>
      <c r="V24" s="67">
        <v>0</v>
      </c>
      <c r="W24" s="70">
        <v>0</v>
      </c>
      <c r="X24" s="67">
        <f>SUM(M24:W24)</f>
        <v>1916.6306835355381</v>
      </c>
      <c r="Y24" s="173">
        <f>X24+L24</f>
        <v>8331.8756550421749</v>
      </c>
      <c r="Z24" s="5"/>
    </row>
    <row r="25" spans="1:26">
      <c r="A25" s="1428"/>
      <c r="B25" s="152"/>
      <c r="C25" s="70"/>
      <c r="D25" s="67"/>
      <c r="E25" s="70"/>
      <c r="F25" s="67"/>
      <c r="G25" s="70"/>
      <c r="H25" s="67"/>
      <c r="I25" s="70"/>
      <c r="J25" s="67"/>
      <c r="K25" s="70"/>
      <c r="L25" s="181"/>
      <c r="M25" s="70"/>
      <c r="N25" s="67"/>
      <c r="O25" s="70"/>
      <c r="P25" s="67"/>
      <c r="Q25" s="70"/>
      <c r="R25" s="67"/>
      <c r="S25" s="70"/>
      <c r="T25" s="67"/>
      <c r="U25" s="70"/>
      <c r="V25" s="67"/>
      <c r="W25" s="70"/>
      <c r="X25" s="67"/>
      <c r="Y25" s="173"/>
    </row>
    <row r="26" spans="1:26">
      <c r="A26" s="1428"/>
      <c r="B26" s="152" t="s">
        <v>324</v>
      </c>
      <c r="C26" s="70">
        <v>0</v>
      </c>
      <c r="D26" s="67">
        <v>0</v>
      </c>
      <c r="E26" s="68">
        <v>0</v>
      </c>
      <c r="F26" s="67">
        <v>0</v>
      </c>
      <c r="G26" s="70">
        <v>0</v>
      </c>
      <c r="H26" s="67">
        <v>0</v>
      </c>
      <c r="I26" s="70">
        <v>0</v>
      </c>
      <c r="J26" s="67">
        <v>0</v>
      </c>
      <c r="K26" s="70">
        <v>0</v>
      </c>
      <c r="L26" s="181">
        <f>SUM(C26:K26)</f>
        <v>0</v>
      </c>
      <c r="M26" s="70">
        <v>0</v>
      </c>
      <c r="N26" s="67">
        <v>0</v>
      </c>
      <c r="O26" s="70">
        <v>0</v>
      </c>
      <c r="P26" s="67">
        <v>0</v>
      </c>
      <c r="Q26" s="70">
        <v>0</v>
      </c>
      <c r="R26" s="67">
        <v>0</v>
      </c>
      <c r="S26" s="68">
        <v>0</v>
      </c>
      <c r="T26" s="67">
        <v>0</v>
      </c>
      <c r="U26" s="70">
        <v>0</v>
      </c>
      <c r="V26" s="67">
        <v>0</v>
      </c>
      <c r="W26" s="70">
        <v>0</v>
      </c>
      <c r="X26" s="67">
        <f>SUM(M26:W26)</f>
        <v>0</v>
      </c>
      <c r="Y26" s="173">
        <f>X26+L26</f>
        <v>0</v>
      </c>
      <c r="Z26" s="5"/>
    </row>
    <row r="27" spans="1:26">
      <c r="A27" s="1428"/>
      <c r="B27" s="152"/>
      <c r="C27" s="70"/>
      <c r="D27" s="67"/>
      <c r="E27" s="70"/>
      <c r="F27" s="67"/>
      <c r="G27" s="70"/>
      <c r="H27" s="67"/>
      <c r="I27" s="70"/>
      <c r="J27" s="67"/>
      <c r="K27" s="70"/>
      <c r="L27" s="181"/>
      <c r="M27" s="70"/>
      <c r="N27" s="67"/>
      <c r="O27" s="70"/>
      <c r="P27" s="67"/>
      <c r="Q27" s="70"/>
      <c r="R27" s="67"/>
      <c r="S27" s="70"/>
      <c r="T27" s="67"/>
      <c r="U27" s="70"/>
      <c r="V27" s="67"/>
      <c r="W27" s="70"/>
      <c r="X27" s="67"/>
      <c r="Y27" s="173"/>
    </row>
    <row r="28" spans="1:26">
      <c r="A28" s="1428"/>
      <c r="B28" s="152" t="s">
        <v>325</v>
      </c>
      <c r="C28" s="70">
        <v>0</v>
      </c>
      <c r="D28" s="67">
        <v>0</v>
      </c>
      <c r="E28" s="70">
        <f>CUADRO10!F14</f>
        <v>0</v>
      </c>
      <c r="F28" s="67">
        <v>0</v>
      </c>
      <c r="G28" s="70">
        <v>0</v>
      </c>
      <c r="H28" s="67">
        <v>0</v>
      </c>
      <c r="I28" s="70">
        <v>0</v>
      </c>
      <c r="J28" s="67">
        <v>0</v>
      </c>
      <c r="K28" s="70">
        <v>0</v>
      </c>
      <c r="L28" s="181">
        <f>SUM(C28:K28)</f>
        <v>0</v>
      </c>
      <c r="M28" s="70">
        <v>0</v>
      </c>
      <c r="N28" s="67">
        <v>0</v>
      </c>
      <c r="O28" s="70">
        <v>0</v>
      </c>
      <c r="P28" s="67">
        <v>0</v>
      </c>
      <c r="Q28" s="70">
        <v>0</v>
      </c>
      <c r="R28" s="67">
        <v>0</v>
      </c>
      <c r="S28" s="70">
        <v>0</v>
      </c>
      <c r="T28" s="67">
        <v>0</v>
      </c>
      <c r="U28" s="70">
        <v>0</v>
      </c>
      <c r="V28" s="67">
        <v>0</v>
      </c>
      <c r="W28" s="70">
        <v>0</v>
      </c>
      <c r="X28" s="67">
        <f>SUM(M28:W28)</f>
        <v>0</v>
      </c>
      <c r="Y28" s="173">
        <f>X28+L28</f>
        <v>0</v>
      </c>
      <c r="Z28" s="5"/>
    </row>
    <row r="29" spans="1:26">
      <c r="A29" s="1428"/>
      <c r="B29" s="152"/>
      <c r="C29" s="70"/>
      <c r="D29" s="67"/>
      <c r="E29" s="70"/>
      <c r="F29" s="67"/>
      <c r="G29" s="70"/>
      <c r="H29" s="67"/>
      <c r="I29" s="70"/>
      <c r="J29" s="67"/>
      <c r="K29" s="70"/>
      <c r="L29" s="181"/>
      <c r="M29" s="70"/>
      <c r="N29" s="67"/>
      <c r="O29" s="70"/>
      <c r="P29" s="67"/>
      <c r="Q29" s="70"/>
      <c r="R29" s="67"/>
      <c r="S29" s="70"/>
      <c r="T29" s="67"/>
      <c r="U29" s="70"/>
      <c r="V29" s="67"/>
      <c r="W29" s="70"/>
      <c r="X29" s="67"/>
      <c r="Y29" s="173"/>
    </row>
    <row r="30" spans="1:26">
      <c r="A30" s="1428"/>
      <c r="B30" s="152" t="s">
        <v>326</v>
      </c>
      <c r="C30" s="70">
        <v>0</v>
      </c>
      <c r="D30" s="67">
        <v>0</v>
      </c>
      <c r="E30" s="70">
        <f>CUADRO10!D14</f>
        <v>4254.66</v>
      </c>
      <c r="F30" s="67">
        <v>0</v>
      </c>
      <c r="G30" s="70">
        <v>0</v>
      </c>
      <c r="H30" s="67">
        <v>0</v>
      </c>
      <c r="I30" s="70">
        <v>0</v>
      </c>
      <c r="J30" s="67">
        <v>0</v>
      </c>
      <c r="K30" s="70">
        <v>0</v>
      </c>
      <c r="L30" s="181">
        <f>SUM(C30:K30)</f>
        <v>4254.66</v>
      </c>
      <c r="M30" s="70">
        <v>0</v>
      </c>
      <c r="N30" s="67">
        <f>CUADRO10!D12</f>
        <v>804.40281922694885</v>
      </c>
      <c r="O30" s="70">
        <v>0</v>
      </c>
      <c r="P30" s="67">
        <v>0</v>
      </c>
      <c r="Q30" s="70">
        <v>0</v>
      </c>
      <c r="R30" s="67">
        <v>0</v>
      </c>
      <c r="S30" s="70">
        <f>CUADRO10!D15</f>
        <v>1090.424</v>
      </c>
      <c r="T30" s="67">
        <v>0</v>
      </c>
      <c r="U30" s="70">
        <v>0</v>
      </c>
      <c r="V30" s="67">
        <v>0</v>
      </c>
      <c r="W30" s="70">
        <v>0</v>
      </c>
      <c r="X30" s="67">
        <f>SUM(M30:W30)</f>
        <v>1894.8268192269488</v>
      </c>
      <c r="Y30" s="173">
        <f>X30+L30</f>
        <v>6149.4868192269487</v>
      </c>
      <c r="Z30" s="5"/>
    </row>
    <row r="31" spans="1:26">
      <c r="A31" s="1428"/>
      <c r="B31" s="152"/>
      <c r="C31" s="70"/>
      <c r="D31" s="67"/>
      <c r="E31" s="70"/>
      <c r="F31" s="67"/>
      <c r="G31" s="70"/>
      <c r="H31" s="67"/>
      <c r="I31" s="70"/>
      <c r="J31" s="67"/>
      <c r="K31" s="70"/>
      <c r="L31" s="181"/>
      <c r="M31" s="70"/>
      <c r="N31" s="67"/>
      <c r="O31" s="70"/>
      <c r="P31" s="67"/>
      <c r="Q31" s="70"/>
      <c r="R31" s="67"/>
      <c r="S31" s="70"/>
      <c r="T31" s="67"/>
      <c r="U31" s="70"/>
      <c r="V31" s="67"/>
      <c r="W31" s="70"/>
      <c r="X31" s="67"/>
      <c r="Y31" s="173"/>
    </row>
    <row r="32" spans="1:26">
      <c r="A32" s="1428"/>
      <c r="B32" s="152" t="s">
        <v>328</v>
      </c>
      <c r="C32" s="70">
        <v>0</v>
      </c>
      <c r="D32" s="67">
        <v>0</v>
      </c>
      <c r="E32" s="70">
        <v>0</v>
      </c>
      <c r="F32" s="67">
        <v>0</v>
      </c>
      <c r="G32" s="70">
        <v>0</v>
      </c>
      <c r="H32" s="67">
        <v>0</v>
      </c>
      <c r="I32" s="70">
        <v>0</v>
      </c>
      <c r="J32" s="67">
        <v>0</v>
      </c>
      <c r="K32" s="70">
        <v>0</v>
      </c>
      <c r="L32" s="181">
        <f>SUM(C32:K32)</f>
        <v>0</v>
      </c>
      <c r="M32" s="70">
        <v>0</v>
      </c>
      <c r="N32" s="67">
        <v>0</v>
      </c>
      <c r="O32" s="70">
        <v>0</v>
      </c>
      <c r="P32" s="67">
        <v>0</v>
      </c>
      <c r="Q32" s="70">
        <v>0</v>
      </c>
      <c r="R32" s="67">
        <v>0</v>
      </c>
      <c r="S32" s="70">
        <v>0</v>
      </c>
      <c r="T32" s="67">
        <v>0</v>
      </c>
      <c r="U32" s="70">
        <v>0</v>
      </c>
      <c r="V32" s="67">
        <v>0</v>
      </c>
      <c r="W32" s="70">
        <v>0</v>
      </c>
      <c r="X32" s="67">
        <f>SUM(M32:W32)</f>
        <v>0</v>
      </c>
      <c r="Y32" s="173">
        <f>X32+L32</f>
        <v>0</v>
      </c>
      <c r="Z32" s="5"/>
    </row>
    <row r="33" spans="1:27">
      <c r="A33" s="1428"/>
      <c r="B33" s="152"/>
      <c r="C33" s="70"/>
      <c r="D33" s="67"/>
      <c r="E33" s="70"/>
      <c r="F33" s="67"/>
      <c r="G33" s="70"/>
      <c r="H33" s="67"/>
      <c r="I33" s="70"/>
      <c r="J33" s="67"/>
      <c r="K33" s="70"/>
      <c r="L33" s="181"/>
      <c r="M33" s="70"/>
      <c r="N33" s="67"/>
      <c r="O33" s="70"/>
      <c r="P33" s="67"/>
      <c r="Q33" s="70"/>
      <c r="R33" s="67"/>
      <c r="S33" s="70"/>
      <c r="T33" s="67"/>
      <c r="U33" s="70"/>
      <c r="V33" s="67"/>
      <c r="W33" s="70"/>
      <c r="X33" s="67"/>
      <c r="Y33" s="173"/>
    </row>
    <row r="34" spans="1:27">
      <c r="A34" s="1428"/>
      <c r="B34" s="152" t="s">
        <v>329</v>
      </c>
      <c r="C34" s="70">
        <v>0</v>
      </c>
      <c r="D34" s="67">
        <f>CUADRO10!G16</f>
        <v>8532.9731999999985</v>
      </c>
      <c r="E34" s="70">
        <v>0</v>
      </c>
      <c r="F34" s="67">
        <v>0</v>
      </c>
      <c r="G34" s="70">
        <v>0</v>
      </c>
      <c r="H34" s="67">
        <v>0</v>
      </c>
      <c r="I34" s="70">
        <v>0</v>
      </c>
      <c r="J34" s="67">
        <v>0</v>
      </c>
      <c r="K34" s="70">
        <v>0</v>
      </c>
      <c r="L34" s="181">
        <f>SUM(C34:K34)</f>
        <v>8532.9731999999985</v>
      </c>
      <c r="M34" s="70">
        <v>0</v>
      </c>
      <c r="N34" s="67">
        <v>0</v>
      </c>
      <c r="O34" s="70">
        <v>0</v>
      </c>
      <c r="P34" s="67">
        <v>0</v>
      </c>
      <c r="Q34" s="70">
        <v>0</v>
      </c>
      <c r="R34" s="67">
        <v>0</v>
      </c>
      <c r="S34" s="70">
        <v>0</v>
      </c>
      <c r="T34" s="67">
        <v>0</v>
      </c>
      <c r="U34" s="70">
        <v>0</v>
      </c>
      <c r="V34" s="67">
        <v>0</v>
      </c>
      <c r="W34" s="70">
        <v>0</v>
      </c>
      <c r="X34" s="67">
        <f>SUM(M34:W34)</f>
        <v>0</v>
      </c>
      <c r="Y34" s="173">
        <f>X34+L34</f>
        <v>8532.9731999999985</v>
      </c>
      <c r="Z34" s="5"/>
    </row>
    <row r="35" spans="1:27" ht="13.5" thickBot="1">
      <c r="A35" s="1429"/>
      <c r="B35" s="153"/>
      <c r="C35" s="160"/>
      <c r="D35" s="174"/>
      <c r="E35" s="160"/>
      <c r="F35" s="174"/>
      <c r="G35" s="160"/>
      <c r="H35" s="174"/>
      <c r="I35" s="160"/>
      <c r="J35" s="174"/>
      <c r="K35" s="160"/>
      <c r="L35" s="176"/>
      <c r="M35" s="160"/>
      <c r="N35" s="174"/>
      <c r="O35" s="160"/>
      <c r="P35" s="174"/>
      <c r="Q35" s="160"/>
      <c r="R35" s="174"/>
      <c r="S35" s="160"/>
      <c r="T35" s="174"/>
      <c r="U35" s="160"/>
      <c r="V35" s="174"/>
      <c r="W35" s="160"/>
      <c r="X35" s="174"/>
      <c r="Y35" s="175"/>
      <c r="Z35" s="5"/>
    </row>
    <row r="36" spans="1:27" ht="13.5" thickBot="1">
      <c r="A36" s="166"/>
      <c r="B36" s="153" t="s">
        <v>330</v>
      </c>
      <c r="C36" s="165">
        <f>C20</f>
        <v>0</v>
      </c>
      <c r="D36" s="176">
        <f>SUM(D20:D34)</f>
        <v>22217.985629773953</v>
      </c>
      <c r="E36" s="165">
        <f>SUM(E20:E34)</f>
        <v>37760.907771058541</v>
      </c>
      <c r="F36" s="176">
        <f>SUM(F20:F34)</f>
        <v>0</v>
      </c>
      <c r="G36" s="165">
        <v>0</v>
      </c>
      <c r="H36" s="176">
        <v>0</v>
      </c>
      <c r="I36" s="165">
        <f t="shared" ref="I36:Y36" si="0">SUM(I20:I34)</f>
        <v>5880.1823984000757</v>
      </c>
      <c r="J36" s="176">
        <f t="shared" si="0"/>
        <v>0</v>
      </c>
      <c r="K36" s="165">
        <f t="shared" si="0"/>
        <v>0</v>
      </c>
      <c r="L36" s="176">
        <f t="shared" si="0"/>
        <v>65859.075799232567</v>
      </c>
      <c r="M36" s="165">
        <f t="shared" si="0"/>
        <v>0</v>
      </c>
      <c r="N36" s="176">
        <f t="shared" si="0"/>
        <v>934.72074854889183</v>
      </c>
      <c r="O36" s="165">
        <f t="shared" si="0"/>
        <v>0</v>
      </c>
      <c r="P36" s="176">
        <f t="shared" si="0"/>
        <v>0</v>
      </c>
      <c r="Q36" s="165">
        <f t="shared" si="0"/>
        <v>20093.942940386594</v>
      </c>
      <c r="R36" s="176">
        <f t="shared" si="0"/>
        <v>2569.6047465689999</v>
      </c>
      <c r="S36" s="165">
        <f t="shared" si="0"/>
        <v>6122.8058471696031</v>
      </c>
      <c r="T36" s="176">
        <f t="shared" si="0"/>
        <v>0</v>
      </c>
      <c r="U36" s="165">
        <f t="shared" si="0"/>
        <v>188.53401745400006</v>
      </c>
      <c r="V36" s="176">
        <f t="shared" si="0"/>
        <v>0</v>
      </c>
      <c r="W36" s="165">
        <f t="shared" si="0"/>
        <v>0</v>
      </c>
      <c r="X36" s="176">
        <f t="shared" si="0"/>
        <v>29909.608300128093</v>
      </c>
      <c r="Y36" s="175">
        <f t="shared" si="0"/>
        <v>95768.68409936066</v>
      </c>
      <c r="Z36" s="5"/>
    </row>
    <row r="37" spans="1:27">
      <c r="A37" s="194"/>
      <c r="B37" s="152"/>
      <c r="C37" s="162"/>
      <c r="D37" s="177"/>
      <c r="E37" s="161"/>
      <c r="F37" s="177"/>
      <c r="G37" s="161"/>
      <c r="H37" s="177"/>
      <c r="I37" s="161"/>
      <c r="J37" s="177"/>
      <c r="K37" s="161"/>
      <c r="L37" s="179"/>
      <c r="M37" s="161"/>
      <c r="N37" s="177"/>
      <c r="O37" s="161"/>
      <c r="P37" s="177"/>
      <c r="Q37" s="161"/>
      <c r="R37" s="177"/>
      <c r="S37" s="161"/>
      <c r="T37" s="177"/>
      <c r="U37" s="161"/>
      <c r="V37" s="177"/>
      <c r="W37" s="161"/>
      <c r="X37" s="177"/>
      <c r="Y37" s="178"/>
      <c r="Z37" s="5"/>
    </row>
    <row r="38" spans="1:27">
      <c r="A38" s="194"/>
      <c r="B38" s="152" t="s">
        <v>331</v>
      </c>
      <c r="C38" s="163">
        <v>0</v>
      </c>
      <c r="D38" s="67">
        <f>CONS_TERAC!S44</f>
        <v>11.114867149777659</v>
      </c>
      <c r="E38" s="70">
        <f>CONS_TERAC!N44</f>
        <v>0</v>
      </c>
      <c r="F38" s="67">
        <v>0</v>
      </c>
      <c r="G38" s="70">
        <v>0</v>
      </c>
      <c r="H38" s="67">
        <v>0</v>
      </c>
      <c r="I38" s="70">
        <v>0</v>
      </c>
      <c r="J38" s="67">
        <v>0</v>
      </c>
      <c r="K38" s="70">
        <v>0</v>
      </c>
      <c r="L38" s="181">
        <f>SUM(C38:K38)</f>
        <v>11.114867149777659</v>
      </c>
      <c r="M38" s="70">
        <f>CONS_TERAC!M44</f>
        <v>1868.9056981458937</v>
      </c>
      <c r="N38" s="67">
        <f>CONS_TERAC!G44</f>
        <v>1329.6875153603971</v>
      </c>
      <c r="O38" s="70">
        <v>0</v>
      </c>
      <c r="P38" s="67">
        <f>CONS_TERAC!F44+CONS_TERAC!I44</f>
        <v>0</v>
      </c>
      <c r="Q38" s="70">
        <f>CONS_TERAC!C44</f>
        <v>27.591532752000003</v>
      </c>
      <c r="R38" s="67">
        <f>CONS_TERAC!D44</f>
        <v>850.79799000000003</v>
      </c>
      <c r="S38" s="70">
        <v>0</v>
      </c>
      <c r="T38" s="67">
        <v>0</v>
      </c>
      <c r="U38" s="70">
        <f>CONS_TERAC!K44+CONS_TERAC!Q44+CONS_TERAC!R44</f>
        <v>4394.8412611688182</v>
      </c>
      <c r="V38" s="67">
        <f>CONS_TERAC!J44+CONS_TERAC!T44+CONS_TERAC!P44</f>
        <v>1221.5656625499996</v>
      </c>
      <c r="W38" s="70">
        <v>0</v>
      </c>
      <c r="X38" s="67">
        <f>SUM(M38:W38)</f>
        <v>9693.3896599771087</v>
      </c>
      <c r="Y38" s="173">
        <f>X38+L38</f>
        <v>9704.5045271268864</v>
      </c>
      <c r="Z38" s="5"/>
    </row>
    <row r="39" spans="1:27">
      <c r="A39" s="194"/>
      <c r="B39" s="152" t="s">
        <v>332</v>
      </c>
      <c r="C39" s="163">
        <v>0</v>
      </c>
      <c r="D39" s="67">
        <f>CUADRO3!E25</f>
        <v>353.16762763078441</v>
      </c>
      <c r="E39" s="70">
        <v>0</v>
      </c>
      <c r="F39" s="67">
        <v>0</v>
      </c>
      <c r="G39" s="70">
        <v>0</v>
      </c>
      <c r="H39" s="67">
        <v>0</v>
      </c>
      <c r="I39" s="70">
        <v>0</v>
      </c>
      <c r="J39" s="67">
        <v>0</v>
      </c>
      <c r="K39" s="70">
        <v>0</v>
      </c>
      <c r="L39" s="181">
        <f>SUM(C39:K39)</f>
        <v>353.16762763078441</v>
      </c>
      <c r="M39" s="70">
        <v>3904.1140276019396</v>
      </c>
      <c r="N39" s="67">
        <v>0</v>
      </c>
      <c r="O39" s="70">
        <v>0</v>
      </c>
      <c r="P39" s="67">
        <v>0</v>
      </c>
      <c r="Q39" s="70">
        <v>0</v>
      </c>
      <c r="R39" s="67">
        <v>0</v>
      </c>
      <c r="S39" s="70">
        <v>0</v>
      </c>
      <c r="T39" s="67">
        <v>0</v>
      </c>
      <c r="U39" s="70">
        <v>0</v>
      </c>
      <c r="V39" s="67">
        <v>0</v>
      </c>
      <c r="W39" s="70">
        <v>0</v>
      </c>
      <c r="X39" s="67">
        <f>SUM(M39:W39)</f>
        <v>3904.1140276019396</v>
      </c>
      <c r="Y39" s="173">
        <f>X39+L39</f>
        <v>4257.281655232724</v>
      </c>
      <c r="Z39" s="5"/>
      <c r="AA39" s="5"/>
    </row>
    <row r="40" spans="1:27" ht="13.5" thickBot="1">
      <c r="A40" s="166"/>
      <c r="B40" s="153" t="s">
        <v>333</v>
      </c>
      <c r="C40" s="174">
        <f t="shared" ref="C40:H40" si="1">C18-C36-C39-C58</f>
        <v>106487.9262325476</v>
      </c>
      <c r="D40" s="174">
        <f t="shared" si="1"/>
        <v>181.5010107067219</v>
      </c>
      <c r="E40" s="174">
        <f t="shared" si="1"/>
        <v>5.0022208597511053E-12</v>
      </c>
      <c r="F40" s="174">
        <f t="shared" si="1"/>
        <v>21650.31304556696</v>
      </c>
      <c r="G40" s="174">
        <f t="shared" si="1"/>
        <v>0</v>
      </c>
      <c r="H40" s="174">
        <f t="shared" si="1"/>
        <v>0</v>
      </c>
      <c r="I40" s="160">
        <f t="shared" ref="I40:W40" si="2">I18-I36-I39-I58</f>
        <v>0</v>
      </c>
      <c r="J40" s="174">
        <f t="shared" si="2"/>
        <v>0</v>
      </c>
      <c r="K40" s="160">
        <f t="shared" si="2"/>
        <v>0</v>
      </c>
      <c r="L40" s="181">
        <f>SUM(C40:K40)</f>
        <v>128319.74028882128</v>
      </c>
      <c r="M40" s="160">
        <f>M18+M14-M36-M39-M58</f>
        <v>387.4901139122012</v>
      </c>
      <c r="N40" s="174">
        <f t="shared" si="2"/>
        <v>0</v>
      </c>
      <c r="O40" s="160" t="e">
        <f t="shared" si="2"/>
        <v>#REF!</v>
      </c>
      <c r="P40" s="174">
        <f t="shared" si="2"/>
        <v>0</v>
      </c>
      <c r="Q40" s="160">
        <f t="shared" si="2"/>
        <v>0</v>
      </c>
      <c r="R40" s="174">
        <f t="shared" si="2"/>
        <v>0</v>
      </c>
      <c r="S40" s="160">
        <f t="shared" si="2"/>
        <v>0</v>
      </c>
      <c r="T40" s="174">
        <f t="shared" si="2"/>
        <v>0</v>
      </c>
      <c r="U40" s="160">
        <f t="shared" si="2"/>
        <v>0</v>
      </c>
      <c r="V40" s="174">
        <f t="shared" si="2"/>
        <v>447.06612587687073</v>
      </c>
      <c r="W40" s="160">
        <f t="shared" si="2"/>
        <v>0</v>
      </c>
      <c r="X40" s="67" t="e">
        <f>SUM(M40:W40)</f>
        <v>#REF!</v>
      </c>
      <c r="Y40" s="173" t="e">
        <f>X40+L40</f>
        <v>#REF!</v>
      </c>
      <c r="Z40" s="5"/>
    </row>
    <row r="41" spans="1:27">
      <c r="A41" s="1427" t="s">
        <v>479</v>
      </c>
      <c r="B41" s="151"/>
      <c r="C41" s="161"/>
      <c r="D41" s="177"/>
      <c r="E41" s="161"/>
      <c r="F41" s="177"/>
      <c r="G41" s="161"/>
      <c r="H41" s="177"/>
      <c r="I41" s="161"/>
      <c r="J41" s="177"/>
      <c r="K41" s="161"/>
      <c r="L41" s="179"/>
      <c r="M41" s="161"/>
      <c r="N41" s="177"/>
      <c r="O41" s="161"/>
      <c r="P41" s="177"/>
      <c r="Q41" s="161"/>
      <c r="R41" s="177"/>
      <c r="S41" s="161"/>
      <c r="T41" s="177"/>
      <c r="U41" s="161"/>
      <c r="V41" s="177"/>
      <c r="W41" s="161"/>
      <c r="X41" s="177"/>
      <c r="Y41" s="178"/>
      <c r="Z41" s="5"/>
    </row>
    <row r="42" spans="1:27">
      <c r="A42" s="1428"/>
      <c r="B42" s="152" t="s">
        <v>334</v>
      </c>
      <c r="C42" s="70">
        <v>0</v>
      </c>
      <c r="D42" s="67">
        <f>CUADRO5!C25</f>
        <v>223.2994833275786</v>
      </c>
      <c r="E42" s="70">
        <v>0</v>
      </c>
      <c r="F42" s="67">
        <v>0</v>
      </c>
      <c r="G42" s="70">
        <v>0</v>
      </c>
      <c r="H42" s="67">
        <v>0</v>
      </c>
      <c r="I42" s="70">
        <v>0</v>
      </c>
      <c r="J42" s="67">
        <v>0</v>
      </c>
      <c r="K42" s="70">
        <v>0</v>
      </c>
      <c r="L42" s="181">
        <f>SUM(C42:K42)</f>
        <v>223.2994833275786</v>
      </c>
      <c r="M42" s="70">
        <f>CUADRO5!C19</f>
        <v>363.20603858000004</v>
      </c>
      <c r="N42" s="67">
        <f>CUADRO5!C14</f>
        <v>68.84848741999653</v>
      </c>
      <c r="O42" s="70" t="e">
        <f>CUADRO5!C12+CUADRO5!#REF!+CUADRO5!C15</f>
        <v>#REF!</v>
      </c>
      <c r="P42" s="67">
        <f>CUADRO5!C13+CUADRO5!C16</f>
        <v>7823.1565152851608</v>
      </c>
      <c r="Q42" s="70">
        <f>CUADRO5!C11</f>
        <v>39033.876251676615</v>
      </c>
      <c r="R42" s="67">
        <f>CUADRO5!C10</f>
        <v>10678.862313839998</v>
      </c>
      <c r="S42" s="70">
        <v>0</v>
      </c>
      <c r="T42" s="67"/>
      <c r="U42" s="70">
        <v>0</v>
      </c>
      <c r="V42" s="67">
        <v>0</v>
      </c>
      <c r="W42" s="70">
        <v>0</v>
      </c>
      <c r="X42" s="67" t="e">
        <f>SUM(M42:W42)</f>
        <v>#REF!</v>
      </c>
      <c r="Y42" s="173" t="e">
        <f>X42+L42</f>
        <v>#REF!</v>
      </c>
      <c r="Z42" s="5"/>
    </row>
    <row r="43" spans="1:27">
      <c r="A43" s="1428"/>
      <c r="B43" s="152"/>
      <c r="C43" s="70"/>
      <c r="D43" s="67"/>
      <c r="E43" s="70"/>
      <c r="F43" s="67"/>
      <c r="G43" s="70"/>
      <c r="H43" s="67"/>
      <c r="I43" s="70"/>
      <c r="J43" s="67"/>
      <c r="K43" s="70"/>
      <c r="L43" s="181"/>
      <c r="M43" s="70"/>
      <c r="N43" s="67"/>
      <c r="O43" s="70"/>
      <c r="P43" s="67"/>
      <c r="Q43" s="70"/>
      <c r="R43" s="67"/>
      <c r="S43" s="70"/>
      <c r="T43" s="67"/>
      <c r="U43" s="70"/>
      <c r="V43" s="67"/>
      <c r="W43" s="70"/>
      <c r="X43" s="67"/>
      <c r="Y43" s="173"/>
    </row>
    <row r="44" spans="1:27">
      <c r="A44" s="1428"/>
      <c r="B44" s="152" t="s">
        <v>335</v>
      </c>
      <c r="C44" s="70">
        <v>0</v>
      </c>
      <c r="D44" s="67">
        <f>CUADRO5!D25</f>
        <v>1517.8800340793337</v>
      </c>
      <c r="E44" s="70">
        <f>CUADRO5!D20</f>
        <v>2157.9654141856108</v>
      </c>
      <c r="F44" s="67">
        <v>0</v>
      </c>
      <c r="G44" s="70">
        <v>0</v>
      </c>
      <c r="H44" s="67">
        <v>0</v>
      </c>
      <c r="I44" s="70">
        <f>CUADRO5!D27</f>
        <v>15747.062102540436</v>
      </c>
      <c r="J44" s="67">
        <v>0</v>
      </c>
      <c r="K44" s="70">
        <v>0</v>
      </c>
      <c r="L44" s="181">
        <f>SUM(C44:K44)</f>
        <v>19422.907550805379</v>
      </c>
      <c r="M44" s="70">
        <f>CUADRO5!D19</f>
        <v>31469.173851303614</v>
      </c>
      <c r="N44" s="67">
        <f>CUADRO5!D14</f>
        <v>3305.1729430320092</v>
      </c>
      <c r="O44" s="70" t="e">
        <f>CUADRO5!D12+CUADRO5!#REF!+CUADRO5!D15</f>
        <v>#REF!</v>
      </c>
      <c r="P44" s="67">
        <f>CUADRO5!D13+CUADRO5!D16</f>
        <v>405.049126419</v>
      </c>
      <c r="Q44" s="70">
        <f>CUADRO5!D11</f>
        <v>22031.292348448711</v>
      </c>
      <c r="R44" s="67">
        <f>CUADRO5!D10</f>
        <v>7493.0966689950001</v>
      </c>
      <c r="S44" s="70">
        <f>CUADRO5!D21</f>
        <v>4084.351500590491</v>
      </c>
      <c r="T44" s="67">
        <v>0</v>
      </c>
      <c r="U44" s="70">
        <f>CUADRO5!D18+CUADRO5!D23+CUADRO5!D24</f>
        <v>878.18130508414936</v>
      </c>
      <c r="V44" s="67">
        <f>CUADRO5!D17+CUADRO5!D22</f>
        <v>0</v>
      </c>
      <c r="W44" s="70">
        <v>0</v>
      </c>
      <c r="X44" s="67" t="e">
        <f>SUM(M44:W44)</f>
        <v>#REF!</v>
      </c>
      <c r="Y44" s="173" t="e">
        <f>X44+L44</f>
        <v>#REF!</v>
      </c>
      <c r="Z44" s="5"/>
    </row>
    <row r="45" spans="1:27">
      <c r="A45" s="1428"/>
      <c r="B45" s="152"/>
      <c r="C45" s="70"/>
      <c r="D45" s="67"/>
      <c r="E45" s="70"/>
      <c r="F45" s="67"/>
      <c r="G45" s="70"/>
      <c r="H45" s="67"/>
      <c r="I45" s="70"/>
      <c r="J45" s="67"/>
      <c r="K45" s="70"/>
      <c r="L45" s="181"/>
      <c r="M45" s="70"/>
      <c r="N45" s="67"/>
      <c r="O45" s="70"/>
      <c r="P45" s="67"/>
      <c r="Q45" s="70"/>
      <c r="R45" s="67"/>
      <c r="S45" s="70"/>
      <c r="T45" s="67"/>
      <c r="U45" s="70"/>
      <c r="V45" s="67"/>
      <c r="W45" s="70"/>
      <c r="X45" s="67"/>
      <c r="Y45" s="173"/>
    </row>
    <row r="46" spans="1:27">
      <c r="A46" s="1428"/>
      <c r="B46" s="152" t="s">
        <v>130</v>
      </c>
      <c r="C46" s="70">
        <v>0</v>
      </c>
      <c r="D46" s="67">
        <f>CUADRO8!E19</f>
        <v>4099.2278082294442</v>
      </c>
      <c r="E46" s="70">
        <f>CUADRO8!E17</f>
        <v>0.10199999999999999</v>
      </c>
      <c r="F46" s="67">
        <v>0</v>
      </c>
      <c r="G46" s="70">
        <v>0</v>
      </c>
      <c r="H46" s="67">
        <v>0</v>
      </c>
      <c r="I46" s="70">
        <f>CUADRO8!E20</f>
        <v>29652.742708307094</v>
      </c>
      <c r="J46" s="67">
        <v>0</v>
      </c>
      <c r="K46" s="70">
        <v>0</v>
      </c>
      <c r="L46" s="181">
        <f>SUM(C46:K46)</f>
        <v>33752.072516536537</v>
      </c>
      <c r="M46" s="70">
        <f>CUADRO8!E16</f>
        <v>7655.2530852188429</v>
      </c>
      <c r="N46" s="67">
        <f>CUADRO8!E14</f>
        <v>9326.3999703984337</v>
      </c>
      <c r="O46" s="70">
        <f>0</f>
        <v>0</v>
      </c>
      <c r="P46" s="67">
        <f>CUADRO8!E13</f>
        <v>840.85369461000005</v>
      </c>
      <c r="Q46" s="70">
        <f>CUADRO8!E12</f>
        <v>63.550250815999995</v>
      </c>
      <c r="R46" s="67">
        <f>CUADRO8!E11</f>
        <v>0</v>
      </c>
      <c r="S46" s="70">
        <v>0</v>
      </c>
      <c r="T46" s="67">
        <v>0</v>
      </c>
      <c r="U46" s="70">
        <f>CUADRO8!E18</f>
        <v>112.81457026000778</v>
      </c>
      <c r="V46" s="67">
        <v>0</v>
      </c>
      <c r="W46" s="70">
        <v>0</v>
      </c>
      <c r="X46" s="67">
        <f>SUM(M46:W46)</f>
        <v>17998.871571303283</v>
      </c>
      <c r="Y46" s="173">
        <f>X46+L46</f>
        <v>51750.944087839816</v>
      </c>
      <c r="Z46" s="5"/>
    </row>
    <row r="47" spans="1:27">
      <c r="A47" s="1428"/>
      <c r="B47" s="152" t="s">
        <v>283</v>
      </c>
      <c r="C47" s="70"/>
      <c r="D47" s="67"/>
      <c r="E47" s="70"/>
      <c r="F47" s="67"/>
      <c r="G47" s="70"/>
      <c r="H47" s="67"/>
      <c r="I47" s="70"/>
      <c r="J47" s="67"/>
      <c r="K47" s="70"/>
      <c r="L47" s="181"/>
      <c r="M47" s="70"/>
      <c r="N47" s="67"/>
      <c r="O47" s="70"/>
      <c r="P47" s="67"/>
      <c r="Q47" s="70"/>
      <c r="R47" s="67"/>
      <c r="S47" s="70"/>
      <c r="T47" s="67"/>
      <c r="U47" s="70"/>
      <c r="V47" s="67"/>
      <c r="W47" s="70"/>
      <c r="X47" s="67"/>
      <c r="Y47" s="173"/>
    </row>
    <row r="48" spans="1:27">
      <c r="A48" s="1428"/>
      <c r="B48" s="152" t="s">
        <v>336</v>
      </c>
      <c r="C48" s="70">
        <v>0</v>
      </c>
      <c r="D48" s="67">
        <f>CUADRO8!C19+CUADRO8!D19</f>
        <v>1463.0856687551934</v>
      </c>
      <c r="E48" s="70">
        <f>CUADRO8!C17+CUADRO8!D17</f>
        <v>27.349600000000002</v>
      </c>
      <c r="F48" s="67">
        <v>0</v>
      </c>
      <c r="G48" s="70">
        <v>0</v>
      </c>
      <c r="H48" s="67">
        <v>0</v>
      </c>
      <c r="I48" s="70">
        <f>CUADRO8!C20+CUADRO8!D20</f>
        <v>0</v>
      </c>
      <c r="J48" s="67">
        <v>0</v>
      </c>
      <c r="K48" s="70">
        <v>0</v>
      </c>
      <c r="L48" s="181">
        <f>SUM(C48:K48)</f>
        <v>1490.4352687551934</v>
      </c>
      <c r="M48" s="70">
        <f>CUADRO8!C16+CUADRO8!D16</f>
        <v>6844.5757130001548</v>
      </c>
      <c r="N48" s="67">
        <f>CUADRO8!C14+CUADRO8!D14</f>
        <v>1480.8330736857158</v>
      </c>
      <c r="O48" s="70">
        <v>0</v>
      </c>
      <c r="P48" s="67">
        <f>CUADRO8!C13+CUADRO8!D13</f>
        <v>31.03864029</v>
      </c>
      <c r="Q48" s="70">
        <f>CUADRO8!C12+CUADRO8!D12</f>
        <v>1420.62607430248</v>
      </c>
      <c r="R48" s="67">
        <f>CUADRO8!C11+CUADRO8!D11</f>
        <v>480.98743640850006</v>
      </c>
      <c r="S48" s="70">
        <v>0</v>
      </c>
      <c r="T48" s="67">
        <v>0</v>
      </c>
      <c r="U48" s="70">
        <f>CUADRO8!C18+CUADRO8!D18</f>
        <v>121.3468599735387</v>
      </c>
      <c r="V48" s="67">
        <f>CUADRO8!D15</f>
        <v>0</v>
      </c>
      <c r="W48" s="70">
        <v>0</v>
      </c>
      <c r="X48" s="67">
        <f>SUM(M48:W48)</f>
        <v>10379.407797660389</v>
      </c>
      <c r="Y48" s="173">
        <f>X48+L48</f>
        <v>11869.843066415582</v>
      </c>
      <c r="Z48" s="5"/>
    </row>
    <row r="49" spans="1:27">
      <c r="A49" s="1428"/>
      <c r="B49" s="152" t="s">
        <v>283</v>
      </c>
      <c r="C49" s="70"/>
      <c r="D49" s="67"/>
      <c r="E49" s="70"/>
      <c r="F49" s="67"/>
      <c r="G49" s="70"/>
      <c r="H49" s="67"/>
      <c r="I49" s="70"/>
      <c r="J49" s="67"/>
      <c r="K49" s="70"/>
      <c r="L49" s="181"/>
      <c r="M49" s="70"/>
      <c r="N49" s="67"/>
      <c r="O49" s="70"/>
      <c r="P49" s="67"/>
      <c r="Q49" s="70"/>
      <c r="R49" s="67"/>
      <c r="S49" s="70"/>
      <c r="T49" s="67"/>
      <c r="U49" s="70"/>
      <c r="V49" s="67"/>
      <c r="W49" s="70"/>
      <c r="X49" s="67"/>
      <c r="Y49" s="173"/>
    </row>
    <row r="50" spans="1:27">
      <c r="A50" s="1428"/>
      <c r="B50" s="152" t="s">
        <v>337</v>
      </c>
      <c r="C50" s="70">
        <v>0</v>
      </c>
      <c r="D50" s="67">
        <v>0</v>
      </c>
      <c r="E50" s="70">
        <v>0</v>
      </c>
      <c r="F50" s="67">
        <v>0</v>
      </c>
      <c r="G50" s="70">
        <v>0</v>
      </c>
      <c r="H50" s="67">
        <v>0</v>
      </c>
      <c r="I50" s="70">
        <v>0</v>
      </c>
      <c r="J50" s="67">
        <v>0</v>
      </c>
      <c r="K50" s="70">
        <v>0</v>
      </c>
      <c r="L50" s="181">
        <f>SUM(C50:K50)</f>
        <v>0</v>
      </c>
      <c r="M50" s="70">
        <v>0</v>
      </c>
      <c r="N50" s="67">
        <v>0</v>
      </c>
      <c r="O50" s="70">
        <v>0</v>
      </c>
      <c r="P50" s="67">
        <v>0</v>
      </c>
      <c r="Q50" s="70">
        <v>0</v>
      </c>
      <c r="R50" s="67">
        <v>0</v>
      </c>
      <c r="S50" s="70">
        <v>0</v>
      </c>
      <c r="T50" s="67">
        <v>0</v>
      </c>
      <c r="U50" s="70">
        <v>0</v>
      </c>
      <c r="V50" s="67">
        <v>0</v>
      </c>
      <c r="W50" s="70">
        <v>0</v>
      </c>
      <c r="X50" s="67">
        <f>SUM(M50:W50)</f>
        <v>0</v>
      </c>
      <c r="Y50" s="173">
        <f>X50+L50</f>
        <v>0</v>
      </c>
      <c r="Z50" s="5"/>
    </row>
    <row r="51" spans="1:27">
      <c r="A51" s="1428"/>
      <c r="B51" s="152" t="s">
        <v>283</v>
      </c>
      <c r="C51" s="70"/>
      <c r="D51" s="67"/>
      <c r="E51" s="70"/>
      <c r="F51" s="67"/>
      <c r="G51" s="70"/>
      <c r="H51" s="67"/>
      <c r="I51" s="70"/>
      <c r="J51" s="67"/>
      <c r="K51" s="70"/>
      <c r="L51" s="181"/>
      <c r="M51" s="70"/>
      <c r="N51" s="67"/>
      <c r="O51" s="70"/>
      <c r="P51" s="67"/>
      <c r="Q51" s="70"/>
      <c r="R51" s="67"/>
      <c r="S51" s="70"/>
      <c r="T51" s="67"/>
      <c r="U51" s="70"/>
      <c r="V51" s="67"/>
      <c r="W51" s="70"/>
      <c r="X51" s="67"/>
      <c r="Y51" s="173"/>
    </row>
    <row r="52" spans="1:27">
      <c r="A52" s="1428"/>
      <c r="B52" s="152" t="s">
        <v>338</v>
      </c>
      <c r="C52" s="70">
        <v>0</v>
      </c>
      <c r="D52" s="67">
        <v>0</v>
      </c>
      <c r="E52" s="70">
        <v>0</v>
      </c>
      <c r="F52" s="67">
        <v>0</v>
      </c>
      <c r="G52" s="70">
        <v>0</v>
      </c>
      <c r="H52" s="67">
        <v>0</v>
      </c>
      <c r="I52" s="70">
        <v>0</v>
      </c>
      <c r="J52" s="67">
        <v>0</v>
      </c>
      <c r="K52" s="70">
        <v>0</v>
      </c>
      <c r="L52" s="181">
        <f>SUM(C52:K52)</f>
        <v>0</v>
      </c>
      <c r="M52" s="70">
        <v>0</v>
      </c>
      <c r="N52" s="67">
        <v>0</v>
      </c>
      <c r="O52" s="70">
        <v>0</v>
      </c>
      <c r="P52" s="67">
        <v>0</v>
      </c>
      <c r="Q52" s="70">
        <v>0</v>
      </c>
      <c r="R52" s="67">
        <v>0</v>
      </c>
      <c r="S52" s="70">
        <v>0</v>
      </c>
      <c r="T52" s="67">
        <v>0</v>
      </c>
      <c r="U52" s="70">
        <v>0</v>
      </c>
      <c r="V52" s="67">
        <v>0</v>
      </c>
      <c r="W52" s="70">
        <v>0</v>
      </c>
      <c r="X52" s="67">
        <f>SUM(M52:W52)</f>
        <v>0</v>
      </c>
      <c r="Y52" s="173">
        <f>X52+L52</f>
        <v>0</v>
      </c>
      <c r="Z52" s="5"/>
    </row>
    <row r="53" spans="1:27" ht="13.5" thickBot="1">
      <c r="A53" s="1428"/>
      <c r="B53" s="153" t="s">
        <v>283</v>
      </c>
      <c r="C53" s="160"/>
      <c r="D53" s="174"/>
      <c r="E53" s="160"/>
      <c r="F53" s="174"/>
      <c r="G53" s="160"/>
      <c r="H53" s="174"/>
      <c r="I53" s="160"/>
      <c r="J53" s="174"/>
      <c r="K53" s="160"/>
      <c r="L53" s="176"/>
      <c r="M53" s="160"/>
      <c r="N53" s="174"/>
      <c r="O53" s="160"/>
      <c r="P53" s="174"/>
      <c r="Q53" s="160"/>
      <c r="R53" s="174"/>
      <c r="S53" s="160"/>
      <c r="T53" s="174"/>
      <c r="U53" s="160"/>
      <c r="V53" s="174"/>
      <c r="W53" s="160"/>
      <c r="X53" s="174"/>
      <c r="Y53" s="175"/>
    </row>
    <row r="54" spans="1:27">
      <c r="A54" s="1428"/>
      <c r="B54" s="152" t="s">
        <v>339</v>
      </c>
      <c r="C54" s="167">
        <v>0</v>
      </c>
      <c r="D54" s="179">
        <f>SUM(D42:D52)+D38</f>
        <v>7314.6078615413271</v>
      </c>
      <c r="E54" s="180">
        <f>SUM(E42:E52)+E38</f>
        <v>2185.4170141856107</v>
      </c>
      <c r="F54" s="179">
        <v>0</v>
      </c>
      <c r="G54" s="180">
        <v>0</v>
      </c>
      <c r="H54" s="179">
        <v>0</v>
      </c>
      <c r="I54" s="180">
        <f>SUM(I42:I52)+I38</f>
        <v>45399.804810847534</v>
      </c>
      <c r="J54" s="179">
        <v>0</v>
      </c>
      <c r="K54" s="180">
        <f>SUM(K42:K52)</f>
        <v>0</v>
      </c>
      <c r="L54" s="179">
        <f>SUM(L42:L52)+L38</f>
        <v>54899.829686574471</v>
      </c>
      <c r="M54" s="180">
        <f>SUM(M42:M52)+M38</f>
        <v>48201.114386248511</v>
      </c>
      <c r="N54" s="179">
        <f>SUM(N42:N52)+N38</f>
        <v>15510.941989896552</v>
      </c>
      <c r="O54" s="180" t="e">
        <f>SUM(O42:O52)</f>
        <v>#REF!</v>
      </c>
      <c r="P54" s="179">
        <f>SUM(P42:P52)+P38</f>
        <v>9100.0979766041601</v>
      </c>
      <c r="Q54" s="180">
        <f>SUM(Q42:Q52)+Q38</f>
        <v>62576.936457995806</v>
      </c>
      <c r="R54" s="179">
        <f>SUM(R42:R52)+R38</f>
        <v>19503.7444092435</v>
      </c>
      <c r="S54" s="180">
        <f>SUM(S42:S52)+S38</f>
        <v>4084.351500590491</v>
      </c>
      <c r="T54" s="179">
        <f>SUM(T42:T52)</f>
        <v>0</v>
      </c>
      <c r="U54" s="180">
        <f>SUM(U42:U52)+U38</f>
        <v>5507.1839964865139</v>
      </c>
      <c r="V54" s="179">
        <f>SUM(V42:V52)+V38</f>
        <v>1221.5656625499996</v>
      </c>
      <c r="W54" s="180">
        <v>0</v>
      </c>
      <c r="X54" s="179" t="e">
        <f>SUM(X42:X52)+X38</f>
        <v>#REF!</v>
      </c>
      <c r="Y54" s="364" t="e">
        <f>X54+L54</f>
        <v>#REF!</v>
      </c>
      <c r="Z54" s="5"/>
    </row>
    <row r="55" spans="1:27">
      <c r="A55" s="1428"/>
      <c r="B55" s="152"/>
      <c r="C55" s="168"/>
      <c r="D55" s="181"/>
      <c r="E55" s="182"/>
      <c r="F55" s="181"/>
      <c r="G55" s="182"/>
      <c r="H55" s="181"/>
      <c r="I55" s="182"/>
      <c r="J55" s="181"/>
      <c r="K55" s="182"/>
      <c r="L55" s="181"/>
      <c r="M55" s="182"/>
      <c r="N55" s="181"/>
      <c r="O55" s="182"/>
      <c r="P55" s="181"/>
      <c r="Q55" s="182"/>
      <c r="R55" s="181"/>
      <c r="S55" s="182"/>
      <c r="T55" s="181"/>
      <c r="U55" s="182"/>
      <c r="V55" s="181"/>
      <c r="W55" s="182"/>
      <c r="X55" s="181"/>
      <c r="Y55" s="173"/>
    </row>
    <row r="56" spans="1:27">
      <c r="A56" s="1428"/>
      <c r="B56" s="152" t="s">
        <v>340</v>
      </c>
      <c r="C56" s="168">
        <v>0</v>
      </c>
      <c r="D56" s="181">
        <v>0</v>
      </c>
      <c r="E56" s="182">
        <v>0</v>
      </c>
      <c r="F56" s="181">
        <v>0</v>
      </c>
      <c r="G56" s="182">
        <v>0</v>
      </c>
      <c r="H56" s="181">
        <v>0</v>
      </c>
      <c r="I56" s="182">
        <v>0</v>
      </c>
      <c r="J56" s="181">
        <v>0</v>
      </c>
      <c r="K56" s="182">
        <v>0</v>
      </c>
      <c r="L56" s="181">
        <v>0</v>
      </c>
      <c r="M56" s="182">
        <v>0</v>
      </c>
      <c r="N56" s="181">
        <v>0</v>
      </c>
      <c r="O56" s="182">
        <v>0</v>
      </c>
      <c r="P56" s="181">
        <v>0</v>
      </c>
      <c r="Q56" s="182">
        <v>0</v>
      </c>
      <c r="R56" s="181">
        <v>0</v>
      </c>
      <c r="S56" s="182">
        <v>0</v>
      </c>
      <c r="T56" s="181">
        <v>0</v>
      </c>
      <c r="U56" s="182">
        <v>0</v>
      </c>
      <c r="V56" s="181">
        <v>0</v>
      </c>
      <c r="W56" s="182">
        <f>W18</f>
        <v>1955.6977122799999</v>
      </c>
      <c r="X56" s="181">
        <f>SUM(M56:W56)</f>
        <v>1955.6977122799999</v>
      </c>
      <c r="Y56" s="173">
        <f>X56+L56</f>
        <v>1955.6977122799999</v>
      </c>
      <c r="Z56" s="5"/>
    </row>
    <row r="57" spans="1:27" ht="13.5" thickBot="1">
      <c r="A57" s="1428"/>
      <c r="B57" s="153"/>
      <c r="C57" s="169"/>
      <c r="D57" s="176"/>
      <c r="E57" s="165"/>
      <c r="F57" s="176"/>
      <c r="G57" s="165"/>
      <c r="H57" s="176"/>
      <c r="I57" s="165"/>
      <c r="J57" s="176"/>
      <c r="K57" s="165"/>
      <c r="L57" s="176"/>
      <c r="M57" s="165"/>
      <c r="N57" s="176"/>
      <c r="O57" s="165"/>
      <c r="P57" s="176"/>
      <c r="Q57" s="165"/>
      <c r="R57" s="176"/>
      <c r="S57" s="165"/>
      <c r="T57" s="176"/>
      <c r="U57" s="165"/>
      <c r="V57" s="176"/>
      <c r="W57" s="165"/>
      <c r="X57" s="176"/>
      <c r="Y57" s="175"/>
      <c r="Z57" s="5"/>
    </row>
    <row r="58" spans="1:27" ht="13.5" thickBot="1">
      <c r="A58" s="1429"/>
      <c r="B58" s="197" t="s">
        <v>341</v>
      </c>
      <c r="C58" s="184">
        <v>0</v>
      </c>
      <c r="D58" s="183">
        <f t="shared" ref="D58:K58" si="3">D54+D56</f>
        <v>7314.6078615413271</v>
      </c>
      <c r="E58" s="184">
        <f t="shared" si="3"/>
        <v>2185.4170141856107</v>
      </c>
      <c r="F58" s="184">
        <f t="shared" si="3"/>
        <v>0</v>
      </c>
      <c r="G58" s="184">
        <f t="shared" si="3"/>
        <v>0</v>
      </c>
      <c r="H58" s="184">
        <f t="shared" si="3"/>
        <v>0</v>
      </c>
      <c r="I58" s="184">
        <f t="shared" si="3"/>
        <v>45399.804810847534</v>
      </c>
      <c r="J58" s="184">
        <f t="shared" si="3"/>
        <v>0</v>
      </c>
      <c r="K58" s="184">
        <f t="shared" si="3"/>
        <v>0</v>
      </c>
      <c r="L58" s="183">
        <f t="shared" ref="L58:W58" si="4">L54+L56</f>
        <v>54899.829686574471</v>
      </c>
      <c r="M58" s="184">
        <f t="shared" si="4"/>
        <v>48201.114386248511</v>
      </c>
      <c r="N58" s="183">
        <f t="shared" si="4"/>
        <v>15510.941989896552</v>
      </c>
      <c r="O58" s="184" t="e">
        <f t="shared" si="4"/>
        <v>#REF!</v>
      </c>
      <c r="P58" s="193">
        <f t="shared" si="4"/>
        <v>9100.0979766041601</v>
      </c>
      <c r="Q58" s="184">
        <f t="shared" si="4"/>
        <v>62576.936457995806</v>
      </c>
      <c r="R58" s="193">
        <f t="shared" si="4"/>
        <v>19503.7444092435</v>
      </c>
      <c r="S58" s="183">
        <f t="shared" si="4"/>
        <v>4084.351500590491</v>
      </c>
      <c r="T58" s="184">
        <f t="shared" si="4"/>
        <v>0</v>
      </c>
      <c r="U58" s="183">
        <f t="shared" si="4"/>
        <v>5507.1839964865139</v>
      </c>
      <c r="V58" s="184">
        <f t="shared" si="4"/>
        <v>1221.5656625499996</v>
      </c>
      <c r="W58" s="183">
        <f t="shared" si="4"/>
        <v>1955.6977122799999</v>
      </c>
      <c r="X58" s="184" t="e">
        <f>X54+X56</f>
        <v>#REF!</v>
      </c>
      <c r="Y58" s="185" t="e">
        <f>X58+L58</f>
        <v>#REF!</v>
      </c>
      <c r="Z58" s="5"/>
    </row>
    <row r="59" spans="1:27" ht="13.5" thickBot="1">
      <c r="A59" s="196"/>
      <c r="B59" s="198" t="s">
        <v>487</v>
      </c>
      <c r="C59" s="184">
        <f>C58+C36</f>
        <v>0</v>
      </c>
      <c r="D59" s="183">
        <f t="shared" ref="D59:I59" si="5">D58+D36</f>
        <v>29532.593491315281</v>
      </c>
      <c r="E59" s="184">
        <f t="shared" si="5"/>
        <v>39946.324785244149</v>
      </c>
      <c r="F59" s="183">
        <f t="shared" si="5"/>
        <v>0</v>
      </c>
      <c r="G59" s="184">
        <f t="shared" si="5"/>
        <v>0</v>
      </c>
      <c r="H59" s="183">
        <f t="shared" si="5"/>
        <v>0</v>
      </c>
      <c r="I59" s="184">
        <f t="shared" si="5"/>
        <v>51279.987209247607</v>
      </c>
      <c r="J59" s="183">
        <f t="shared" ref="J59:Y59" si="6">J58+J36</f>
        <v>0</v>
      </c>
      <c r="K59" s="184">
        <f t="shared" si="6"/>
        <v>0</v>
      </c>
      <c r="L59" s="183">
        <f t="shared" si="6"/>
        <v>120758.90548580704</v>
      </c>
      <c r="M59" s="184">
        <f t="shared" si="6"/>
        <v>48201.114386248511</v>
      </c>
      <c r="N59" s="183">
        <f t="shared" si="6"/>
        <v>16445.662738445444</v>
      </c>
      <c r="O59" s="184" t="e">
        <f t="shared" si="6"/>
        <v>#REF!</v>
      </c>
      <c r="P59" s="193">
        <f t="shared" si="6"/>
        <v>9100.0979766041601</v>
      </c>
      <c r="Q59" s="184">
        <f t="shared" si="6"/>
        <v>82670.8793983824</v>
      </c>
      <c r="R59" s="193">
        <f t="shared" si="6"/>
        <v>22073.349155812499</v>
      </c>
      <c r="S59" s="183">
        <f t="shared" si="6"/>
        <v>10207.157347760094</v>
      </c>
      <c r="T59" s="184">
        <f t="shared" si="6"/>
        <v>0</v>
      </c>
      <c r="U59" s="183">
        <f t="shared" si="6"/>
        <v>5695.7180139405136</v>
      </c>
      <c r="V59" s="184">
        <f t="shared" si="6"/>
        <v>1221.5656625499996</v>
      </c>
      <c r="W59" s="183">
        <f t="shared" si="6"/>
        <v>1955.6977122799999</v>
      </c>
      <c r="X59" s="184" t="e">
        <f t="shared" si="6"/>
        <v>#REF!</v>
      </c>
      <c r="Y59" s="365" t="e">
        <f t="shared" si="6"/>
        <v>#REF!</v>
      </c>
      <c r="Z59" s="5"/>
    </row>
    <row r="60" spans="1:27">
      <c r="X60" s="74"/>
      <c r="AA60" s="5"/>
    </row>
    <row r="61" spans="1:27">
      <c r="E61" s="74"/>
      <c r="L61" s="74"/>
      <c r="Y61" s="74"/>
    </row>
    <row r="62" spans="1:27">
      <c r="C62" s="3" t="s">
        <v>488</v>
      </c>
      <c r="M62" s="74"/>
      <c r="Y62" s="74"/>
    </row>
    <row r="63" spans="1:27">
      <c r="C63" s="3" t="s">
        <v>489</v>
      </c>
    </row>
    <row r="64" spans="1:27">
      <c r="C64" s="3" t="s">
        <v>490</v>
      </c>
    </row>
    <row r="65" spans="3:3">
      <c r="C65" s="3" t="s">
        <v>491</v>
      </c>
    </row>
    <row r="66" spans="3:3">
      <c r="C66" s="3" t="s">
        <v>492</v>
      </c>
    </row>
    <row r="67" spans="3:3">
      <c r="C67" s="195" t="s">
        <v>493</v>
      </c>
    </row>
    <row r="68" spans="3:3">
      <c r="C68" s="195" t="s">
        <v>650</v>
      </c>
    </row>
    <row r="69" spans="3:3">
      <c r="C69" s="195" t="s">
        <v>501</v>
      </c>
    </row>
  </sheetData>
  <mergeCells count="5">
    <mergeCell ref="M4:Y4"/>
    <mergeCell ref="A8:A17"/>
    <mergeCell ref="A19:A35"/>
    <mergeCell ref="A41:A58"/>
    <mergeCell ref="C4:L4"/>
  </mergeCells>
  <phoneticPr fontId="0" type="noConversion"/>
  <hyperlinks>
    <hyperlink ref="E1" location="INDICE!A60" display="VOLVER A INDICE"/>
  </hyperlinks>
  <pageMargins left="0.75" right="0.75" top="1" bottom="1" header="0" footer="0"/>
  <pageSetup orientation="portrait" r:id="rId1"/>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48"/>
  <sheetViews>
    <sheetView workbookViewId="0">
      <pane xSplit="1" ySplit="5" topLeftCell="B6" activePane="bottomRight" state="frozen"/>
      <selection pane="topRight" activeCell="B1" sqref="B1"/>
      <selection pane="bottomLeft" activeCell="A6" sqref="A6"/>
      <selection pane="bottomRight" activeCell="H17" sqref="H17"/>
    </sheetView>
  </sheetViews>
  <sheetFormatPr baseColWidth="10" defaultRowHeight="12.75"/>
  <cols>
    <col min="1" max="1" width="34.28515625" style="260" customWidth="1"/>
    <col min="2" max="14" width="11.42578125" style="260"/>
    <col min="15" max="15" width="21.28515625" style="260" customWidth="1"/>
    <col min="16" max="16384" width="11.42578125" style="260"/>
  </cols>
  <sheetData>
    <row r="1" spans="1:24">
      <c r="A1" s="60"/>
      <c r="B1" s="60"/>
      <c r="C1" s="252" t="s">
        <v>606</v>
      </c>
      <c r="D1" s="60"/>
      <c r="E1" s="60"/>
      <c r="F1" s="60"/>
      <c r="G1" s="60"/>
      <c r="H1" s="60"/>
      <c r="I1" s="60"/>
      <c r="J1" s="60"/>
      <c r="K1" s="60"/>
      <c r="L1" s="60"/>
      <c r="M1" s="60"/>
      <c r="N1" s="60"/>
      <c r="O1" s="3"/>
      <c r="P1" s="3"/>
      <c r="Q1" s="3"/>
      <c r="R1" s="3"/>
      <c r="S1" s="3"/>
      <c r="T1" s="3"/>
      <c r="U1" s="3"/>
      <c r="V1" s="3"/>
      <c r="W1" s="3"/>
      <c r="X1" s="3"/>
    </row>
    <row r="2" spans="1:24">
      <c r="A2" s="59" t="s">
        <v>675</v>
      </c>
      <c r="B2" s="60"/>
      <c r="C2" s="60"/>
      <c r="D2" s="60"/>
      <c r="E2" s="59" t="s">
        <v>473</v>
      </c>
      <c r="F2" s="60"/>
      <c r="G2" s="60"/>
      <c r="H2" s="60"/>
      <c r="I2" s="60"/>
      <c r="J2" s="60"/>
      <c r="K2" s="60"/>
      <c r="L2" s="60"/>
      <c r="M2" s="60"/>
      <c r="N2" s="60"/>
      <c r="O2" s="3"/>
      <c r="P2" s="3"/>
      <c r="Q2" s="3"/>
      <c r="R2" s="3"/>
      <c r="S2" s="3"/>
      <c r="T2" s="3"/>
      <c r="U2" s="3"/>
      <c r="V2" s="3"/>
      <c r="W2" s="3"/>
      <c r="X2" s="3"/>
    </row>
    <row r="3" spans="1:24">
      <c r="A3" s="59" t="s">
        <v>287</v>
      </c>
      <c r="B3" s="60">
        <v>1</v>
      </c>
      <c r="C3" s="60">
        <v>2</v>
      </c>
      <c r="D3" s="60">
        <v>3</v>
      </c>
      <c r="E3" s="60">
        <v>4</v>
      </c>
      <c r="F3" s="60">
        <v>5</v>
      </c>
      <c r="G3" s="60">
        <v>6</v>
      </c>
      <c r="H3" s="60">
        <v>7</v>
      </c>
      <c r="I3" s="60">
        <v>8</v>
      </c>
      <c r="J3" s="60">
        <v>9</v>
      </c>
      <c r="K3" s="60">
        <v>10</v>
      </c>
      <c r="L3" s="60">
        <v>11</v>
      </c>
      <c r="M3" s="60">
        <v>12</v>
      </c>
      <c r="N3" s="60">
        <v>13</v>
      </c>
      <c r="O3" s="3"/>
      <c r="P3" s="3"/>
      <c r="Q3" s="3"/>
      <c r="R3" s="3"/>
      <c r="S3" s="3"/>
      <c r="T3" s="3"/>
      <c r="U3" s="3"/>
      <c r="V3" s="3"/>
      <c r="W3" s="3"/>
      <c r="X3" s="3"/>
    </row>
    <row r="4" spans="1:24">
      <c r="A4" s="122"/>
      <c r="B4" s="123" t="s">
        <v>428</v>
      </c>
      <c r="C4" s="124" t="s">
        <v>428</v>
      </c>
      <c r="D4" s="125" t="s">
        <v>429</v>
      </c>
      <c r="E4" s="124" t="s">
        <v>430</v>
      </c>
      <c r="F4" s="125" t="s">
        <v>209</v>
      </c>
      <c r="G4" s="124" t="s">
        <v>431</v>
      </c>
      <c r="H4" s="125" t="s">
        <v>432</v>
      </c>
      <c r="I4" s="124" t="s">
        <v>433</v>
      </c>
      <c r="J4" s="125" t="s">
        <v>434</v>
      </c>
      <c r="K4" s="124" t="s">
        <v>460</v>
      </c>
      <c r="L4" s="125" t="s">
        <v>435</v>
      </c>
      <c r="M4" s="124" t="s">
        <v>436</v>
      </c>
      <c r="N4" s="125" t="s">
        <v>100</v>
      </c>
      <c r="O4" s="124" t="s">
        <v>464</v>
      </c>
      <c r="P4" s="3"/>
      <c r="Q4" s="3"/>
      <c r="R4" s="3"/>
      <c r="S4" s="3"/>
      <c r="T4" s="3"/>
      <c r="U4" s="3"/>
      <c r="V4" s="3"/>
      <c r="W4" s="3"/>
      <c r="X4" s="3"/>
    </row>
    <row r="5" spans="1:24">
      <c r="A5" s="126"/>
      <c r="B5" s="127"/>
      <c r="C5" s="128" t="s">
        <v>437</v>
      </c>
      <c r="D5" s="129" t="s">
        <v>438</v>
      </c>
      <c r="E5" s="128" t="s">
        <v>439</v>
      </c>
      <c r="F5" s="129" t="s">
        <v>440</v>
      </c>
      <c r="G5" s="128" t="s">
        <v>209</v>
      </c>
      <c r="H5" s="129"/>
      <c r="I5" s="128"/>
      <c r="J5" s="129" t="s">
        <v>441</v>
      </c>
      <c r="K5" s="128"/>
      <c r="L5" s="129"/>
      <c r="M5" s="128"/>
      <c r="N5" s="129"/>
      <c r="O5" s="128" t="s">
        <v>472</v>
      </c>
      <c r="P5" s="3"/>
      <c r="Q5" s="3"/>
      <c r="R5" s="3"/>
      <c r="S5" s="3"/>
      <c r="T5" s="3"/>
      <c r="U5" s="3"/>
      <c r="V5" s="3"/>
      <c r="W5" s="3"/>
      <c r="X5" s="3"/>
    </row>
    <row r="6" spans="1:24">
      <c r="A6" s="130" t="s">
        <v>442</v>
      </c>
      <c r="B6" s="131">
        <f>CUADRO3!C11</f>
        <v>3708.0321649999996</v>
      </c>
      <c r="C6" s="132">
        <f>CUADRO4!C22+CUADRO4!C23</f>
        <v>7788.2981346696033</v>
      </c>
      <c r="D6" s="133">
        <f>CUADRO3!C9</f>
        <v>1957.13745990966</v>
      </c>
      <c r="E6" s="132">
        <f>CUADRO4!C10</f>
        <v>105499.08467505399</v>
      </c>
      <c r="F6" s="133">
        <f>CUADRO3!C10</f>
        <v>23568.220215219913</v>
      </c>
      <c r="G6" s="132">
        <f>CUADRO4!C24</f>
        <v>1233.3052522059857</v>
      </c>
      <c r="H6" s="133"/>
      <c r="I6" s="134"/>
      <c r="J6" s="135"/>
      <c r="K6" s="132">
        <f>CUADRO4!C25+CUADRO4!C27</f>
        <v>6158.0555085039996</v>
      </c>
      <c r="L6" s="133">
        <f>CUADRO4!C20</f>
        <v>51333.438527762657</v>
      </c>
      <c r="M6" s="132">
        <f>CUADRO4!C28</f>
        <v>51279.987209247607</v>
      </c>
      <c r="N6" s="133">
        <f>SUM(B6:M6)</f>
        <v>252525.55914757343</v>
      </c>
      <c r="O6" s="132">
        <f>N6-D6</f>
        <v>250568.42168766377</v>
      </c>
      <c r="P6" s="3"/>
      <c r="Q6" s="3"/>
      <c r="R6" s="3"/>
      <c r="S6" s="3"/>
      <c r="T6" s="3"/>
      <c r="U6" s="3"/>
      <c r="V6" s="3"/>
      <c r="W6" s="3"/>
      <c r="X6" s="3"/>
    </row>
    <row r="7" spans="1:24">
      <c r="A7" s="130" t="s">
        <v>443</v>
      </c>
      <c r="B7" s="131">
        <f>CUADRO3!D11</f>
        <v>38156.598983924494</v>
      </c>
      <c r="C7" s="132">
        <f>CUADRO4!D22</f>
        <v>2940.1153326999997</v>
      </c>
      <c r="D7" s="133">
        <f>CUADRO3!D9</f>
        <v>103619.40288279117</v>
      </c>
      <c r="E7" s="132">
        <f>CUADRO4!D10</f>
        <v>68627.807858758853</v>
      </c>
      <c r="F7" s="133">
        <f>CUADRO3!D10</f>
        <v>8263.6502244328694</v>
      </c>
      <c r="G7" s="132">
        <f>CUADRO4!D24</f>
        <v>0</v>
      </c>
      <c r="H7" s="135"/>
      <c r="I7" s="134"/>
      <c r="J7" s="135"/>
      <c r="K7" s="132">
        <f>CUADRO4!D25+CUADRO4!D27</f>
        <v>0</v>
      </c>
      <c r="L7" s="133">
        <f>CUADRO4!D20</f>
        <v>1159.28</v>
      </c>
      <c r="M7" s="132">
        <f>CUADRO4!D28</f>
        <v>0</v>
      </c>
      <c r="N7" s="133">
        <f t="shared" ref="N7:N26" si="0">SUM(B7:M7)</f>
        <v>222766.8552826074</v>
      </c>
      <c r="O7" s="132">
        <f t="shared" ref="O7:O25" si="1">N7-D7</f>
        <v>119147.45239981623</v>
      </c>
      <c r="P7" s="3"/>
      <c r="Q7" s="3"/>
      <c r="R7" s="3"/>
      <c r="S7" s="3"/>
      <c r="T7" s="3"/>
      <c r="U7" s="3"/>
      <c r="V7" s="3"/>
      <c r="W7" s="3"/>
      <c r="X7" s="3"/>
    </row>
    <row r="8" spans="1:24">
      <c r="A8" s="130" t="s">
        <v>444</v>
      </c>
      <c r="B8" s="131">
        <f>CUADRO3!E11</f>
        <v>0</v>
      </c>
      <c r="C8" s="132">
        <f>CUADRO4!E22</f>
        <v>0</v>
      </c>
      <c r="D8" s="133">
        <f>CUADRO3!E9</f>
        <v>0</v>
      </c>
      <c r="E8" s="132">
        <f>CUADRO4!E10</f>
        <v>13447.891626481998</v>
      </c>
      <c r="F8" s="133">
        <f>CUADRO3!E10</f>
        <v>0</v>
      </c>
      <c r="G8" s="132">
        <f>CUADRO4!E24</f>
        <v>0</v>
      </c>
      <c r="H8" s="135"/>
      <c r="I8" s="134"/>
      <c r="J8" s="135"/>
      <c r="K8" s="132">
        <f>CUADRO4!E25+CUADRO4!E27</f>
        <v>4432.5817789377579</v>
      </c>
      <c r="L8" s="133">
        <f>CUADRO4!E20</f>
        <v>0</v>
      </c>
      <c r="M8" s="132">
        <f>CUADRO4!E28</f>
        <v>0</v>
      </c>
      <c r="N8" s="133">
        <f t="shared" si="0"/>
        <v>17880.473405419754</v>
      </c>
      <c r="O8" s="132">
        <f t="shared" si="1"/>
        <v>17880.473405419754</v>
      </c>
      <c r="P8" s="3"/>
      <c r="Q8" s="3"/>
      <c r="R8" s="3"/>
      <c r="S8" s="3"/>
      <c r="T8" s="3"/>
      <c r="U8" s="3"/>
      <c r="V8" s="3"/>
      <c r="W8" s="3"/>
      <c r="X8" s="3"/>
    </row>
    <row r="9" spans="1:24">
      <c r="A9" s="130" t="s">
        <v>445</v>
      </c>
      <c r="B9" s="136">
        <v>0</v>
      </c>
      <c r="C9" s="134"/>
      <c r="D9" s="135"/>
      <c r="E9" s="132">
        <v>0</v>
      </c>
      <c r="F9" s="68"/>
      <c r="G9" s="134">
        <v>0</v>
      </c>
      <c r="H9" s="135"/>
      <c r="I9" s="134"/>
      <c r="J9" s="135"/>
      <c r="K9" s="134">
        <v>0</v>
      </c>
      <c r="L9" s="135">
        <v>0</v>
      </c>
      <c r="M9" s="134">
        <f>0</f>
        <v>0</v>
      </c>
      <c r="N9" s="135">
        <f t="shared" si="0"/>
        <v>0</v>
      </c>
      <c r="O9" s="132">
        <f t="shared" si="1"/>
        <v>0</v>
      </c>
      <c r="P9" s="3"/>
      <c r="Q9" s="3"/>
      <c r="R9" s="3"/>
      <c r="S9" s="3"/>
      <c r="T9" s="3"/>
      <c r="U9" s="3"/>
      <c r="V9" s="3"/>
      <c r="W9" s="3"/>
      <c r="X9" s="3"/>
    </row>
    <row r="10" spans="1:24">
      <c r="A10" s="130" t="s">
        <v>446</v>
      </c>
      <c r="B10" s="131">
        <f>CUADRO3!F11</f>
        <v>1918.3063636803372</v>
      </c>
      <c r="C10" s="132">
        <f>CUADRO4!F22+CUADRO4!F23</f>
        <v>357.32111960950783</v>
      </c>
      <c r="D10" s="133">
        <f>CUADRO3!F9</f>
        <v>-911.38588984677335</v>
      </c>
      <c r="E10" s="132">
        <f>CUADRO4!F10</f>
        <v>-2246.7254110136546</v>
      </c>
      <c r="F10" s="133">
        <f>CUADRO3!F10</f>
        <v>1764.6083099999996</v>
      </c>
      <c r="G10" s="132">
        <f>CUADRO4!F24</f>
        <v>19.690683599472322</v>
      </c>
      <c r="H10" s="135"/>
      <c r="I10" s="134"/>
      <c r="J10" s="135"/>
      <c r="K10" s="132">
        <f>CUADRO4!F25+CUADRO4!F27</f>
        <v>398.65360368937144</v>
      </c>
      <c r="L10" s="133">
        <f>CUADRO4!F20</f>
        <v>4291.6041415141517</v>
      </c>
      <c r="M10" s="132">
        <f>CUADRO4!F28</f>
        <v>0</v>
      </c>
      <c r="N10" s="133">
        <f t="shared" si="0"/>
        <v>5592.0729212324122</v>
      </c>
      <c r="O10" s="132">
        <f t="shared" si="1"/>
        <v>6503.4588110791856</v>
      </c>
      <c r="P10" s="3"/>
      <c r="Q10" s="3"/>
      <c r="R10" s="3"/>
      <c r="S10" s="3"/>
      <c r="T10" s="3"/>
      <c r="U10" s="3"/>
      <c r="V10" s="3"/>
      <c r="W10" s="3"/>
      <c r="X10" s="3"/>
    </row>
    <row r="11" spans="1:24">
      <c r="A11" s="137" t="s">
        <v>447</v>
      </c>
      <c r="B11" s="138">
        <f>B6+B7-B8-B9-B10</f>
        <v>39946.324785244156</v>
      </c>
      <c r="C11" s="139">
        <f t="shared" ref="C11:O11" si="2">C6+C7-C8-C9-C10</f>
        <v>10371.092347760095</v>
      </c>
      <c r="D11" s="140">
        <f t="shared" si="2"/>
        <v>106487.9262325476</v>
      </c>
      <c r="E11" s="139">
        <f t="shared" si="2"/>
        <v>162925.7263183445</v>
      </c>
      <c r="F11" s="140">
        <f t="shared" si="2"/>
        <v>30067.262129652783</v>
      </c>
      <c r="G11" s="139">
        <f t="shared" si="2"/>
        <v>1213.6145686065133</v>
      </c>
      <c r="H11" s="140"/>
      <c r="I11" s="139"/>
      <c r="J11" s="140"/>
      <c r="K11" s="139">
        <f t="shared" si="2"/>
        <v>1326.8201258768702</v>
      </c>
      <c r="L11" s="140">
        <f t="shared" si="2"/>
        <v>48201.114386248504</v>
      </c>
      <c r="M11" s="139">
        <f t="shared" si="2"/>
        <v>51279.987209247607</v>
      </c>
      <c r="N11" s="140">
        <f t="shared" si="2"/>
        <v>451819.86810352863</v>
      </c>
      <c r="O11" s="139">
        <f t="shared" si="2"/>
        <v>345331.94187098107</v>
      </c>
      <c r="P11" s="3"/>
      <c r="Q11" s="3"/>
      <c r="R11" s="3"/>
      <c r="S11" s="3"/>
      <c r="T11" s="3"/>
      <c r="U11" s="3"/>
      <c r="V11" s="3"/>
      <c r="W11" s="3"/>
      <c r="X11" s="3"/>
    </row>
    <row r="12" spans="1:24">
      <c r="A12" s="130" t="s">
        <v>448</v>
      </c>
      <c r="B12" s="131">
        <f>CONS_TERAC!N50</f>
        <v>33506.247771058537</v>
      </c>
      <c r="C12" s="132">
        <f>CONS_TERAC!O50</f>
        <v>5032.3818471696031</v>
      </c>
      <c r="D12" s="135">
        <v>0</v>
      </c>
      <c r="E12" s="132">
        <f>CONS_TERAC!L50</f>
        <v>21175.961239917942</v>
      </c>
      <c r="F12" s="133">
        <f>CONS_TERAC!S50</f>
        <v>8056.9488230933948</v>
      </c>
      <c r="G12" s="132">
        <f>CONS_TERAC!Q37</f>
        <v>0</v>
      </c>
      <c r="H12" s="133"/>
      <c r="I12" s="134"/>
      <c r="J12" s="135"/>
      <c r="K12" s="132">
        <f>CONS_TERAC!R37</f>
        <v>0</v>
      </c>
      <c r="L12" s="133">
        <v>0</v>
      </c>
      <c r="M12" s="132">
        <f>CONS_TERAC!V50</f>
        <v>0</v>
      </c>
      <c r="N12" s="133">
        <f t="shared" si="0"/>
        <v>67771.539681239476</v>
      </c>
      <c r="O12" s="132">
        <f t="shared" si="1"/>
        <v>67771.539681239476</v>
      </c>
      <c r="P12" s="3"/>
      <c r="Q12" s="3"/>
      <c r="R12" s="3"/>
      <c r="S12" s="3"/>
      <c r="T12" s="3"/>
      <c r="U12" s="3"/>
      <c r="V12" s="3"/>
      <c r="W12" s="3"/>
      <c r="X12" s="3"/>
    </row>
    <row r="13" spans="1:24">
      <c r="A13" s="130" t="s">
        <v>449</v>
      </c>
      <c r="B13" s="131">
        <f>CONS_TERAC!N49</f>
        <v>0</v>
      </c>
      <c r="C13" s="132">
        <f>CONS_TERAC!O49</f>
        <v>0</v>
      </c>
      <c r="D13" s="135">
        <v>0</v>
      </c>
      <c r="E13" s="132">
        <f>CONS_TERAC!L49</f>
        <v>1806.4383938135952</v>
      </c>
      <c r="F13" s="133">
        <f>CONS_TERAC!S49</f>
        <v>535.06257310656008</v>
      </c>
      <c r="G13" s="132">
        <f>CONS_TERAC!Q36</f>
        <v>0</v>
      </c>
      <c r="H13" s="135"/>
      <c r="I13" s="134"/>
      <c r="J13" s="135"/>
      <c r="K13" s="132">
        <f>CONS_TERAC!R36</f>
        <v>0</v>
      </c>
      <c r="L13" s="133">
        <v>0</v>
      </c>
      <c r="M13" s="132">
        <f>CONS_TERAC!V49</f>
        <v>5880.1823984000757</v>
      </c>
      <c r="N13" s="133">
        <f t="shared" si="0"/>
        <v>8221.6833653202302</v>
      </c>
      <c r="O13" s="132">
        <f t="shared" si="1"/>
        <v>8221.6833653202302</v>
      </c>
      <c r="P13" s="3"/>
      <c r="Q13" s="3"/>
      <c r="R13" s="3"/>
      <c r="S13" s="3"/>
      <c r="T13" s="3"/>
      <c r="U13" s="3"/>
      <c r="V13" s="3"/>
      <c r="W13" s="3"/>
      <c r="X13" s="3"/>
    </row>
    <row r="14" spans="1:24">
      <c r="A14" s="130" t="s">
        <v>450</v>
      </c>
      <c r="B14" s="131">
        <f>CONS_TERAC!N38+CONS_TERAC!N42</f>
        <v>0</v>
      </c>
      <c r="C14" s="132">
        <f>CONS_TERAC!O51+CONS_TERAC!O55</f>
        <v>1090.424</v>
      </c>
      <c r="D14" s="135">
        <v>0</v>
      </c>
      <c r="E14" s="132">
        <f>CONS_TERAC!L51+CONS_TERAC!L55</f>
        <v>804.40281922694885</v>
      </c>
      <c r="F14" s="133">
        <v>0</v>
      </c>
      <c r="G14" s="132">
        <f>CONS_TERAC!Q38+CONS_TERAC!Q42</f>
        <v>1.7551383729671555</v>
      </c>
      <c r="H14" s="135"/>
      <c r="I14" s="134"/>
      <c r="J14" s="135"/>
      <c r="K14" s="132">
        <v>0</v>
      </c>
      <c r="L14" s="133">
        <v>0</v>
      </c>
      <c r="M14" s="132">
        <f>CONS_TERAC!V51+CONS_TERAC!V55</f>
        <v>0</v>
      </c>
      <c r="N14" s="133">
        <f t="shared" si="0"/>
        <v>1896.581957599916</v>
      </c>
      <c r="O14" s="132">
        <f t="shared" si="1"/>
        <v>1896.581957599916</v>
      </c>
      <c r="P14" s="3"/>
      <c r="Q14" s="3"/>
      <c r="R14" s="3"/>
      <c r="S14" s="3"/>
      <c r="T14" s="3"/>
      <c r="U14" s="3"/>
      <c r="V14" s="3"/>
      <c r="W14" s="3"/>
      <c r="X14" s="3"/>
    </row>
    <row r="15" spans="1:24">
      <c r="A15" s="130" t="s">
        <v>451</v>
      </c>
      <c r="B15" s="131">
        <f>CONS_TERAC!N40</f>
        <v>0</v>
      </c>
      <c r="C15" s="132">
        <f>CONS_TERAC!O53</f>
        <v>0</v>
      </c>
      <c r="D15" s="133">
        <f>D11</f>
        <v>106487.9262325476</v>
      </c>
      <c r="E15" s="132">
        <f>CONS_TERAC!L53</f>
        <v>0</v>
      </c>
      <c r="F15" s="133">
        <f>CONS_TERAC!S53</f>
        <v>5093.0010335739998</v>
      </c>
      <c r="G15" s="132">
        <f>CONS_TERAC!Q40</f>
        <v>0</v>
      </c>
      <c r="H15" s="135"/>
      <c r="I15" s="134"/>
      <c r="J15" s="135"/>
      <c r="K15" s="132">
        <v>0</v>
      </c>
      <c r="L15" s="133">
        <v>0</v>
      </c>
      <c r="M15" s="132">
        <f>CONS_TERAC!V53</f>
        <v>0</v>
      </c>
      <c r="N15" s="133">
        <f t="shared" si="0"/>
        <v>111580.92726612159</v>
      </c>
      <c r="O15" s="132">
        <f t="shared" si="1"/>
        <v>5093.0010335739935</v>
      </c>
      <c r="P15" s="3"/>
      <c r="Q15" s="3"/>
      <c r="R15" s="3"/>
      <c r="S15" s="3"/>
      <c r="T15" s="3"/>
      <c r="U15" s="3"/>
      <c r="V15" s="3"/>
      <c r="W15" s="3"/>
      <c r="X15" s="3"/>
    </row>
    <row r="16" spans="1:24">
      <c r="A16" s="130" t="s">
        <v>452</v>
      </c>
      <c r="B16" s="131">
        <v>0</v>
      </c>
      <c r="C16" s="132">
        <f>CONS_TERAC!O54+CONS_TERAC!O52</f>
        <v>0</v>
      </c>
      <c r="D16" s="135">
        <v>0</v>
      </c>
      <c r="E16" s="132">
        <f>CONS_TERAC!L54+CONS_TERAC!L52</f>
        <v>0</v>
      </c>
      <c r="F16" s="133">
        <f>CONS_TERAC!S41+CONS_TERAC!S52</f>
        <v>0</v>
      </c>
      <c r="G16" s="132">
        <v>0</v>
      </c>
      <c r="H16" s="135"/>
      <c r="I16" s="134"/>
      <c r="J16" s="135"/>
      <c r="K16" s="132">
        <v>0</v>
      </c>
      <c r="L16" s="133">
        <v>0</v>
      </c>
      <c r="M16" s="132">
        <f>CONS_TERAC!V54+CONS_TERAC!V52</f>
        <v>0</v>
      </c>
      <c r="N16" s="133">
        <f t="shared" si="0"/>
        <v>0</v>
      </c>
      <c r="O16" s="132">
        <f t="shared" si="1"/>
        <v>0</v>
      </c>
      <c r="P16" s="3"/>
      <c r="Q16" s="3"/>
      <c r="R16" s="3"/>
      <c r="S16" s="3"/>
      <c r="T16" s="3"/>
      <c r="U16" s="3"/>
      <c r="V16" s="3"/>
      <c r="W16" s="3"/>
      <c r="X16" s="3"/>
    </row>
    <row r="17" spans="1:24">
      <c r="A17" s="130" t="s">
        <v>453</v>
      </c>
      <c r="B17" s="131">
        <v>0</v>
      </c>
      <c r="C17" s="132">
        <v>0</v>
      </c>
      <c r="D17" s="133">
        <v>0</v>
      </c>
      <c r="E17" s="132">
        <v>0</v>
      </c>
      <c r="F17" s="133">
        <v>0</v>
      </c>
      <c r="G17" s="132">
        <v>0</v>
      </c>
      <c r="H17" s="135"/>
      <c r="I17" s="134"/>
      <c r="J17" s="135"/>
      <c r="K17" s="132">
        <v>0</v>
      </c>
      <c r="L17" s="133">
        <v>0</v>
      </c>
      <c r="M17" s="132">
        <v>0</v>
      </c>
      <c r="N17" s="133">
        <f t="shared" si="0"/>
        <v>0</v>
      </c>
      <c r="O17" s="132">
        <f t="shared" si="1"/>
        <v>0</v>
      </c>
      <c r="P17" s="3"/>
      <c r="Q17" s="3"/>
      <c r="R17" s="3"/>
      <c r="S17" s="3"/>
      <c r="T17" s="3"/>
      <c r="U17" s="3"/>
      <c r="V17" s="3"/>
      <c r="W17" s="3"/>
      <c r="X17" s="3"/>
    </row>
    <row r="18" spans="1:24">
      <c r="A18" s="130" t="s">
        <v>467</v>
      </c>
      <c r="B18" s="131">
        <v>0</v>
      </c>
      <c r="C18" s="132">
        <v>0</v>
      </c>
      <c r="D18" s="133">
        <v>0</v>
      </c>
      <c r="E18" s="132">
        <v>0</v>
      </c>
      <c r="F18" s="133">
        <v>0</v>
      </c>
      <c r="G18" s="132">
        <v>0</v>
      </c>
      <c r="H18" s="135"/>
      <c r="I18" s="134"/>
      <c r="J18" s="135"/>
      <c r="K18" s="132">
        <v>0</v>
      </c>
      <c r="L18" s="133">
        <v>0</v>
      </c>
      <c r="M18" s="132">
        <v>0</v>
      </c>
      <c r="N18" s="133">
        <f t="shared" si="0"/>
        <v>0</v>
      </c>
      <c r="O18" s="132">
        <f t="shared" si="1"/>
        <v>0</v>
      </c>
      <c r="P18" s="3"/>
      <c r="Q18" s="3"/>
      <c r="R18" s="3"/>
      <c r="S18" s="3"/>
      <c r="T18" s="3"/>
      <c r="U18" s="3"/>
      <c r="V18" s="3"/>
      <c r="W18" s="3"/>
      <c r="X18" s="3"/>
    </row>
    <row r="19" spans="1:24">
      <c r="A19" s="137" t="s">
        <v>461</v>
      </c>
      <c r="B19" s="138">
        <f>SUM(B12:B18)</f>
        <v>33506.247771058537</v>
      </c>
      <c r="C19" s="139">
        <f t="shared" ref="C19:O19" si="3">SUM(C12:C18)</f>
        <v>6122.8058471696031</v>
      </c>
      <c r="D19" s="140">
        <f t="shared" si="3"/>
        <v>106487.9262325476</v>
      </c>
      <c r="E19" s="139">
        <f t="shared" si="3"/>
        <v>23786.802452958487</v>
      </c>
      <c r="F19" s="140">
        <f t="shared" si="3"/>
        <v>13685.012429773953</v>
      </c>
      <c r="G19" s="139">
        <f t="shared" si="3"/>
        <v>1.7551383729671555</v>
      </c>
      <c r="H19" s="140"/>
      <c r="I19" s="139"/>
      <c r="J19" s="140"/>
      <c r="K19" s="139">
        <f t="shared" si="3"/>
        <v>0</v>
      </c>
      <c r="L19" s="140">
        <f t="shared" si="3"/>
        <v>0</v>
      </c>
      <c r="M19" s="139">
        <f t="shared" si="3"/>
        <v>5880.1823984000757</v>
      </c>
      <c r="N19" s="140">
        <f t="shared" si="3"/>
        <v>189470.73227028124</v>
      </c>
      <c r="O19" s="139">
        <f t="shared" si="3"/>
        <v>82982.806037733622</v>
      </c>
      <c r="P19" s="3"/>
      <c r="Q19" s="3"/>
      <c r="R19" s="3"/>
      <c r="S19" s="3"/>
      <c r="T19" s="3"/>
      <c r="U19" s="3"/>
      <c r="V19" s="3"/>
      <c r="W19" s="3"/>
      <c r="X19" s="3"/>
    </row>
    <row r="20" spans="1:24">
      <c r="A20" s="141" t="s">
        <v>454</v>
      </c>
      <c r="B20" s="131">
        <f>CONS_TERAC!N26-B22</f>
        <v>1802.9453571856109</v>
      </c>
      <c r="C20" s="132">
        <f>CONS_TERAC!O26-C22+CONS_TERAC!P26</f>
        <v>3998.982526590491</v>
      </c>
      <c r="D20" s="135">
        <v>0</v>
      </c>
      <c r="E20" s="132">
        <f>CONS_TERAC!L26-E22</f>
        <v>16262.046711365958</v>
      </c>
      <c r="F20" s="133">
        <f>CONS_TERAC!S26-F22</f>
        <v>832.22864581120166</v>
      </c>
      <c r="G20" s="132">
        <f>CONS_TERAC!Q26-G22</f>
        <v>709.25030508414932</v>
      </c>
      <c r="H20" s="135"/>
      <c r="I20" s="134"/>
      <c r="J20" s="135"/>
      <c r="K20" s="132">
        <f>CONS_TERAC!R26-K22</f>
        <v>165.60400000000001</v>
      </c>
      <c r="L20" s="133">
        <f>CONS_TERAC!M26-L22</f>
        <v>13554.90588071126</v>
      </c>
      <c r="M20" s="132">
        <f>CONS_TERAC!V26-M22</f>
        <v>15747.062102540436</v>
      </c>
      <c r="N20" s="133">
        <f t="shared" si="0"/>
        <v>53073.025529289109</v>
      </c>
      <c r="O20" s="132">
        <f t="shared" si="1"/>
        <v>53073.025529289109</v>
      </c>
      <c r="P20" s="3"/>
      <c r="Q20" s="3"/>
      <c r="R20" s="3"/>
      <c r="S20" s="3"/>
      <c r="T20" s="3"/>
      <c r="U20" s="3"/>
      <c r="V20" s="3"/>
      <c r="W20" s="3"/>
      <c r="X20" s="3"/>
    </row>
    <row r="21" spans="1:24">
      <c r="A21" s="130" t="s">
        <v>455</v>
      </c>
      <c r="B21" s="131">
        <f>CONS_TERAC!N12</f>
        <v>0</v>
      </c>
      <c r="C21" s="132">
        <f>CONS_TERAC!O12</f>
        <v>0</v>
      </c>
      <c r="D21" s="135"/>
      <c r="E21" s="132">
        <f>CONS_TERAC!L12</f>
        <v>85580.154664637768</v>
      </c>
      <c r="F21" s="133">
        <f>CONS_TERAC!S12</f>
        <v>223.2994833275786</v>
      </c>
      <c r="G21" s="132">
        <f>CONS_TERAC!Q12</f>
        <v>0</v>
      </c>
      <c r="H21" s="135"/>
      <c r="I21" s="134"/>
      <c r="J21" s="135"/>
      <c r="K21" s="132">
        <f>CONS_TERAC!R12</f>
        <v>0</v>
      </c>
      <c r="L21" s="133">
        <f>CONS_TERAC!M12</f>
        <v>363.20603858000004</v>
      </c>
      <c r="M21" s="132">
        <f>CONS_TERAC!V12</f>
        <v>0</v>
      </c>
      <c r="N21" s="133">
        <f t="shared" si="0"/>
        <v>86166.660186545341</v>
      </c>
      <c r="O21" s="132">
        <f t="shared" si="1"/>
        <v>86166.660186545341</v>
      </c>
      <c r="P21" s="3"/>
      <c r="Q21" s="3"/>
      <c r="R21" s="3"/>
      <c r="S21" s="3"/>
      <c r="T21" s="3"/>
      <c r="U21" s="3"/>
      <c r="V21" s="3"/>
      <c r="W21" s="3"/>
      <c r="X21" s="3"/>
    </row>
    <row r="22" spans="1:24">
      <c r="A22" s="141" t="s">
        <v>456</v>
      </c>
      <c r="B22" s="131">
        <f>CONS_TERAC!N14+CONS_TERAC!N15+CONS_TERAC!N16+CONS_TERAC!N24</f>
        <v>355.02005700000001</v>
      </c>
      <c r="C22" s="132">
        <f>CONS_TERAC!O14+CONS_TERAC!O15+CONS_TERAC!O16+CONS_TERAC!O24</f>
        <v>85.368974000000009</v>
      </c>
      <c r="D22" s="135">
        <v>0</v>
      </c>
      <c r="E22" s="132">
        <f>CONS_TERAC!L14+CONS_TERAC!L15+CONS_TERAC!L16+CONS_TERAC!L24</f>
        <v>16975.891375528761</v>
      </c>
      <c r="F22" s="133">
        <f>CONS_TERAC!S14+CONS_TERAC!S15+CONS_TERAC!S16+CONS_TERAC!S24</f>
        <v>685.651388268132</v>
      </c>
      <c r="G22" s="132">
        <f>CONS_TERAC!Q14+CONS_TERAC!Q15+CONS_TERAC!Q16+CONS_TERAC!Q24</f>
        <v>0</v>
      </c>
      <c r="H22" s="135"/>
      <c r="I22" s="134"/>
      <c r="J22" s="135"/>
      <c r="K22" s="132">
        <f>CONS_TERAC!R14+CONS_TERAC!R15+CONS_TERAC!R16+CONS_TERAC!R24</f>
        <v>0</v>
      </c>
      <c r="L22" s="133">
        <f>CONS_TERAC!M14+CONS_TERAC!M15+CONS_TERAC!M16+CONS_TERAC!M24</f>
        <v>17914.267970592355</v>
      </c>
      <c r="M22" s="132">
        <f>CONS_TERAC!V14+CONS_TERAC!V15+CONS_TERAC!V16+CONS_TERAC!V24</f>
        <v>0</v>
      </c>
      <c r="N22" s="133">
        <f t="shared" si="0"/>
        <v>36016.199765389247</v>
      </c>
      <c r="O22" s="132">
        <f t="shared" si="1"/>
        <v>36016.199765389247</v>
      </c>
      <c r="P22" s="3"/>
      <c r="Q22" s="3"/>
      <c r="R22" s="3"/>
      <c r="S22" s="3"/>
      <c r="T22" s="3"/>
      <c r="U22" s="3"/>
      <c r="V22" s="3"/>
      <c r="W22" s="3"/>
      <c r="X22" s="3"/>
    </row>
    <row r="23" spans="1:24">
      <c r="A23" s="141" t="s">
        <v>457</v>
      </c>
      <c r="B23" s="131">
        <v>0</v>
      </c>
      <c r="C23" s="132">
        <v>0</v>
      </c>
      <c r="D23" s="135"/>
      <c r="E23" s="132">
        <v>0</v>
      </c>
      <c r="F23" s="133">
        <v>0</v>
      </c>
      <c r="G23" s="132">
        <v>0</v>
      </c>
      <c r="H23" s="135"/>
      <c r="I23" s="134"/>
      <c r="J23" s="135"/>
      <c r="K23" s="132">
        <v>0</v>
      </c>
      <c r="L23" s="133">
        <v>0</v>
      </c>
      <c r="M23" s="132">
        <v>0</v>
      </c>
      <c r="N23" s="133">
        <f t="shared" si="0"/>
        <v>0</v>
      </c>
      <c r="O23" s="132">
        <f t="shared" si="1"/>
        <v>0</v>
      </c>
      <c r="P23" s="3"/>
      <c r="Q23" s="3"/>
      <c r="R23" s="3"/>
      <c r="S23" s="3"/>
      <c r="T23" s="3"/>
      <c r="U23" s="3"/>
      <c r="V23" s="3"/>
      <c r="W23" s="3"/>
      <c r="X23" s="3"/>
    </row>
    <row r="24" spans="1:24">
      <c r="A24" s="130" t="s">
        <v>458</v>
      </c>
      <c r="B24" s="131">
        <f>CONS_TERAC!N33</f>
        <v>27.451600000000003</v>
      </c>
      <c r="C24" s="132">
        <f>CONS_TERAC!O33</f>
        <v>0</v>
      </c>
      <c r="D24" s="135"/>
      <c r="E24" s="132">
        <f>CONS_TERAC!L33</f>
        <v>13644.28914051113</v>
      </c>
      <c r="F24" s="133">
        <f>CONS_TERAC!S33</f>
        <v>5562.3134769846374</v>
      </c>
      <c r="G24" s="132">
        <f>CONS_TERAC!Q33</f>
        <v>234.16143023354647</v>
      </c>
      <c r="H24" s="135"/>
      <c r="I24" s="134"/>
      <c r="J24" s="135"/>
      <c r="K24" s="132">
        <f>CONS_TERAC!R33</f>
        <v>0</v>
      </c>
      <c r="L24" s="133">
        <f>CONS_TERAC!M33</f>
        <v>14499.828798218998</v>
      </c>
      <c r="M24" s="132">
        <f>CONS_TERAC!V33</f>
        <v>29652.742708307094</v>
      </c>
      <c r="N24" s="133">
        <f t="shared" si="0"/>
        <v>63620.787154255406</v>
      </c>
      <c r="O24" s="132">
        <f t="shared" si="1"/>
        <v>63620.787154255406</v>
      </c>
      <c r="P24" s="3"/>
      <c r="Q24" s="3"/>
      <c r="R24" s="3"/>
      <c r="S24" s="3"/>
      <c r="T24" s="3"/>
      <c r="U24" s="3"/>
      <c r="V24" s="3"/>
      <c r="W24" s="3"/>
      <c r="X24" s="3"/>
    </row>
    <row r="25" spans="1:24">
      <c r="A25" s="130" t="s">
        <v>670</v>
      </c>
      <c r="B25" s="131">
        <f>CONS_TERAC!N41+CONS_TERAC!N52</f>
        <v>4254.66</v>
      </c>
      <c r="C25" s="134">
        <v>0</v>
      </c>
      <c r="D25" s="135"/>
      <c r="E25" s="132">
        <f>CONS_TERAC!L44</f>
        <v>6676.5419733423978</v>
      </c>
      <c r="F25" s="133">
        <f>CONS_TERAC!S44</f>
        <v>11.114867149777659</v>
      </c>
      <c r="G25" s="132">
        <f>CONS_TERAC!Q41+CONS_TERAC!Q39</f>
        <v>268.44769491585055</v>
      </c>
      <c r="H25" s="135"/>
      <c r="I25" s="134"/>
      <c r="J25" s="135"/>
      <c r="K25" s="132">
        <f>CONS_TERAC!T44+CONS_TERAC!R44</f>
        <v>714.15</v>
      </c>
      <c r="L25" s="133">
        <f>CONS_TERAC!M44</f>
        <v>1868.9056981458937</v>
      </c>
      <c r="M25" s="134">
        <v>0</v>
      </c>
      <c r="N25" s="135">
        <f t="shared" si="0"/>
        <v>13793.820233553921</v>
      </c>
      <c r="O25" s="132">
        <f t="shared" si="1"/>
        <v>13793.820233553921</v>
      </c>
      <c r="P25" s="3"/>
      <c r="Q25" s="3"/>
      <c r="R25" s="3"/>
      <c r="S25" s="3"/>
      <c r="T25" s="3"/>
      <c r="U25" s="3"/>
      <c r="V25" s="3"/>
      <c r="W25" s="3"/>
      <c r="X25" s="3"/>
    </row>
    <row r="26" spans="1:24">
      <c r="A26" s="126" t="s">
        <v>459</v>
      </c>
      <c r="B26" s="127">
        <v>0</v>
      </c>
      <c r="C26" s="128">
        <v>0</v>
      </c>
      <c r="D26" s="129"/>
      <c r="E26" s="132">
        <f>CUADRO11!C17</f>
        <v>1955.6977122799999</v>
      </c>
      <c r="F26" s="129">
        <v>0</v>
      </c>
      <c r="G26" s="128">
        <v>0</v>
      </c>
      <c r="H26" s="129"/>
      <c r="I26" s="128"/>
      <c r="J26" s="129"/>
      <c r="K26" s="128">
        <v>0</v>
      </c>
      <c r="L26" s="129">
        <v>0</v>
      </c>
      <c r="M26" s="128">
        <v>0</v>
      </c>
      <c r="N26" s="133">
        <f t="shared" si="0"/>
        <v>1955.6977122799999</v>
      </c>
      <c r="O26" s="132">
        <v>0</v>
      </c>
      <c r="P26" s="3"/>
      <c r="Q26" s="3"/>
      <c r="R26" s="3"/>
      <c r="S26" s="3"/>
      <c r="T26" s="3"/>
      <c r="U26" s="3"/>
      <c r="V26" s="3"/>
      <c r="W26" s="3"/>
      <c r="X26" s="3"/>
    </row>
    <row r="27" spans="1:24">
      <c r="A27" s="137" t="s">
        <v>462</v>
      </c>
      <c r="B27" s="138">
        <f>SUM(B20:B26)</f>
        <v>6440.0770141856101</v>
      </c>
      <c r="C27" s="139">
        <f t="shared" ref="C27:O27" si="4">SUM(C20:C26)</f>
        <v>4084.351500590491</v>
      </c>
      <c r="D27" s="140">
        <f t="shared" si="4"/>
        <v>0</v>
      </c>
      <c r="E27" s="139">
        <f t="shared" si="4"/>
        <v>141094.62157766602</v>
      </c>
      <c r="F27" s="140">
        <f t="shared" si="4"/>
        <v>7314.6078615413271</v>
      </c>
      <c r="G27" s="139">
        <f t="shared" si="4"/>
        <v>1211.8594302335464</v>
      </c>
      <c r="H27" s="140"/>
      <c r="I27" s="139"/>
      <c r="J27" s="140"/>
      <c r="K27" s="139">
        <f t="shared" si="4"/>
        <v>879.75400000000002</v>
      </c>
      <c r="L27" s="140">
        <f t="shared" si="4"/>
        <v>48201.114386248504</v>
      </c>
      <c r="M27" s="139">
        <f t="shared" si="4"/>
        <v>45399.804810847534</v>
      </c>
      <c r="N27" s="140">
        <f t="shared" si="4"/>
        <v>254626.19058131301</v>
      </c>
      <c r="O27" s="139">
        <f t="shared" si="4"/>
        <v>252670.49286903301</v>
      </c>
      <c r="P27" s="3"/>
      <c r="Q27" s="3"/>
      <c r="R27" s="3"/>
      <c r="S27" s="3"/>
      <c r="T27" s="3"/>
      <c r="U27" s="3"/>
      <c r="V27" s="3"/>
      <c r="W27" s="3"/>
      <c r="X27" s="3"/>
    </row>
    <row r="28" spans="1:24">
      <c r="A28" s="137" t="s">
        <v>463</v>
      </c>
      <c r="B28" s="142">
        <f>B19+B27</f>
        <v>39946.324785244149</v>
      </c>
      <c r="C28" s="143">
        <f t="shared" ref="C28:O28" si="5">C19+C27</f>
        <v>10207.157347760094</v>
      </c>
      <c r="D28" s="144">
        <f t="shared" si="5"/>
        <v>106487.9262325476</v>
      </c>
      <c r="E28" s="143">
        <f t="shared" si="5"/>
        <v>164881.4240306245</v>
      </c>
      <c r="F28" s="144">
        <f t="shared" si="5"/>
        <v>20999.620291315281</v>
      </c>
      <c r="G28" s="143">
        <f t="shared" si="5"/>
        <v>1213.6145686065136</v>
      </c>
      <c r="H28" s="144"/>
      <c r="I28" s="143"/>
      <c r="J28" s="144"/>
      <c r="K28" s="143">
        <f t="shared" si="5"/>
        <v>879.75400000000002</v>
      </c>
      <c r="L28" s="144">
        <f t="shared" si="5"/>
        <v>48201.114386248504</v>
      </c>
      <c r="M28" s="143">
        <f t="shared" si="5"/>
        <v>51279.987209247607</v>
      </c>
      <c r="N28" s="144">
        <f t="shared" si="5"/>
        <v>444096.92285159428</v>
      </c>
      <c r="O28" s="143">
        <f t="shared" si="5"/>
        <v>335653.29890676663</v>
      </c>
      <c r="P28" s="3"/>
      <c r="Q28" s="3"/>
      <c r="R28" s="3"/>
      <c r="S28" s="3"/>
      <c r="T28" s="3"/>
      <c r="U28" s="3"/>
      <c r="V28" s="3"/>
      <c r="W28" s="3"/>
      <c r="X28" s="3"/>
    </row>
    <row r="29" spans="1:24">
      <c r="A29" s="145"/>
      <c r="B29" s="145"/>
      <c r="C29" s="145"/>
      <c r="D29" s="145"/>
      <c r="E29" s="146"/>
      <c r="F29" s="145"/>
      <c r="G29" s="145"/>
      <c r="H29" s="145"/>
      <c r="I29" s="145"/>
      <c r="J29" s="145"/>
      <c r="K29" s="145"/>
      <c r="L29" s="147"/>
      <c r="M29" s="145"/>
      <c r="N29" s="146"/>
      <c r="O29" s="3"/>
      <c r="P29" s="3"/>
      <c r="Q29" s="3"/>
      <c r="R29" s="3"/>
      <c r="S29" s="3"/>
      <c r="T29" s="3"/>
      <c r="U29" s="3"/>
      <c r="V29" s="3"/>
      <c r="W29" s="3"/>
      <c r="X29" s="3"/>
    </row>
    <row r="30" spans="1:24">
      <c r="A30" s="3"/>
      <c r="B30" s="145" t="s">
        <v>465</v>
      </c>
      <c r="C30" s="145"/>
      <c r="D30" s="145"/>
      <c r="E30" s="146"/>
      <c r="F30" s="145"/>
      <c r="G30" s="145"/>
      <c r="H30" s="145"/>
      <c r="I30" s="145"/>
      <c r="J30" s="145"/>
      <c r="K30" s="145"/>
      <c r="L30" s="147"/>
      <c r="M30" s="145"/>
      <c r="N30" s="146"/>
      <c r="O30" s="3" t="s">
        <v>471</v>
      </c>
      <c r="P30" s="3"/>
      <c r="Q30" s="3"/>
      <c r="R30" s="3"/>
      <c r="S30" s="3"/>
      <c r="T30" s="3"/>
      <c r="U30" s="3"/>
      <c r="V30" s="3"/>
      <c r="W30" s="3"/>
      <c r="X30" s="3"/>
    </row>
    <row r="31" spans="1:24">
      <c r="A31" s="3"/>
      <c r="B31" s="145" t="s">
        <v>470</v>
      </c>
      <c r="C31" s="145"/>
      <c r="D31" s="145"/>
      <c r="E31" s="146"/>
      <c r="F31" s="145"/>
      <c r="G31" s="145"/>
      <c r="H31" s="145"/>
      <c r="I31" s="145"/>
      <c r="J31" s="145"/>
      <c r="K31" s="145"/>
      <c r="L31" s="147"/>
      <c r="M31" s="145"/>
      <c r="N31" s="146"/>
      <c r="O31" s="3"/>
      <c r="P31" s="3"/>
      <c r="Q31" s="3"/>
      <c r="R31" s="3"/>
      <c r="S31" s="3"/>
      <c r="T31" s="3"/>
      <c r="U31" s="3"/>
      <c r="V31" s="3"/>
      <c r="W31" s="3"/>
      <c r="X31" s="3"/>
    </row>
    <row r="32" spans="1:24">
      <c r="A32" s="3"/>
      <c r="B32" s="145" t="s">
        <v>466</v>
      </c>
      <c r="C32" s="145"/>
      <c r="D32" s="145"/>
      <c r="E32" s="146"/>
      <c r="F32" s="145"/>
      <c r="G32" s="145"/>
      <c r="H32" s="145"/>
      <c r="I32" s="145"/>
      <c r="J32" s="145"/>
      <c r="K32" s="145"/>
      <c r="L32" s="147"/>
      <c r="M32" s="145"/>
      <c r="N32" s="146"/>
      <c r="O32" s="3"/>
      <c r="P32" s="3"/>
      <c r="Q32" s="3"/>
      <c r="R32" s="3"/>
      <c r="S32" s="3"/>
      <c r="T32" s="3"/>
      <c r="U32" s="3"/>
      <c r="V32" s="3"/>
      <c r="W32" s="3"/>
      <c r="X32" s="3"/>
    </row>
    <row r="33" spans="1:24">
      <c r="A33" s="3"/>
      <c r="B33" s="145" t="s">
        <v>468</v>
      </c>
      <c r="C33" s="145"/>
      <c r="D33" s="145"/>
      <c r="E33" s="146"/>
      <c r="F33" s="145"/>
      <c r="G33" s="145"/>
      <c r="H33" s="145"/>
      <c r="I33" s="145"/>
      <c r="J33" s="145"/>
      <c r="K33" s="145"/>
      <c r="L33" s="147"/>
      <c r="M33" s="145"/>
      <c r="N33" s="146"/>
      <c r="O33" s="3"/>
      <c r="P33" s="3"/>
      <c r="Q33" s="3"/>
      <c r="R33" s="3"/>
      <c r="S33" s="3"/>
      <c r="T33" s="3"/>
      <c r="U33" s="3"/>
      <c r="V33" s="3"/>
      <c r="W33" s="3"/>
      <c r="X33" s="3"/>
    </row>
    <row r="34" spans="1:24">
      <c r="A34" s="3"/>
      <c r="B34" s="60" t="s">
        <v>469</v>
      </c>
      <c r="C34" s="60"/>
      <c r="D34" s="60"/>
      <c r="E34" s="60"/>
      <c r="F34" s="60"/>
      <c r="G34" s="60"/>
      <c r="H34" s="60"/>
      <c r="I34" s="60"/>
      <c r="J34" s="60"/>
      <c r="K34" s="60"/>
      <c r="L34" s="60"/>
      <c r="M34" s="60"/>
      <c r="N34" s="60"/>
      <c r="O34" s="3"/>
      <c r="P34" s="3"/>
      <c r="Q34" s="3"/>
      <c r="R34" s="3"/>
      <c r="S34" s="3"/>
      <c r="T34" s="3"/>
      <c r="U34" s="3"/>
      <c r="V34" s="3"/>
      <c r="W34" s="3"/>
      <c r="X34" s="3"/>
    </row>
    <row r="35" spans="1:24">
      <c r="A35" s="3"/>
      <c r="B35" s="60" t="s">
        <v>671</v>
      </c>
      <c r="C35" s="3"/>
      <c r="D35" s="3"/>
      <c r="E35" s="3"/>
      <c r="F35" s="3"/>
      <c r="G35" s="3"/>
      <c r="H35" s="3"/>
      <c r="I35" s="3"/>
      <c r="J35" s="3"/>
      <c r="K35" s="3"/>
      <c r="L35" s="3"/>
      <c r="M35" s="3"/>
      <c r="N35" s="3"/>
      <c r="O35" s="3"/>
      <c r="P35" s="3"/>
      <c r="Q35" s="3"/>
      <c r="R35" s="3"/>
      <c r="S35" s="3"/>
      <c r="T35" s="3"/>
      <c r="U35" s="3"/>
      <c r="V35" s="3"/>
      <c r="W35" s="3"/>
      <c r="X35" s="3"/>
    </row>
    <row r="36" spans="1:24">
      <c r="A36" s="3"/>
      <c r="B36" s="60" t="s">
        <v>672</v>
      </c>
      <c r="C36" s="3"/>
      <c r="D36" s="3"/>
      <c r="E36" s="3"/>
      <c r="F36" s="3"/>
      <c r="G36" s="3"/>
      <c r="H36" s="3"/>
      <c r="I36" s="3"/>
      <c r="J36" s="3"/>
      <c r="K36" s="3"/>
      <c r="L36" s="3"/>
      <c r="M36" s="3"/>
      <c r="N36" s="3"/>
      <c r="O36" s="3"/>
      <c r="P36" s="3"/>
      <c r="Q36" s="3"/>
      <c r="R36" s="3"/>
      <c r="S36" s="3"/>
      <c r="T36" s="3"/>
      <c r="U36" s="3"/>
      <c r="V36" s="3"/>
      <c r="W36" s="3"/>
      <c r="X36" s="3"/>
    </row>
    <row r="37" spans="1:24">
      <c r="A37" s="145"/>
      <c r="B37" s="3"/>
      <c r="C37" s="3"/>
      <c r="D37" s="3"/>
      <c r="E37" s="3"/>
      <c r="F37" s="3"/>
      <c r="G37" s="3"/>
      <c r="H37" s="3"/>
      <c r="I37" s="3"/>
      <c r="J37" s="3"/>
      <c r="K37" s="3"/>
      <c r="L37" s="3"/>
      <c r="M37" s="3"/>
      <c r="N37" s="3"/>
      <c r="O37" s="3"/>
      <c r="P37" s="3"/>
      <c r="Q37" s="3"/>
      <c r="R37" s="3"/>
      <c r="S37" s="3"/>
      <c r="T37" s="3"/>
      <c r="U37" s="3"/>
      <c r="V37" s="3"/>
      <c r="W37" s="3"/>
      <c r="X37" s="3"/>
    </row>
    <row r="38" spans="1:24">
      <c r="A38" s="3"/>
      <c r="B38" s="3"/>
      <c r="C38" s="3"/>
      <c r="D38" s="3"/>
      <c r="E38" s="3"/>
      <c r="F38" s="3"/>
      <c r="G38" s="3"/>
      <c r="H38" s="3"/>
      <c r="I38" s="3"/>
      <c r="J38" s="3"/>
      <c r="K38" s="3"/>
      <c r="L38" s="3"/>
      <c r="M38" s="3"/>
      <c r="N38" s="3"/>
      <c r="O38" s="3"/>
      <c r="P38" s="3"/>
      <c r="Q38" s="3"/>
      <c r="R38" s="3"/>
      <c r="S38" s="3"/>
      <c r="T38" s="3"/>
      <c r="U38" s="3"/>
      <c r="V38" s="3"/>
      <c r="W38" s="3"/>
      <c r="X38" s="3"/>
    </row>
    <row r="39" spans="1:24">
      <c r="A39" s="3"/>
      <c r="B39" s="3"/>
      <c r="C39" s="3"/>
      <c r="D39" s="3"/>
      <c r="E39" s="3"/>
      <c r="F39" s="3"/>
      <c r="G39" s="3"/>
      <c r="H39" s="3"/>
      <c r="I39" s="3"/>
      <c r="J39" s="3"/>
      <c r="K39" s="3"/>
      <c r="L39" s="3"/>
      <c r="M39" s="3"/>
      <c r="N39" s="3"/>
      <c r="O39" s="3"/>
      <c r="P39" s="3"/>
      <c r="Q39" s="3"/>
      <c r="R39" s="3"/>
      <c r="S39" s="3"/>
      <c r="T39" s="3"/>
      <c r="U39" s="3"/>
      <c r="V39" s="3"/>
      <c r="W39" s="3"/>
      <c r="X39" s="3"/>
    </row>
    <row r="40" spans="1:24">
      <c r="A40" s="3"/>
      <c r="B40" s="3"/>
      <c r="C40" s="3"/>
      <c r="D40" s="3"/>
      <c r="E40" s="3"/>
      <c r="F40" s="3"/>
      <c r="G40" s="3"/>
      <c r="H40" s="3"/>
      <c r="I40" s="3"/>
      <c r="J40" s="3"/>
      <c r="K40" s="3"/>
      <c r="L40" s="3"/>
      <c r="M40" s="3"/>
      <c r="N40" s="3"/>
      <c r="O40" s="3"/>
      <c r="P40" s="3"/>
      <c r="Q40" s="3"/>
      <c r="R40" s="3"/>
      <c r="S40" s="3"/>
      <c r="T40" s="3"/>
      <c r="U40" s="3"/>
      <c r="V40" s="3"/>
      <c r="W40" s="3"/>
      <c r="X40" s="3"/>
    </row>
    <row r="41" spans="1:24">
      <c r="A41" s="3"/>
      <c r="B41" s="3"/>
      <c r="C41" s="3"/>
      <c r="D41" s="3"/>
      <c r="E41" s="3"/>
      <c r="F41" s="3"/>
      <c r="G41" s="3"/>
      <c r="H41" s="3"/>
      <c r="I41" s="3"/>
      <c r="J41" s="3"/>
      <c r="K41" s="3"/>
      <c r="L41" s="3"/>
      <c r="M41" s="3"/>
      <c r="N41" s="3"/>
      <c r="O41" s="3"/>
      <c r="P41" s="3"/>
      <c r="Q41" s="3"/>
      <c r="R41" s="3"/>
      <c r="S41" s="3"/>
      <c r="T41" s="3"/>
      <c r="U41" s="3"/>
      <c r="V41" s="3"/>
      <c r="W41" s="3"/>
      <c r="X41" s="3"/>
    </row>
    <row r="42" spans="1:24">
      <c r="A42" s="3"/>
      <c r="B42" s="3"/>
      <c r="C42" s="3"/>
      <c r="D42" s="3"/>
      <c r="E42" s="3"/>
      <c r="F42" s="3"/>
      <c r="G42" s="3"/>
      <c r="H42" s="3"/>
      <c r="I42" s="3"/>
      <c r="J42" s="3"/>
      <c r="K42" s="3"/>
      <c r="L42" s="3"/>
      <c r="M42" s="3"/>
      <c r="N42" s="3"/>
      <c r="O42" s="3"/>
      <c r="P42" s="3"/>
      <c r="Q42" s="3"/>
      <c r="R42" s="3"/>
      <c r="S42" s="3"/>
      <c r="T42" s="3"/>
      <c r="U42" s="3"/>
      <c r="V42" s="3"/>
      <c r="W42" s="3"/>
      <c r="X42" s="3"/>
    </row>
    <row r="43" spans="1:24">
      <c r="A43" s="3"/>
      <c r="B43" s="3"/>
      <c r="C43" s="3"/>
      <c r="D43" s="3"/>
      <c r="E43" s="3"/>
      <c r="F43" s="3"/>
      <c r="G43" s="3"/>
      <c r="H43" s="3"/>
      <c r="I43" s="3"/>
      <c r="J43" s="3"/>
      <c r="K43" s="3"/>
      <c r="L43" s="3"/>
      <c r="M43" s="3"/>
      <c r="N43" s="3"/>
      <c r="O43" s="3"/>
      <c r="P43" s="3"/>
      <c r="Q43" s="3"/>
      <c r="R43" s="3"/>
      <c r="S43" s="3"/>
      <c r="T43" s="3"/>
      <c r="U43" s="3"/>
      <c r="V43" s="3"/>
      <c r="W43" s="3"/>
      <c r="X43" s="3"/>
    </row>
    <row r="44" spans="1:24">
      <c r="A44" s="3"/>
      <c r="B44" s="3"/>
      <c r="C44" s="3"/>
      <c r="D44" s="3"/>
      <c r="E44" s="3"/>
      <c r="F44" s="3"/>
      <c r="G44" s="3"/>
      <c r="H44" s="3"/>
      <c r="I44" s="3"/>
      <c r="J44" s="3"/>
      <c r="K44" s="3"/>
      <c r="L44" s="3"/>
      <c r="M44" s="3"/>
      <c r="N44" s="3"/>
      <c r="O44" s="3"/>
      <c r="P44" s="3"/>
      <c r="Q44" s="3"/>
      <c r="R44" s="3"/>
      <c r="S44" s="3"/>
      <c r="T44" s="3"/>
      <c r="U44" s="3"/>
      <c r="V44" s="3"/>
      <c r="W44" s="3"/>
      <c r="X44" s="3"/>
    </row>
    <row r="45" spans="1:24">
      <c r="A45" s="3"/>
      <c r="B45" s="3"/>
      <c r="C45" s="3"/>
      <c r="D45" s="3"/>
      <c r="E45" s="3"/>
      <c r="F45" s="3"/>
      <c r="G45" s="3"/>
      <c r="H45" s="3"/>
      <c r="I45" s="3"/>
      <c r="J45" s="3"/>
      <c r="K45" s="3"/>
      <c r="L45" s="3"/>
      <c r="M45" s="3"/>
      <c r="N45" s="3"/>
      <c r="O45" s="3"/>
      <c r="P45" s="3"/>
      <c r="Q45" s="3"/>
      <c r="R45" s="3"/>
      <c r="S45" s="3"/>
      <c r="T45" s="3"/>
      <c r="U45" s="3"/>
      <c r="V45" s="3"/>
      <c r="W45" s="3"/>
      <c r="X45" s="3"/>
    </row>
    <row r="46" spans="1:24">
      <c r="A46" s="3"/>
      <c r="B46" s="3"/>
      <c r="C46" s="3"/>
      <c r="D46" s="3"/>
      <c r="E46" s="3"/>
      <c r="F46" s="3"/>
      <c r="G46" s="3"/>
      <c r="H46" s="3"/>
      <c r="I46" s="3"/>
      <c r="J46" s="3"/>
      <c r="K46" s="3"/>
      <c r="L46" s="3"/>
      <c r="M46" s="3"/>
      <c r="N46" s="3"/>
      <c r="O46" s="3"/>
      <c r="P46" s="3"/>
      <c r="Q46" s="3"/>
      <c r="R46" s="3"/>
      <c r="S46" s="3"/>
      <c r="T46" s="3"/>
      <c r="U46" s="3"/>
      <c r="V46" s="3"/>
      <c r="W46" s="3"/>
      <c r="X46" s="3"/>
    </row>
    <row r="47" spans="1:24">
      <c r="A47" s="3"/>
      <c r="B47" s="3"/>
      <c r="C47" s="3"/>
      <c r="D47" s="3"/>
      <c r="E47" s="3"/>
      <c r="F47" s="3"/>
      <c r="G47" s="3"/>
      <c r="H47" s="3"/>
      <c r="I47" s="3"/>
      <c r="J47" s="3"/>
      <c r="K47" s="3"/>
      <c r="L47" s="3"/>
      <c r="M47" s="3"/>
      <c r="N47" s="3"/>
      <c r="O47" s="3"/>
      <c r="P47" s="3"/>
      <c r="Q47" s="3"/>
      <c r="R47" s="3"/>
      <c r="S47" s="3"/>
      <c r="T47" s="3"/>
      <c r="U47" s="3"/>
      <c r="V47" s="3"/>
      <c r="W47" s="3"/>
      <c r="X47" s="3"/>
    </row>
    <row r="48" spans="1:24">
      <c r="A48" s="3"/>
      <c r="B48" s="3"/>
      <c r="C48" s="3"/>
      <c r="D48" s="3"/>
      <c r="E48" s="3"/>
      <c r="F48" s="3"/>
      <c r="G48" s="3"/>
      <c r="H48" s="3"/>
      <c r="I48" s="3"/>
      <c r="J48" s="3"/>
      <c r="K48" s="3"/>
      <c r="L48" s="3"/>
      <c r="M48" s="3"/>
      <c r="N48" s="3"/>
      <c r="O48" s="3"/>
      <c r="P48" s="3"/>
      <c r="Q48" s="3"/>
      <c r="R48" s="3"/>
      <c r="S48" s="3"/>
      <c r="T48" s="3"/>
      <c r="U48" s="3"/>
      <c r="V48" s="3"/>
      <c r="W48" s="3"/>
      <c r="X48" s="3"/>
    </row>
  </sheetData>
  <phoneticPr fontId="0" type="noConversion"/>
  <hyperlinks>
    <hyperlink ref="C1" location="INDICE!A70" display="VOLVER A INDICE"/>
  </hyperlinks>
  <pageMargins left="0.75" right="0.75" top="1" bottom="1" header="0" footer="0"/>
  <pageSetup orientation="portrait" r:id="rId1"/>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0"/>
  <sheetViews>
    <sheetView zoomScale="70" workbookViewId="0">
      <pane xSplit="2" ySplit="7" topLeftCell="C8" activePane="bottomRight" state="frozen"/>
      <selection pane="topRight" activeCell="C1" sqref="C1"/>
      <selection pane="bottomLeft" activeCell="A8" sqref="A8"/>
      <selection pane="bottomRight" activeCell="Y74" sqref="Y74"/>
    </sheetView>
  </sheetViews>
  <sheetFormatPr baseColWidth="10" defaultRowHeight="12.75"/>
  <cols>
    <col min="1" max="1" width="11.42578125" style="260"/>
    <col min="2" max="2" width="26.42578125" style="260" customWidth="1"/>
    <col min="3" max="26" width="11.42578125" style="260"/>
    <col min="27" max="27" width="12.85546875" style="3" customWidth="1"/>
    <col min="28" max="38" width="11.42578125" style="3"/>
    <col min="39" max="16384" width="11.42578125" style="260"/>
  </cols>
  <sheetData>
    <row r="1" spans="1:38">
      <c r="A1" s="148"/>
      <c r="B1" s="149"/>
      <c r="C1" s="150"/>
      <c r="D1" s="150"/>
      <c r="E1" s="253" t="s">
        <v>606</v>
      </c>
      <c r="F1" s="150"/>
      <c r="G1" s="150"/>
      <c r="H1" s="150"/>
      <c r="I1" s="150"/>
      <c r="J1" s="150"/>
      <c r="K1" s="150"/>
      <c r="L1" s="150"/>
      <c r="M1" s="150"/>
      <c r="N1" s="150"/>
      <c r="O1" s="150"/>
      <c r="P1" s="150"/>
      <c r="Q1" s="150"/>
      <c r="R1" s="150" t="s">
        <v>283</v>
      </c>
      <c r="S1" s="150"/>
      <c r="T1" s="150"/>
      <c r="U1" s="150"/>
      <c r="V1" s="150"/>
      <c r="W1" s="150"/>
      <c r="X1" s="150"/>
      <c r="Y1" s="150"/>
      <c r="Z1" s="3"/>
    </row>
    <row r="2" spans="1:38">
      <c r="A2" s="148"/>
      <c r="B2" s="148"/>
      <c r="C2" s="150"/>
      <c r="D2" s="150"/>
      <c r="E2" s="150"/>
      <c r="F2" s="150"/>
      <c r="G2" s="150"/>
      <c r="H2" s="170"/>
      <c r="I2" s="170"/>
      <c r="J2" s="170"/>
      <c r="K2" s="150"/>
      <c r="L2" s="150"/>
      <c r="M2" s="150"/>
      <c r="N2" s="150">
        <v>100</v>
      </c>
      <c r="O2" s="150"/>
      <c r="P2" s="150"/>
      <c r="Q2" s="150"/>
      <c r="R2" s="150" t="s">
        <v>283</v>
      </c>
      <c r="S2" s="150"/>
      <c r="T2" s="150"/>
      <c r="U2" s="150"/>
      <c r="V2" s="150"/>
      <c r="W2" s="171"/>
      <c r="X2" s="150" t="s">
        <v>284</v>
      </c>
      <c r="Y2" s="150"/>
      <c r="Z2" s="3"/>
    </row>
    <row r="3" spans="1:38">
      <c r="A3" s="148"/>
      <c r="B3" s="148"/>
      <c r="C3" s="150"/>
      <c r="D3" s="150"/>
      <c r="E3" s="150"/>
      <c r="F3" s="150"/>
      <c r="G3" s="150"/>
      <c r="H3" s="170"/>
      <c r="I3" s="170" t="s">
        <v>494</v>
      </c>
      <c r="J3" s="170"/>
      <c r="K3" s="150"/>
      <c r="L3" s="150"/>
      <c r="M3" s="150"/>
      <c r="N3" s="150">
        <f>N2-3.4</f>
        <v>96.6</v>
      </c>
      <c r="O3" s="150"/>
      <c r="P3" s="150"/>
      <c r="Q3" s="150"/>
      <c r="R3" s="150" t="s">
        <v>283</v>
      </c>
      <c r="S3" s="150"/>
      <c r="T3" s="150"/>
      <c r="U3" s="150" t="s">
        <v>286</v>
      </c>
      <c r="V3" s="150"/>
      <c r="W3" s="150"/>
      <c r="X3" s="150" t="s">
        <v>287</v>
      </c>
      <c r="Y3" s="150"/>
      <c r="Z3" s="3"/>
    </row>
    <row r="4" spans="1:38" ht="13.5" thickBot="1">
      <c r="A4" s="148"/>
      <c r="B4" s="148"/>
      <c r="C4" s="1421" t="s">
        <v>288</v>
      </c>
      <c r="D4" s="1422"/>
      <c r="E4" s="1422"/>
      <c r="F4" s="1422"/>
      <c r="G4" s="1422"/>
      <c r="H4" s="1422"/>
      <c r="I4" s="1422"/>
      <c r="J4" s="1422"/>
      <c r="K4" s="1422"/>
      <c r="L4" s="1423"/>
      <c r="M4" s="1421" t="s">
        <v>289</v>
      </c>
      <c r="N4" s="1422"/>
      <c r="O4" s="1422"/>
      <c r="P4" s="1422"/>
      <c r="Q4" s="1422"/>
      <c r="R4" s="1422"/>
      <c r="S4" s="1422"/>
      <c r="T4" s="1422"/>
      <c r="U4" s="1422"/>
      <c r="V4" s="1422"/>
      <c r="W4" s="1422"/>
      <c r="X4" s="1422"/>
      <c r="Y4" s="1423"/>
      <c r="Z4" s="3"/>
    </row>
    <row r="5" spans="1:38">
      <c r="A5" s="154"/>
      <c r="B5" s="157" t="s">
        <v>290</v>
      </c>
      <c r="C5" s="186" t="s">
        <v>480</v>
      </c>
      <c r="D5" s="187" t="s">
        <v>291</v>
      </c>
      <c r="E5" s="186" t="s">
        <v>24</v>
      </c>
      <c r="F5" s="187" t="s">
        <v>292</v>
      </c>
      <c r="G5" s="187" t="s">
        <v>293</v>
      </c>
      <c r="H5" s="188"/>
      <c r="I5" s="186" t="s">
        <v>294</v>
      </c>
      <c r="J5" s="189" t="s">
        <v>295</v>
      </c>
      <c r="K5" s="186" t="s">
        <v>296</v>
      </c>
      <c r="L5" s="187" t="s">
        <v>297</v>
      </c>
      <c r="M5" s="186" t="s">
        <v>298</v>
      </c>
      <c r="N5" s="187" t="s">
        <v>291</v>
      </c>
      <c r="O5" s="186" t="s">
        <v>299</v>
      </c>
      <c r="P5" s="187" t="s">
        <v>300</v>
      </c>
      <c r="Q5" s="186" t="s">
        <v>72</v>
      </c>
      <c r="R5" s="187" t="s">
        <v>301</v>
      </c>
      <c r="S5" s="186" t="s">
        <v>302</v>
      </c>
      <c r="T5" s="187" t="s">
        <v>24</v>
      </c>
      <c r="U5" s="186" t="s">
        <v>303</v>
      </c>
      <c r="V5" s="187" t="s">
        <v>296</v>
      </c>
      <c r="W5" s="186" t="s">
        <v>304</v>
      </c>
      <c r="X5" s="187" t="s">
        <v>297</v>
      </c>
      <c r="Y5" s="164" t="s">
        <v>28</v>
      </c>
      <c r="Z5" s="3"/>
    </row>
    <row r="6" spans="1:38">
      <c r="A6" s="155"/>
      <c r="B6" s="158">
        <v>2004</v>
      </c>
      <c r="C6" s="190" t="s">
        <v>305</v>
      </c>
      <c r="D6" s="189" t="s">
        <v>481</v>
      </c>
      <c r="E6" s="190" t="s">
        <v>482</v>
      </c>
      <c r="F6" s="189" t="s">
        <v>483</v>
      </c>
      <c r="G6" s="189" t="s">
        <v>475</v>
      </c>
      <c r="H6" s="189" t="s">
        <v>476</v>
      </c>
      <c r="I6" s="190" t="s">
        <v>283</v>
      </c>
      <c r="J6" s="189" t="s">
        <v>306</v>
      </c>
      <c r="K6" s="190" t="s">
        <v>283</v>
      </c>
      <c r="L6" s="189" t="s">
        <v>484</v>
      </c>
      <c r="M6" s="190" t="s">
        <v>485</v>
      </c>
      <c r="N6" s="189" t="s">
        <v>486</v>
      </c>
      <c r="O6" s="190" t="s">
        <v>307</v>
      </c>
      <c r="P6" s="189" t="s">
        <v>308</v>
      </c>
      <c r="Q6" s="190" t="s">
        <v>309</v>
      </c>
      <c r="R6" s="189" t="s">
        <v>309</v>
      </c>
      <c r="S6" s="190"/>
      <c r="T6" s="189" t="s">
        <v>310</v>
      </c>
      <c r="U6" s="190"/>
      <c r="V6" s="189" t="s">
        <v>283</v>
      </c>
      <c r="W6" s="190" t="s">
        <v>311</v>
      </c>
      <c r="X6" s="189" t="s">
        <v>312</v>
      </c>
      <c r="Y6" s="172"/>
      <c r="Z6" s="3"/>
    </row>
    <row r="7" spans="1:38" ht="13.5" thickBot="1">
      <c r="A7" s="155"/>
      <c r="B7" s="159"/>
      <c r="C7" s="190"/>
      <c r="D7" s="189"/>
      <c r="E7" s="190"/>
      <c r="F7" s="189"/>
      <c r="G7" s="191"/>
      <c r="H7" s="189" t="s">
        <v>283</v>
      </c>
      <c r="I7" s="190"/>
      <c r="J7" s="189" t="s">
        <v>313</v>
      </c>
      <c r="K7" s="190" t="s">
        <v>283</v>
      </c>
      <c r="L7" s="189"/>
      <c r="M7" s="190"/>
      <c r="N7" s="189"/>
      <c r="O7" s="190" t="s">
        <v>314</v>
      </c>
      <c r="P7" s="189" t="s">
        <v>315</v>
      </c>
      <c r="Q7" s="190"/>
      <c r="R7" s="189" t="s">
        <v>283</v>
      </c>
      <c r="S7" s="190"/>
      <c r="T7" s="192"/>
      <c r="U7" s="190"/>
      <c r="V7" s="189" t="s">
        <v>283</v>
      </c>
      <c r="W7" s="190" t="s">
        <v>316</v>
      </c>
      <c r="X7" s="189" t="s">
        <v>674</v>
      </c>
      <c r="Y7" s="172"/>
      <c r="Z7" s="3"/>
    </row>
    <row r="8" spans="1:38">
      <c r="A8" s="1424" t="s">
        <v>499</v>
      </c>
      <c r="B8" s="151" t="s">
        <v>42</v>
      </c>
      <c r="C8" s="70">
        <f>CUADRO3!C9</f>
        <v>1957.13745990966</v>
      </c>
      <c r="D8" s="67">
        <f>CUADRO3!C10</f>
        <v>23568.220215219913</v>
      </c>
      <c r="E8" s="70">
        <f>CUADRO3!C11</f>
        <v>3708.0321649999996</v>
      </c>
      <c r="F8" s="67">
        <f>CUADRO3!C12</f>
        <v>22283.143681192396</v>
      </c>
      <c r="G8" s="70">
        <v>0</v>
      </c>
      <c r="H8" s="67">
        <v>0</v>
      </c>
      <c r="I8" s="70">
        <f>CUADRO3!C14</f>
        <v>51279.987209247607</v>
      </c>
      <c r="J8" s="67">
        <v>0</v>
      </c>
      <c r="K8" s="70">
        <v>0</v>
      </c>
      <c r="L8" s="181">
        <f>SUM(C8:K8)</f>
        <v>102796.52073056958</v>
      </c>
      <c r="M8" s="70">
        <f>CUADRO4!C20</f>
        <v>51333.438527762657</v>
      </c>
      <c r="N8" s="67">
        <f>CUADRO4!C15</f>
        <v>9096.6720437999993</v>
      </c>
      <c r="O8" s="70" t="e">
        <f>CUADRO4!C13+CUADRO4!#REF!+CUADRO4!C16</f>
        <v>#REF!</v>
      </c>
      <c r="P8" s="67">
        <f>CUADRO4!C14+CUADRO4!C17</f>
        <v>7536.975480000001</v>
      </c>
      <c r="Q8" s="70">
        <f>CUADRO4!C12</f>
        <v>37512.607992971993</v>
      </c>
      <c r="R8" s="67">
        <f>CUADRO4!C11</f>
        <v>18923.525302499998</v>
      </c>
      <c r="S8" s="70">
        <f>CUADRO4!C22</f>
        <v>7605.3931346696036</v>
      </c>
      <c r="T8" s="67">
        <v>0</v>
      </c>
      <c r="U8" s="70">
        <f>CUADRO4!C19+CUADRO4!C24+CUADRO4!C25</f>
        <v>5892.3093375399858</v>
      </c>
      <c r="V8" s="67">
        <f>CUADRO4!C18+CUADRO4!C27+CUADRO4!C23</f>
        <v>6660.2819685039995</v>
      </c>
      <c r="W8" s="70">
        <f>CUADRO11!C17</f>
        <v>1955.6977122799999</v>
      </c>
      <c r="X8" s="67" t="e">
        <f>SUM(M8:W8)</f>
        <v>#REF!</v>
      </c>
      <c r="Y8" s="173" t="e">
        <f>X8+L8</f>
        <v>#REF!</v>
      </c>
      <c r="Z8" s="5"/>
    </row>
    <row r="9" spans="1:38">
      <c r="A9" s="1425"/>
      <c r="B9" s="152"/>
      <c r="C9" s="70"/>
      <c r="D9" s="67"/>
      <c r="E9" s="70"/>
      <c r="F9" s="67"/>
      <c r="G9" s="70"/>
      <c r="H9" s="250"/>
      <c r="I9" s="67"/>
      <c r="J9" s="71"/>
      <c r="K9" s="70"/>
      <c r="L9" s="181"/>
      <c r="M9" s="70"/>
      <c r="N9" s="67"/>
      <c r="O9" s="70"/>
      <c r="P9" s="67"/>
      <c r="Q9" s="70"/>
      <c r="R9" s="67"/>
      <c r="S9" s="70"/>
      <c r="T9" s="67"/>
      <c r="U9" s="70"/>
      <c r="V9" s="67"/>
      <c r="W9" s="70"/>
      <c r="X9" s="67"/>
      <c r="Y9" s="173"/>
      <c r="Z9" s="3"/>
    </row>
    <row r="10" spans="1:38">
      <c r="A10" s="1425"/>
      <c r="B10" s="152" t="s">
        <v>43</v>
      </c>
      <c r="C10" s="70">
        <f>CUADRO3!D9</f>
        <v>103619.40288279117</v>
      </c>
      <c r="D10" s="67">
        <f>CUADRO3!D10</f>
        <v>8263.6502244328694</v>
      </c>
      <c r="E10" s="70">
        <f>CUADRO3!D11</f>
        <v>38156.598983924494</v>
      </c>
      <c r="F10" s="250">
        <f>CUADRO3!D12</f>
        <v>0</v>
      </c>
      <c r="G10" s="67">
        <v>0</v>
      </c>
      <c r="H10" s="70">
        <v>0</v>
      </c>
      <c r="I10" s="67">
        <v>0</v>
      </c>
      <c r="J10" s="67">
        <v>0</v>
      </c>
      <c r="K10" s="70">
        <v>0</v>
      </c>
      <c r="L10" s="181">
        <f>SUM(C10:K10)</f>
        <v>150039.65209114854</v>
      </c>
      <c r="M10" s="70">
        <f>CUADRO4!D20</f>
        <v>1159.28</v>
      </c>
      <c r="N10" s="67">
        <f>CUADRO4!D15</f>
        <v>9827.2807492295433</v>
      </c>
      <c r="O10" s="70" t="e">
        <f>CUADRO4!D13+CUADRO4!#REF!+CUADRO4!D16</f>
        <v>#REF!</v>
      </c>
      <c r="P10" s="67">
        <f>CUADRO4!D14+CUADRO4!D17</f>
        <v>1935.4769975879999</v>
      </c>
      <c r="Q10" s="70">
        <f>CUADRO4!D12</f>
        <v>45611.942778616802</v>
      </c>
      <c r="R10" s="67">
        <f>CUADRO4!D11</f>
        <v>4963.1864680125</v>
      </c>
      <c r="S10" s="70">
        <f>CUADRO4!D22</f>
        <v>2940.1153326999997</v>
      </c>
      <c r="T10" s="67">
        <v>0</v>
      </c>
      <c r="U10" s="70">
        <f>CUADRO4!D19+CUADRO4!D24+CUADRO4!D25</f>
        <v>0</v>
      </c>
      <c r="V10" s="67">
        <f>CUADRO4!D18+CUADRO4!D27+CUADRO4!D23</f>
        <v>34.899969999999996</v>
      </c>
      <c r="W10" s="70">
        <v>0</v>
      </c>
      <c r="X10" s="67" t="e">
        <f>SUM(M10:W10)</f>
        <v>#REF!</v>
      </c>
      <c r="Y10" s="173" t="e">
        <f>X10+L10</f>
        <v>#REF!</v>
      </c>
      <c r="Z10" s="5"/>
    </row>
    <row r="11" spans="1:38">
      <c r="A11" s="1425"/>
      <c r="B11" s="152"/>
      <c r="C11" s="70"/>
      <c r="D11" s="250"/>
      <c r="E11" s="67"/>
      <c r="F11" s="70"/>
      <c r="G11" s="67"/>
      <c r="H11" s="70"/>
      <c r="I11" s="67"/>
      <c r="J11" s="67"/>
      <c r="K11" s="70"/>
      <c r="L11" s="181"/>
      <c r="M11" s="70"/>
      <c r="N11" s="67"/>
      <c r="O11" s="70"/>
      <c r="P11" s="67"/>
      <c r="Q11" s="70"/>
      <c r="R11" s="67"/>
      <c r="S11" s="70"/>
      <c r="T11" s="67"/>
      <c r="U11" s="70"/>
      <c r="V11" s="67"/>
      <c r="W11" s="70"/>
      <c r="X11" s="67"/>
      <c r="Y11" s="173"/>
      <c r="Z11" s="5"/>
    </row>
    <row r="12" spans="1:38" s="262" customFormat="1" ht="11.25">
      <c r="A12" s="1425"/>
      <c r="B12" s="199" t="s">
        <v>495</v>
      </c>
      <c r="C12" s="200">
        <f>0.621*C10</f>
        <v>64347.649190213313</v>
      </c>
      <c r="D12" s="251">
        <f>D10</f>
        <v>8263.6502244328694</v>
      </c>
      <c r="E12" s="201">
        <f>0.147*E10</f>
        <v>5609.0200506369001</v>
      </c>
      <c r="F12" s="200">
        <v>0</v>
      </c>
      <c r="G12" s="201">
        <v>0</v>
      </c>
      <c r="H12" s="200">
        <v>0</v>
      </c>
      <c r="I12" s="201">
        <v>0</v>
      </c>
      <c r="J12" s="201">
        <v>0</v>
      </c>
      <c r="K12" s="200">
        <v>0</v>
      </c>
      <c r="L12" s="202">
        <f>SUM(C12:K12)</f>
        <v>78220.319465283086</v>
      </c>
      <c r="M12" s="200">
        <f>M10</f>
        <v>1159.28</v>
      </c>
      <c r="N12" s="201">
        <f>N10-N14</f>
        <v>9493.153203755739</v>
      </c>
      <c r="O12" s="200" t="e">
        <f>0.475*O10</f>
        <v>#REF!</v>
      </c>
      <c r="P12" s="201">
        <f>0</f>
        <v>0</v>
      </c>
      <c r="Q12" s="200">
        <f>0.33*Q10</f>
        <v>15051.941116943546</v>
      </c>
      <c r="R12" s="201">
        <v>0</v>
      </c>
      <c r="S12" s="200">
        <v>0</v>
      </c>
      <c r="T12" s="201">
        <v>0</v>
      </c>
      <c r="U12" s="200">
        <v>0</v>
      </c>
      <c r="V12" s="201">
        <v>0</v>
      </c>
      <c r="W12" s="200">
        <v>0</v>
      </c>
      <c r="X12" s="201" t="e">
        <f>SUM(M12:W12)</f>
        <v>#REF!</v>
      </c>
      <c r="Y12" s="205" t="e">
        <f>X12+L12</f>
        <v>#REF!</v>
      </c>
      <c r="Z12" s="203"/>
      <c r="AA12" s="56"/>
      <c r="AB12" s="56"/>
      <c r="AC12" s="56"/>
      <c r="AD12" s="56"/>
      <c r="AE12" s="56"/>
      <c r="AF12" s="56"/>
      <c r="AG12" s="56"/>
      <c r="AH12" s="56"/>
      <c r="AI12" s="56"/>
      <c r="AJ12" s="56"/>
      <c r="AK12" s="56"/>
      <c r="AL12" s="56"/>
    </row>
    <row r="13" spans="1:38" s="262" customFormat="1" ht="11.25">
      <c r="A13" s="1425"/>
      <c r="B13" s="199"/>
      <c r="C13" s="200"/>
      <c r="D13" s="251"/>
      <c r="E13" s="201"/>
      <c r="F13" s="200"/>
      <c r="G13" s="201"/>
      <c r="H13" s="200"/>
      <c r="I13" s="201"/>
      <c r="J13" s="201"/>
      <c r="K13" s="200"/>
      <c r="L13" s="202"/>
      <c r="M13" s="200"/>
      <c r="N13" s="201"/>
      <c r="O13" s="200"/>
      <c r="P13" s="201"/>
      <c r="Q13" s="200"/>
      <c r="R13" s="201"/>
      <c r="S13" s="200"/>
      <c r="T13" s="201"/>
      <c r="U13" s="200"/>
      <c r="V13" s="201"/>
      <c r="W13" s="200"/>
      <c r="X13" s="201"/>
      <c r="Y13" s="205"/>
      <c r="Z13" s="203"/>
      <c r="AA13" s="56"/>
      <c r="AB13" s="56"/>
      <c r="AC13" s="56"/>
      <c r="AD13" s="56"/>
      <c r="AE13" s="56"/>
      <c r="AF13" s="56"/>
      <c r="AG13" s="56"/>
      <c r="AH13" s="56"/>
      <c r="AI13" s="56"/>
      <c r="AJ13" s="56"/>
      <c r="AK13" s="56"/>
      <c r="AL13" s="56"/>
    </row>
    <row r="14" spans="1:38" s="262" customFormat="1" ht="11.25">
      <c r="A14" s="1425"/>
      <c r="B14" s="199" t="s">
        <v>496</v>
      </c>
      <c r="C14" s="200">
        <f>C10-C12</f>
        <v>39271.753692577855</v>
      </c>
      <c r="D14" s="251">
        <v>0</v>
      </c>
      <c r="E14" s="201">
        <f>E10-E12</f>
        <v>32547.578933287594</v>
      </c>
      <c r="F14" s="200">
        <v>0</v>
      </c>
      <c r="G14" s="201">
        <v>0</v>
      </c>
      <c r="H14" s="200">
        <v>0</v>
      </c>
      <c r="I14" s="201">
        <v>0</v>
      </c>
      <c r="J14" s="201">
        <v>0</v>
      </c>
      <c r="K14" s="200">
        <v>0</v>
      </c>
      <c r="L14" s="202">
        <f>SUM(C14:K14)</f>
        <v>71819.332625865442</v>
      </c>
      <c r="M14" s="200">
        <v>0</v>
      </c>
      <c r="N14" s="201">
        <f>0.034*N10</f>
        <v>334.1275454738045</v>
      </c>
      <c r="O14" s="200" t="e">
        <f>O10-O12</f>
        <v>#REF!</v>
      </c>
      <c r="P14" s="201">
        <f>P10</f>
        <v>1935.4769975879999</v>
      </c>
      <c r="Q14" s="200">
        <f>Q10-Q12</f>
        <v>30560.001661673254</v>
      </c>
      <c r="R14" s="201">
        <f>R10</f>
        <v>4963.1864680125</v>
      </c>
      <c r="S14" s="200">
        <f>S10</f>
        <v>2940.1153326999997</v>
      </c>
      <c r="T14" s="201">
        <v>0</v>
      </c>
      <c r="U14" s="200">
        <v>0</v>
      </c>
      <c r="V14" s="201">
        <v>0</v>
      </c>
      <c r="W14" s="200">
        <v>0</v>
      </c>
      <c r="X14" s="201" t="e">
        <f>SUM(M14:W14)</f>
        <v>#REF!</v>
      </c>
      <c r="Y14" s="205" t="e">
        <f>X14+L14</f>
        <v>#REF!</v>
      </c>
      <c r="Z14" s="203"/>
      <c r="AA14" s="56"/>
      <c r="AB14" s="56"/>
      <c r="AC14" s="56"/>
      <c r="AD14" s="56"/>
      <c r="AE14" s="56"/>
      <c r="AF14" s="56"/>
      <c r="AG14" s="56"/>
      <c r="AH14" s="56"/>
      <c r="AI14" s="56"/>
      <c r="AJ14" s="56"/>
      <c r="AK14" s="56"/>
      <c r="AL14" s="56"/>
    </row>
    <row r="15" spans="1:38">
      <c r="A15" s="1425"/>
      <c r="B15" s="152"/>
      <c r="C15" s="70"/>
      <c r="D15" s="250"/>
      <c r="E15" s="67"/>
      <c r="F15" s="70"/>
      <c r="G15" s="67"/>
      <c r="H15" s="70"/>
      <c r="I15" s="67"/>
      <c r="J15" s="67"/>
      <c r="K15" s="70"/>
      <c r="L15" s="181"/>
      <c r="M15" s="70"/>
      <c r="N15" s="67"/>
      <c r="O15" s="70"/>
      <c r="P15" s="67"/>
      <c r="Q15" s="70"/>
      <c r="R15" s="67"/>
      <c r="S15" s="70"/>
      <c r="T15" s="67"/>
      <c r="U15" s="70"/>
      <c r="V15" s="67"/>
      <c r="W15" s="70"/>
      <c r="X15" s="67"/>
      <c r="Y15" s="173"/>
      <c r="Z15" s="3"/>
    </row>
    <row r="16" spans="1:38">
      <c r="A16" s="1425"/>
      <c r="B16" s="152" t="s">
        <v>44</v>
      </c>
      <c r="C16" s="70">
        <f>CUADRO3!E9</f>
        <v>0</v>
      </c>
      <c r="D16" s="250">
        <f>CUADRO3!E10</f>
        <v>0</v>
      </c>
      <c r="E16" s="67">
        <f>CUADRO3!E11</f>
        <v>0</v>
      </c>
      <c r="F16" s="70">
        <f>CUADRO3!E12</f>
        <v>0</v>
      </c>
      <c r="G16" s="67">
        <v>0</v>
      </c>
      <c r="H16" s="70">
        <v>0</v>
      </c>
      <c r="I16" s="67">
        <v>0</v>
      </c>
      <c r="J16" s="67">
        <v>0</v>
      </c>
      <c r="K16" s="70">
        <v>0</v>
      </c>
      <c r="L16" s="181">
        <f>SUM(C16:K16)</f>
        <v>0</v>
      </c>
      <c r="M16" s="70">
        <v>0</v>
      </c>
      <c r="N16" s="355">
        <f>CUADRO4!E15</f>
        <v>381.89146960799997</v>
      </c>
      <c r="O16" s="356" t="e">
        <f>CUADRO4!E13+CUADRO4!#REF!+CUADRO4!E16</f>
        <v>#REF!</v>
      </c>
      <c r="P16" s="355">
        <f>CUADRO4!E14+CUADRO4!E17</f>
        <v>0</v>
      </c>
      <c r="Q16" s="356">
        <f>CUADRO4!E12</f>
        <v>5168.8609708679978</v>
      </c>
      <c r="R16" s="355">
        <f>CUADRO4!E11</f>
        <v>847.01147894999997</v>
      </c>
      <c r="S16" s="356">
        <f>CUADRO4!E22</f>
        <v>0</v>
      </c>
      <c r="T16" s="67">
        <v>0</v>
      </c>
      <c r="U16" s="70">
        <f>CUADRO4!E19+CUADRO4!E24+CUADRO4!E25</f>
        <v>0</v>
      </c>
      <c r="V16" s="67">
        <f>CUADRO4!E18+CUADRO4!E27+CUADRO4!E23</f>
        <v>4734.3167089377584</v>
      </c>
      <c r="W16" s="70">
        <v>0</v>
      </c>
      <c r="X16" s="67" t="e">
        <f>SUM(M16:W16)</f>
        <v>#REF!</v>
      </c>
      <c r="Y16" s="173" t="e">
        <f>X16+L16</f>
        <v>#REF!</v>
      </c>
      <c r="Z16" s="5"/>
    </row>
    <row r="17" spans="1:38">
      <c r="A17" s="1425"/>
      <c r="B17" s="152"/>
      <c r="C17" s="70"/>
      <c r="D17" s="250"/>
      <c r="E17" s="67"/>
      <c r="F17" s="70"/>
      <c r="G17" s="67"/>
      <c r="H17" s="70"/>
      <c r="I17" s="67"/>
      <c r="J17" s="67"/>
      <c r="K17" s="70"/>
      <c r="L17" s="181"/>
      <c r="M17" s="70"/>
      <c r="N17" s="67"/>
      <c r="O17" s="70"/>
      <c r="P17" s="67"/>
      <c r="Q17" s="70"/>
      <c r="R17" s="67"/>
      <c r="S17" s="70"/>
      <c r="T17" s="67"/>
      <c r="U17" s="70"/>
      <c r="V17" s="67"/>
      <c r="W17" s="70"/>
      <c r="X17" s="67"/>
      <c r="Y17" s="173"/>
      <c r="Z17" s="5"/>
    </row>
    <row r="18" spans="1:38" s="262" customFormat="1" ht="11.25">
      <c r="A18" s="1425"/>
      <c r="B18" s="199" t="s">
        <v>495</v>
      </c>
      <c r="C18" s="249">
        <v>0</v>
      </c>
      <c r="D18" s="200">
        <v>0</v>
      </c>
      <c r="E18" s="201">
        <v>0</v>
      </c>
      <c r="F18" s="200">
        <v>0</v>
      </c>
      <c r="G18" s="201">
        <v>0</v>
      </c>
      <c r="H18" s="200">
        <v>0</v>
      </c>
      <c r="I18" s="201">
        <v>0</v>
      </c>
      <c r="J18" s="201">
        <v>0</v>
      </c>
      <c r="K18" s="200">
        <v>0</v>
      </c>
      <c r="L18" s="202">
        <f>SUM(C18:K18)</f>
        <v>0</v>
      </c>
      <c r="M18" s="200">
        <v>0</v>
      </c>
      <c r="N18" s="201">
        <f>0.904*N16</f>
        <v>345.22988852563196</v>
      </c>
      <c r="O18" s="200" t="e">
        <f>O16*0.107</f>
        <v>#REF!</v>
      </c>
      <c r="P18" s="201">
        <v>0</v>
      </c>
      <c r="Q18" s="200">
        <f>Q16-Q20</f>
        <v>4662.312595722934</v>
      </c>
      <c r="R18" s="201">
        <f>0.165*R16</f>
        <v>139.75689402674999</v>
      </c>
      <c r="S18" s="200">
        <f>S16</f>
        <v>0</v>
      </c>
      <c r="T18" s="201">
        <v>0</v>
      </c>
      <c r="U18" s="200">
        <v>0</v>
      </c>
      <c r="V18" s="201">
        <f>0.1*V16</f>
        <v>473.43167089377584</v>
      </c>
      <c r="W18" s="200">
        <v>0</v>
      </c>
      <c r="X18" s="201" t="e">
        <f>SUM(M18:W18)</f>
        <v>#REF!</v>
      </c>
      <c r="Y18" s="205" t="e">
        <f>X18+L18</f>
        <v>#REF!</v>
      </c>
      <c r="Z18" s="203"/>
      <c r="AA18" s="56"/>
      <c r="AB18" s="56"/>
      <c r="AC18" s="56"/>
      <c r="AD18" s="56"/>
      <c r="AE18" s="56"/>
      <c r="AF18" s="56"/>
      <c r="AG18" s="56"/>
      <c r="AH18" s="56"/>
      <c r="AI18" s="56"/>
      <c r="AJ18" s="56"/>
      <c r="AK18" s="56"/>
      <c r="AL18" s="56"/>
    </row>
    <row r="19" spans="1:38" s="262" customFormat="1" ht="11.25">
      <c r="A19" s="1425"/>
      <c r="B19" s="199"/>
      <c r="C19" s="249"/>
      <c r="D19" s="200"/>
      <c r="E19" s="201"/>
      <c r="F19" s="200"/>
      <c r="G19" s="201"/>
      <c r="H19" s="200"/>
      <c r="I19" s="201"/>
      <c r="J19" s="201"/>
      <c r="K19" s="200"/>
      <c r="L19" s="202"/>
      <c r="M19" s="200"/>
      <c r="N19" s="201"/>
      <c r="O19" s="200"/>
      <c r="P19" s="201"/>
      <c r="Q19" s="200"/>
      <c r="R19" s="201"/>
      <c r="S19" s="200"/>
      <c r="T19" s="201"/>
      <c r="U19" s="200"/>
      <c r="V19" s="201"/>
      <c r="W19" s="200"/>
      <c r="X19" s="201"/>
      <c r="Y19" s="205"/>
      <c r="Z19" s="203"/>
      <c r="AA19" s="56"/>
      <c r="AB19" s="56"/>
      <c r="AC19" s="56"/>
      <c r="AD19" s="56"/>
      <c r="AE19" s="56"/>
      <c r="AF19" s="56"/>
      <c r="AG19" s="56"/>
      <c r="AH19" s="56"/>
      <c r="AI19" s="56"/>
      <c r="AJ19" s="56"/>
      <c r="AK19" s="56"/>
      <c r="AL19" s="56"/>
    </row>
    <row r="20" spans="1:38" s="262" customFormat="1" ht="11.25">
      <c r="A20" s="1425"/>
      <c r="B20" s="199" t="s">
        <v>496</v>
      </c>
      <c r="C20" s="249">
        <v>0</v>
      </c>
      <c r="D20" s="200">
        <v>0</v>
      </c>
      <c r="E20" s="201">
        <v>0</v>
      </c>
      <c r="F20" s="200">
        <v>0</v>
      </c>
      <c r="G20" s="201">
        <v>0</v>
      </c>
      <c r="H20" s="200">
        <v>0</v>
      </c>
      <c r="I20" s="201">
        <v>0</v>
      </c>
      <c r="J20" s="201">
        <v>0</v>
      </c>
      <c r="K20" s="200">
        <v>0</v>
      </c>
      <c r="L20" s="202">
        <f>SUM(C20:K20)</f>
        <v>0</v>
      </c>
      <c r="M20" s="200">
        <v>0</v>
      </c>
      <c r="N20" s="201">
        <f>N16-N18</f>
        <v>36.661581082368002</v>
      </c>
      <c r="O20" s="200" t="e">
        <f>O16-O18</f>
        <v>#REF!</v>
      </c>
      <c r="P20" s="201">
        <v>0</v>
      </c>
      <c r="Q20" s="200">
        <f>0.098*Q16</f>
        <v>506.5483751450638</v>
      </c>
      <c r="R20" s="201">
        <f>R16-R18</f>
        <v>707.25458492324992</v>
      </c>
      <c r="S20" s="200">
        <f>0</f>
        <v>0</v>
      </c>
      <c r="T20" s="201">
        <v>0</v>
      </c>
      <c r="U20" s="200">
        <v>0</v>
      </c>
      <c r="V20" s="201">
        <f>0.9*V16</f>
        <v>4260.8850380439826</v>
      </c>
      <c r="W20" s="200">
        <v>0</v>
      </c>
      <c r="X20" s="201" t="e">
        <f>SUM(M20:W20)</f>
        <v>#REF!</v>
      </c>
      <c r="Y20" s="205" t="e">
        <f>X20+L20</f>
        <v>#REF!</v>
      </c>
      <c r="Z20" s="203"/>
      <c r="AA20" s="56"/>
      <c r="AB20" s="56"/>
      <c r="AC20" s="56"/>
      <c r="AD20" s="56"/>
      <c r="AE20" s="56"/>
      <c r="AF20" s="56"/>
      <c r="AG20" s="56"/>
      <c r="AH20" s="56"/>
      <c r="AI20" s="56"/>
      <c r="AJ20" s="56"/>
      <c r="AK20" s="56"/>
      <c r="AL20" s="56"/>
    </row>
    <row r="21" spans="1:38">
      <c r="A21" s="1425"/>
      <c r="B21" s="152"/>
      <c r="C21" s="70"/>
      <c r="D21" s="250"/>
      <c r="E21" s="67"/>
      <c r="F21" s="70"/>
      <c r="G21" s="67"/>
      <c r="H21" s="71"/>
      <c r="I21" s="70"/>
      <c r="J21" s="67"/>
      <c r="K21" s="70"/>
      <c r="L21" s="181"/>
      <c r="M21" s="70"/>
      <c r="N21" s="67"/>
      <c r="O21" s="70"/>
      <c r="P21" s="67"/>
      <c r="Q21" s="70"/>
      <c r="R21" s="67"/>
      <c r="S21" s="70"/>
      <c r="T21" s="67"/>
      <c r="U21" s="70"/>
      <c r="V21" s="67"/>
      <c r="W21" s="70"/>
      <c r="X21" s="67"/>
      <c r="Y21" s="173"/>
      <c r="Z21" s="3"/>
    </row>
    <row r="22" spans="1:38">
      <c r="A22" s="1425"/>
      <c r="B22" s="152" t="s">
        <v>318</v>
      </c>
      <c r="C22" s="70">
        <f>CUADRO3!F9</f>
        <v>-911.38588984677335</v>
      </c>
      <c r="D22" s="250">
        <v>0</v>
      </c>
      <c r="E22" s="67">
        <f>CUADRO3!F11</f>
        <v>1918.3063636803372</v>
      </c>
      <c r="F22" s="71">
        <v>0</v>
      </c>
      <c r="G22" s="70">
        <v>0</v>
      </c>
      <c r="H22" s="67">
        <v>0</v>
      </c>
      <c r="I22" s="70">
        <v>0</v>
      </c>
      <c r="J22" s="67">
        <v>0</v>
      </c>
      <c r="K22" s="70">
        <v>0</v>
      </c>
      <c r="L22" s="181">
        <f>SUM(C22:K22)</f>
        <v>1006.9204738335638</v>
      </c>
      <c r="M22" s="70">
        <f>CUADRO4!F20</f>
        <v>4291.6041415141517</v>
      </c>
      <c r="N22" s="67">
        <f>CUADRO4!F15</f>
        <v>2096.398584976097</v>
      </c>
      <c r="O22" s="70" t="e">
        <f>CUADRO4!F13+CUADRO4!#REF!+CUADRO4!F16</f>
        <v>#REF!</v>
      </c>
      <c r="P22" s="67">
        <f>CUADRO4!F14+CUADRO4!F17</f>
        <v>372.35450098383922</v>
      </c>
      <c r="Q22" s="70">
        <f>CUADRO4!F12</f>
        <v>-4715.189597661586</v>
      </c>
      <c r="R22" s="67">
        <f>CUADRO4!F11</f>
        <v>966.35113574999832</v>
      </c>
      <c r="S22" s="70">
        <f>CUADRO4!F22</f>
        <v>338.3511196095078</v>
      </c>
      <c r="T22" s="67">
        <v>0</v>
      </c>
      <c r="U22" s="70">
        <f>CUADRO4!F19+CUADRO4!F24+CUADRO4!F25</f>
        <v>196.59132359947247</v>
      </c>
      <c r="V22" s="67">
        <f>CUADRO4!F18+CUADRO4!F23+CUADRO4!F27</f>
        <v>292.23344113937139</v>
      </c>
      <c r="W22" s="70">
        <v>0</v>
      </c>
      <c r="X22" s="67" t="e">
        <f>SUM(M22:W22)</f>
        <v>#REF!</v>
      </c>
      <c r="Y22" s="173" t="e">
        <f>X22+L22</f>
        <v>#REF!</v>
      </c>
      <c r="Z22" s="5"/>
    </row>
    <row r="23" spans="1:38">
      <c r="A23" s="1425"/>
      <c r="B23" s="152"/>
      <c r="C23" s="70"/>
      <c r="D23" s="67"/>
      <c r="E23" s="70"/>
      <c r="F23" s="67"/>
      <c r="G23" s="70"/>
      <c r="H23" s="67"/>
      <c r="I23" s="70"/>
      <c r="J23" s="67"/>
      <c r="K23" s="70"/>
      <c r="L23" s="181"/>
      <c r="M23" s="70"/>
      <c r="N23" s="67"/>
      <c r="O23" s="70"/>
      <c r="P23" s="67"/>
      <c r="Q23" s="70"/>
      <c r="R23" s="67"/>
      <c r="S23" s="70"/>
      <c r="T23" s="67"/>
      <c r="U23" s="70"/>
      <c r="V23" s="67"/>
      <c r="W23" s="70"/>
      <c r="X23" s="67"/>
      <c r="Y23" s="173"/>
      <c r="Z23" s="3"/>
    </row>
    <row r="24" spans="1:38">
      <c r="A24" s="1425"/>
      <c r="B24" s="152" t="s">
        <v>319</v>
      </c>
      <c r="C24" s="70">
        <v>0</v>
      </c>
      <c r="D24" s="67">
        <f>CUADRO3!F10</f>
        <v>1764.6083099999996</v>
      </c>
      <c r="E24" s="70">
        <v>0</v>
      </c>
      <c r="F24" s="67">
        <f>CUADRO3!F12</f>
        <v>632.83063562544055</v>
      </c>
      <c r="G24" s="70">
        <v>0</v>
      </c>
      <c r="H24" s="67">
        <v>0</v>
      </c>
      <c r="I24" s="70">
        <v>0</v>
      </c>
      <c r="J24" s="67">
        <v>0</v>
      </c>
      <c r="K24" s="70">
        <v>0</v>
      </c>
      <c r="L24" s="181">
        <f>SUM(C24:K24)</f>
        <v>2397.4389456254403</v>
      </c>
      <c r="M24" s="70">
        <v>0</v>
      </c>
      <c r="N24" s="67">
        <v>0</v>
      </c>
      <c r="O24" s="70">
        <v>0</v>
      </c>
      <c r="P24" s="67">
        <v>0</v>
      </c>
      <c r="Q24" s="70">
        <v>0</v>
      </c>
      <c r="R24" s="67">
        <v>0</v>
      </c>
      <c r="S24" s="70">
        <v>0</v>
      </c>
      <c r="T24" s="67">
        <v>0</v>
      </c>
      <c r="U24" s="70">
        <v>0</v>
      </c>
      <c r="V24" s="67">
        <v>0</v>
      </c>
      <c r="W24" s="70">
        <v>0</v>
      </c>
      <c r="X24" s="67">
        <f>SUM(M24:W24)</f>
        <v>0</v>
      </c>
      <c r="Y24" s="173">
        <f>X24+L24</f>
        <v>2397.4389456254403</v>
      </c>
      <c r="Z24" s="5"/>
    </row>
    <row r="25" spans="1:38" ht="13.5" thickBot="1">
      <c r="A25" s="1426"/>
      <c r="B25" s="153"/>
      <c r="C25" s="160"/>
      <c r="D25" s="174"/>
      <c r="E25" s="160"/>
      <c r="F25" s="174"/>
      <c r="G25" s="160"/>
      <c r="H25" s="174"/>
      <c r="I25" s="160"/>
      <c r="J25" s="174"/>
      <c r="K25" s="160"/>
      <c r="L25" s="176"/>
      <c r="M25" s="160"/>
      <c r="N25" s="174"/>
      <c r="O25" s="160"/>
      <c r="P25" s="174"/>
      <c r="Q25" s="160"/>
      <c r="R25" s="174"/>
      <c r="S25" s="160"/>
      <c r="T25" s="174"/>
      <c r="U25" s="160"/>
      <c r="V25" s="174"/>
      <c r="W25" s="160"/>
      <c r="X25" s="174"/>
      <c r="Y25" s="175"/>
      <c r="Z25" s="5"/>
    </row>
    <row r="26" spans="1:38" ht="13.5" thickBot="1">
      <c r="A26" s="156"/>
      <c r="B26" s="153" t="s">
        <v>320</v>
      </c>
      <c r="C26" s="165">
        <f>CUADRO3!G9</f>
        <v>106487.9262325476</v>
      </c>
      <c r="D26" s="176">
        <f>CUADRO3!G10</f>
        <v>30067.262129652787</v>
      </c>
      <c r="E26" s="165">
        <f>CUADRO3!G11</f>
        <v>39946.324785244156</v>
      </c>
      <c r="F26" s="176">
        <f>CUADRO3!G12</f>
        <v>21650.31304556696</v>
      </c>
      <c r="G26" s="165">
        <v>0</v>
      </c>
      <c r="H26" s="176">
        <v>0</v>
      </c>
      <c r="I26" s="165">
        <f>I8</f>
        <v>51279.987209247607</v>
      </c>
      <c r="J26" s="176">
        <v>0</v>
      </c>
      <c r="K26" s="165">
        <f>K8+K10-K16-K22-K24</f>
        <v>0</v>
      </c>
      <c r="L26" s="176">
        <f>L8+L10-L16-L22-L24</f>
        <v>249431.81340225911</v>
      </c>
      <c r="M26" s="165">
        <f>CUADRO4!I20</f>
        <v>48201.114386248504</v>
      </c>
      <c r="N26" s="176">
        <f>CUADRO4!I15</f>
        <v>16445.662738445444</v>
      </c>
      <c r="O26" s="165" t="e">
        <f>CUADRO4!I13+CUADRO4!#REF!+CUADRO4!I16</f>
        <v>#REF!</v>
      </c>
      <c r="P26" s="176">
        <f>CUADRO4!I14+CUADRO4!I17</f>
        <v>9100.0979766041601</v>
      </c>
      <c r="Q26" s="165">
        <f>CUADRO4!I12</f>
        <v>82670.879398382385</v>
      </c>
      <c r="R26" s="176">
        <f>CUADRO4!I11</f>
        <v>22073.349155812495</v>
      </c>
      <c r="S26" s="165">
        <f>CUADRO4!I22</f>
        <v>10207.157347760094</v>
      </c>
      <c r="T26" s="176">
        <f>T8+T10-T16-T22-T24</f>
        <v>0</v>
      </c>
      <c r="U26" s="165">
        <f>CUADRO4!I19+CUADRO4!I24+CUADRO4!I25</f>
        <v>5695.7180139405145</v>
      </c>
      <c r="V26" s="176">
        <f>CUADRO4!I18+CUADRO4!I27+CUADRO4!I23</f>
        <v>1668.6317884268703</v>
      </c>
      <c r="W26" s="165">
        <f>W8</f>
        <v>1955.6977122799999</v>
      </c>
      <c r="X26" s="176" t="e">
        <f>X8+X10-X16-X22-X24</f>
        <v>#REF!</v>
      </c>
      <c r="Y26" s="175" t="e">
        <f>X26+L26</f>
        <v>#REF!</v>
      </c>
      <c r="Z26" s="5"/>
    </row>
    <row r="27" spans="1:38">
      <c r="A27" s="1427" t="s">
        <v>500</v>
      </c>
      <c r="B27" s="151"/>
      <c r="C27" s="161"/>
      <c r="D27" s="177"/>
      <c r="E27" s="161"/>
      <c r="F27" s="177"/>
      <c r="G27" s="161"/>
      <c r="H27" s="177"/>
      <c r="I27" s="161"/>
      <c r="J27" s="177"/>
      <c r="K27" s="161"/>
      <c r="L27" s="179"/>
      <c r="M27" s="161"/>
      <c r="N27" s="177"/>
      <c r="O27" s="161"/>
      <c r="P27" s="177"/>
      <c r="Q27" s="161"/>
      <c r="R27" s="177"/>
      <c r="S27" s="161"/>
      <c r="T27" s="177"/>
      <c r="U27" s="161"/>
      <c r="V27" s="177"/>
      <c r="W27" s="161"/>
      <c r="X27" s="177"/>
      <c r="Y27" s="178"/>
      <c r="Z27" s="5"/>
    </row>
    <row r="28" spans="1:38">
      <c r="A28" s="1428"/>
      <c r="B28" s="152" t="s">
        <v>321</v>
      </c>
      <c r="C28" s="70">
        <v>0</v>
      </c>
      <c r="D28" s="67">
        <f>CUADRO10!E16</f>
        <v>5093.0010335739998</v>
      </c>
      <c r="E28" s="70">
        <v>0</v>
      </c>
      <c r="F28" s="67">
        <v>0</v>
      </c>
      <c r="G28" s="70">
        <v>0</v>
      </c>
      <c r="H28" s="67">
        <v>0</v>
      </c>
      <c r="I28" s="70">
        <v>0</v>
      </c>
      <c r="J28" s="67">
        <v>0</v>
      </c>
      <c r="K28" s="70">
        <v>0</v>
      </c>
      <c r="L28" s="181">
        <f>SUM(C28:K28)</f>
        <v>5093.0010335739998</v>
      </c>
      <c r="M28" s="70">
        <v>0</v>
      </c>
      <c r="N28" s="67">
        <f>CUADRO10!E12</f>
        <v>0</v>
      </c>
      <c r="O28" s="70">
        <v>0</v>
      </c>
      <c r="P28" s="67">
        <v>0</v>
      </c>
      <c r="Q28" s="70">
        <v>0</v>
      </c>
      <c r="R28" s="67">
        <f>CUADRO10!E11</f>
        <v>0</v>
      </c>
      <c r="S28" s="70">
        <v>0</v>
      </c>
      <c r="T28" s="67">
        <v>0</v>
      </c>
      <c r="U28" s="70">
        <v>0</v>
      </c>
      <c r="V28" s="67">
        <v>0</v>
      </c>
      <c r="W28" s="70">
        <v>0</v>
      </c>
      <c r="X28" s="67">
        <f>SUM(M28:W28)</f>
        <v>0</v>
      </c>
      <c r="Y28" s="173">
        <f>X28+L28</f>
        <v>5093.0010335739998</v>
      </c>
      <c r="Z28" s="5"/>
    </row>
    <row r="29" spans="1:38">
      <c r="A29" s="1428"/>
      <c r="B29" s="152"/>
      <c r="C29" s="70"/>
      <c r="D29" s="67"/>
      <c r="E29" s="70"/>
      <c r="F29" s="67"/>
      <c r="G29" s="70"/>
      <c r="H29" s="67"/>
      <c r="I29" s="70"/>
      <c r="J29" s="67"/>
      <c r="K29" s="70"/>
      <c r="L29" s="181"/>
      <c r="M29" s="70"/>
      <c r="N29" s="67"/>
      <c r="O29" s="70"/>
      <c r="P29" s="67"/>
      <c r="Q29" s="70"/>
      <c r="R29" s="67"/>
      <c r="S29" s="70"/>
      <c r="T29" s="67"/>
      <c r="U29" s="70"/>
      <c r="V29" s="67"/>
      <c r="W29" s="70"/>
      <c r="X29" s="67"/>
      <c r="Y29" s="173"/>
      <c r="Z29" s="3"/>
    </row>
    <row r="30" spans="1:38">
      <c r="A30" s="1428"/>
      <c r="B30" s="152" t="s">
        <v>322</v>
      </c>
      <c r="C30" s="70">
        <v>0</v>
      </c>
      <c r="D30" s="67">
        <f>CONS_TERAC!S50</f>
        <v>8056.9488230933948</v>
      </c>
      <c r="E30" s="70">
        <f>CONS_TERAC!N50</f>
        <v>33506.247771058537</v>
      </c>
      <c r="F30" s="67">
        <v>0</v>
      </c>
      <c r="G30" s="70">
        <v>0</v>
      </c>
      <c r="H30" s="67">
        <v>0</v>
      </c>
      <c r="I30" s="70">
        <f>CONS_TERAC!V50</f>
        <v>0</v>
      </c>
      <c r="J30" s="67">
        <v>0</v>
      </c>
      <c r="K30" s="70">
        <v>0</v>
      </c>
      <c r="L30" s="181">
        <f>SUM(C30:K30)</f>
        <v>41563.19659415193</v>
      </c>
      <c r="M30" s="70">
        <v>0</v>
      </c>
      <c r="N30" s="67">
        <f>CONS_TERAC!G49</f>
        <v>10.0628198</v>
      </c>
      <c r="O30" s="70">
        <v>0</v>
      </c>
      <c r="P30" s="67">
        <v>0</v>
      </c>
      <c r="Q30" s="70">
        <f>CONS_TERAC!C50</f>
        <v>19683.611521896</v>
      </c>
      <c r="R30" s="67">
        <f>CONS_TERAC!D50</f>
        <v>1372.0946085</v>
      </c>
      <c r="S30" s="70">
        <f>CONS_TERAC!O50</f>
        <v>5032.3818471696031</v>
      </c>
      <c r="T30" s="67">
        <v>0</v>
      </c>
      <c r="U30" s="70">
        <f>CONS_TERAC!Q37+CONS_TERAC!R37+CONS_TERAC!K50</f>
        <v>0</v>
      </c>
      <c r="V30" s="67">
        <v>0</v>
      </c>
      <c r="W30" s="70">
        <v>0</v>
      </c>
      <c r="X30" s="67">
        <f>SUM(M30:W30)</f>
        <v>26098.150797365604</v>
      </c>
      <c r="Y30" s="173">
        <f>X30+L30</f>
        <v>67661.347391517542</v>
      </c>
      <c r="Z30" s="5"/>
    </row>
    <row r="31" spans="1:38">
      <c r="A31" s="1428"/>
      <c r="B31" s="152"/>
      <c r="C31" s="70"/>
      <c r="D31" s="67"/>
      <c r="E31" s="70"/>
      <c r="F31" s="67"/>
      <c r="G31" s="70"/>
      <c r="H31" s="67"/>
      <c r="I31" s="70"/>
      <c r="J31" s="67"/>
      <c r="K31" s="70"/>
      <c r="L31" s="181"/>
      <c r="M31" s="70"/>
      <c r="N31" s="67"/>
      <c r="O31" s="70"/>
      <c r="P31" s="67"/>
      <c r="Q31" s="70"/>
      <c r="R31" s="67"/>
      <c r="S31" s="70"/>
      <c r="T31" s="67"/>
      <c r="U31" s="70"/>
      <c r="V31" s="67"/>
      <c r="W31" s="70"/>
      <c r="X31" s="67"/>
      <c r="Y31" s="173"/>
      <c r="Z31" s="5"/>
    </row>
    <row r="32" spans="1:38" s="262" customFormat="1" ht="11.25">
      <c r="A32" s="1428"/>
      <c r="B32" s="199" t="s">
        <v>497</v>
      </c>
      <c r="C32" s="200">
        <v>0</v>
      </c>
      <c r="D32" s="201">
        <v>0</v>
      </c>
      <c r="E32" s="200">
        <v>0</v>
      </c>
      <c r="F32" s="201">
        <f>F30</f>
        <v>0</v>
      </c>
      <c r="G32" s="200">
        <v>0</v>
      </c>
      <c r="H32" s="201">
        <v>0</v>
      </c>
      <c r="I32" s="200">
        <v>0</v>
      </c>
      <c r="J32" s="201">
        <v>0</v>
      </c>
      <c r="K32" s="200">
        <v>0</v>
      </c>
      <c r="L32" s="202">
        <v>0</v>
      </c>
      <c r="M32" s="200">
        <v>0</v>
      </c>
      <c r="N32" s="201">
        <v>0</v>
      </c>
      <c r="O32" s="201">
        <v>0</v>
      </c>
      <c r="P32" s="201">
        <v>0</v>
      </c>
      <c r="Q32" s="201">
        <v>0</v>
      </c>
      <c r="R32" s="201">
        <v>0</v>
      </c>
      <c r="S32" s="201">
        <v>0</v>
      </c>
      <c r="T32" s="201">
        <v>0</v>
      </c>
      <c r="U32" s="201">
        <v>0</v>
      </c>
      <c r="V32" s="201">
        <v>0</v>
      </c>
      <c r="W32" s="201">
        <v>0</v>
      </c>
      <c r="X32" s="201">
        <f>SUM(M32:W32)</f>
        <v>0</v>
      </c>
      <c r="Y32" s="205">
        <f>X32+L32</f>
        <v>0</v>
      </c>
      <c r="Z32" s="203"/>
      <c r="AA32" s="56"/>
      <c r="AB32" s="56"/>
      <c r="AC32" s="56"/>
      <c r="AD32" s="56"/>
      <c r="AE32" s="56"/>
      <c r="AF32" s="56"/>
      <c r="AG32" s="56"/>
      <c r="AH32" s="56"/>
      <c r="AI32" s="56"/>
      <c r="AJ32" s="56"/>
      <c r="AK32" s="56"/>
      <c r="AL32" s="56"/>
    </row>
    <row r="33" spans="1:38" s="262" customFormat="1" ht="11.25">
      <c r="A33" s="1428"/>
      <c r="B33" s="199"/>
      <c r="C33" s="200"/>
      <c r="D33" s="201"/>
      <c r="E33" s="200"/>
      <c r="F33" s="204"/>
      <c r="G33" s="200"/>
      <c r="H33" s="201"/>
      <c r="I33" s="200"/>
      <c r="J33" s="201"/>
      <c r="K33" s="200"/>
      <c r="L33" s="202"/>
      <c r="M33" s="200"/>
      <c r="N33" s="201"/>
      <c r="O33" s="201"/>
      <c r="P33" s="201"/>
      <c r="Q33" s="201"/>
      <c r="R33" s="201"/>
      <c r="S33" s="201"/>
      <c r="T33" s="201"/>
      <c r="U33" s="201"/>
      <c r="V33" s="201"/>
      <c r="W33" s="201"/>
      <c r="X33" s="201"/>
      <c r="Y33" s="202"/>
      <c r="Z33" s="203"/>
      <c r="AA33" s="56"/>
      <c r="AB33" s="56"/>
      <c r="AC33" s="56"/>
      <c r="AD33" s="56"/>
      <c r="AE33" s="56"/>
      <c r="AF33" s="56"/>
      <c r="AG33" s="56"/>
      <c r="AH33" s="56"/>
      <c r="AI33" s="56"/>
      <c r="AJ33" s="56"/>
      <c r="AK33" s="56"/>
      <c r="AL33" s="56"/>
    </row>
    <row r="34" spans="1:38" s="262" customFormat="1" ht="11.25">
      <c r="A34" s="1428"/>
      <c r="B34" s="199" t="s">
        <v>498</v>
      </c>
      <c r="C34" s="200">
        <f>C30</f>
        <v>0</v>
      </c>
      <c r="D34" s="201">
        <f t="shared" ref="D34:L34" si="0">D30</f>
        <v>8056.9488230933948</v>
      </c>
      <c r="E34" s="200">
        <f t="shared" si="0"/>
        <v>33506.247771058537</v>
      </c>
      <c r="F34" s="201">
        <v>0</v>
      </c>
      <c r="G34" s="200">
        <f t="shared" si="0"/>
        <v>0</v>
      </c>
      <c r="H34" s="201">
        <f t="shared" si="0"/>
        <v>0</v>
      </c>
      <c r="I34" s="200">
        <f t="shared" si="0"/>
        <v>0</v>
      </c>
      <c r="J34" s="201">
        <f t="shared" si="0"/>
        <v>0</v>
      </c>
      <c r="K34" s="200">
        <f t="shared" si="0"/>
        <v>0</v>
      </c>
      <c r="L34" s="202">
        <f t="shared" si="0"/>
        <v>41563.19659415193</v>
      </c>
      <c r="M34" s="200">
        <v>0</v>
      </c>
      <c r="N34" s="201">
        <f>N30</f>
        <v>10.0628198</v>
      </c>
      <c r="O34" s="201">
        <f t="shared" ref="O34:W34" si="1">O30</f>
        <v>0</v>
      </c>
      <c r="P34" s="201">
        <f t="shared" si="1"/>
        <v>0</v>
      </c>
      <c r="Q34" s="201">
        <f t="shared" si="1"/>
        <v>19683.611521896</v>
      </c>
      <c r="R34" s="201">
        <f t="shared" si="1"/>
        <v>1372.0946085</v>
      </c>
      <c r="S34" s="201">
        <f t="shared" si="1"/>
        <v>5032.3818471696031</v>
      </c>
      <c r="T34" s="201">
        <f t="shared" si="1"/>
        <v>0</v>
      </c>
      <c r="U34" s="201">
        <f t="shared" si="1"/>
        <v>0</v>
      </c>
      <c r="V34" s="201">
        <f t="shared" si="1"/>
        <v>0</v>
      </c>
      <c r="W34" s="201">
        <f t="shared" si="1"/>
        <v>0</v>
      </c>
      <c r="X34" s="201">
        <f>SUM(M34:W34)</f>
        <v>26098.150797365604</v>
      </c>
      <c r="Y34" s="205">
        <f>X34+L34</f>
        <v>67661.347391517542</v>
      </c>
      <c r="Z34" s="203"/>
      <c r="AA34" s="56"/>
      <c r="AB34" s="56"/>
      <c r="AC34" s="56"/>
      <c r="AD34" s="56"/>
      <c r="AE34" s="56"/>
      <c r="AF34" s="56"/>
      <c r="AG34" s="56"/>
      <c r="AH34" s="56"/>
      <c r="AI34" s="56"/>
      <c r="AJ34" s="56"/>
      <c r="AK34" s="56"/>
      <c r="AL34" s="56"/>
    </row>
    <row r="35" spans="1:38">
      <c r="A35" s="1428"/>
      <c r="B35" s="152"/>
      <c r="C35" s="70"/>
      <c r="D35" s="67"/>
      <c r="E35" s="70"/>
      <c r="F35" s="67"/>
      <c r="G35" s="70"/>
      <c r="H35" s="67"/>
      <c r="I35" s="70"/>
      <c r="J35" s="67"/>
      <c r="K35" s="70"/>
      <c r="L35" s="181"/>
      <c r="M35" s="70"/>
      <c r="N35" s="67"/>
      <c r="O35" s="70"/>
      <c r="P35" s="67"/>
      <c r="Q35" s="70"/>
      <c r="R35" s="67"/>
      <c r="S35" s="70"/>
      <c r="T35" s="67"/>
      <c r="U35" s="70"/>
      <c r="V35" s="67"/>
      <c r="W35" s="70"/>
      <c r="X35" s="67"/>
      <c r="Y35" s="173"/>
      <c r="Z35" s="3"/>
    </row>
    <row r="36" spans="1:38">
      <c r="A36" s="1428"/>
      <c r="B36" s="152" t="s">
        <v>323</v>
      </c>
      <c r="C36" s="70">
        <v>0</v>
      </c>
      <c r="D36" s="67">
        <f>CONS_TERAC!S49</f>
        <v>535.06257310656008</v>
      </c>
      <c r="E36" s="70">
        <f>CONS_TERAC!N49</f>
        <v>0</v>
      </c>
      <c r="F36" s="67">
        <v>0</v>
      </c>
      <c r="G36" s="70">
        <v>0</v>
      </c>
      <c r="H36" s="67">
        <v>0</v>
      </c>
      <c r="I36" s="70">
        <f>CONS_TERAC!V49</f>
        <v>5880.1823984000757</v>
      </c>
      <c r="J36" s="67">
        <v>0</v>
      </c>
      <c r="K36" s="70">
        <v>0</v>
      </c>
      <c r="L36" s="181">
        <f>SUM(C36:K36)</f>
        <v>6415.2449715066359</v>
      </c>
      <c r="M36" s="70">
        <v>0</v>
      </c>
      <c r="N36" s="67">
        <f>CONS_TERAC!G50</f>
        <v>120.255109521943</v>
      </c>
      <c r="O36" s="70">
        <v>0</v>
      </c>
      <c r="P36" s="67">
        <v>0</v>
      </c>
      <c r="Q36" s="70">
        <f>CONS_TERAC!C49</f>
        <v>410.33141849059501</v>
      </c>
      <c r="R36" s="67">
        <f>CONS_TERAC!D49</f>
        <v>1197.510138069</v>
      </c>
      <c r="S36" s="70">
        <f>CONS_TERAC!O49</f>
        <v>0</v>
      </c>
      <c r="T36" s="67">
        <v>0</v>
      </c>
      <c r="U36" s="70">
        <f>CONS_TERAC!K49+CONS_TERAC!Q36+CONS_TERAC!R36</f>
        <v>188.53401745400006</v>
      </c>
      <c r="V36" s="67">
        <v>0</v>
      </c>
      <c r="W36" s="70">
        <v>0</v>
      </c>
      <c r="X36" s="67">
        <f>SUM(M36:W36)</f>
        <v>1916.6306835355381</v>
      </c>
      <c r="Y36" s="173">
        <f>X36+L36</f>
        <v>8331.8756550421749</v>
      </c>
      <c r="Z36" s="5"/>
    </row>
    <row r="37" spans="1:38">
      <c r="A37" s="1428"/>
      <c r="B37" s="152"/>
      <c r="C37" s="70"/>
      <c r="D37" s="67"/>
      <c r="E37" s="70"/>
      <c r="F37" s="67"/>
      <c r="G37" s="70"/>
      <c r="H37" s="67"/>
      <c r="I37" s="70"/>
      <c r="J37" s="67"/>
      <c r="K37" s="70"/>
      <c r="L37" s="181"/>
      <c r="M37" s="70"/>
      <c r="N37" s="67"/>
      <c r="O37" s="70"/>
      <c r="P37" s="67"/>
      <c r="Q37" s="70"/>
      <c r="R37" s="67"/>
      <c r="S37" s="70"/>
      <c r="T37" s="67"/>
      <c r="U37" s="70"/>
      <c r="V37" s="67"/>
      <c r="W37" s="70"/>
      <c r="X37" s="67"/>
      <c r="Y37" s="173"/>
      <c r="Z37" s="3"/>
    </row>
    <row r="38" spans="1:38">
      <c r="A38" s="1428"/>
      <c r="B38" s="152" t="s">
        <v>324</v>
      </c>
      <c r="C38" s="70">
        <v>0</v>
      </c>
      <c r="D38" s="67">
        <v>0</v>
      </c>
      <c r="E38" s="68">
        <v>0</v>
      </c>
      <c r="F38" s="67">
        <v>0</v>
      </c>
      <c r="G38" s="70">
        <v>0</v>
      </c>
      <c r="H38" s="67">
        <v>0</v>
      </c>
      <c r="I38" s="70">
        <v>0</v>
      </c>
      <c r="J38" s="67">
        <v>0</v>
      </c>
      <c r="K38" s="70">
        <v>0</v>
      </c>
      <c r="L38" s="181">
        <f>SUM(C38:K38)</f>
        <v>0</v>
      </c>
      <c r="M38" s="70">
        <v>0</v>
      </c>
      <c r="N38" s="67">
        <v>0</v>
      </c>
      <c r="O38" s="70">
        <v>0</v>
      </c>
      <c r="P38" s="67">
        <v>0</v>
      </c>
      <c r="Q38" s="70">
        <v>0</v>
      </c>
      <c r="R38" s="67">
        <v>0</v>
      </c>
      <c r="S38" s="68">
        <v>0</v>
      </c>
      <c r="T38" s="67">
        <v>0</v>
      </c>
      <c r="U38" s="70">
        <v>0</v>
      </c>
      <c r="V38" s="67">
        <v>0</v>
      </c>
      <c r="W38" s="70">
        <v>0</v>
      </c>
      <c r="X38" s="67">
        <f>SUM(M38:W38)</f>
        <v>0</v>
      </c>
      <c r="Y38" s="173">
        <f>X38+L38</f>
        <v>0</v>
      </c>
      <c r="Z38" s="5"/>
    </row>
    <row r="39" spans="1:38">
      <c r="A39" s="1428"/>
      <c r="B39" s="152"/>
      <c r="C39" s="70"/>
      <c r="D39" s="67"/>
      <c r="E39" s="70"/>
      <c r="F39" s="67"/>
      <c r="G39" s="70"/>
      <c r="H39" s="67"/>
      <c r="I39" s="70"/>
      <c r="J39" s="67"/>
      <c r="K39" s="70"/>
      <c r="L39" s="181"/>
      <c r="M39" s="70"/>
      <c r="N39" s="67"/>
      <c r="O39" s="70"/>
      <c r="P39" s="67"/>
      <c r="Q39" s="70"/>
      <c r="R39" s="67"/>
      <c r="S39" s="70"/>
      <c r="T39" s="67"/>
      <c r="U39" s="70"/>
      <c r="V39" s="67"/>
      <c r="W39" s="70"/>
      <c r="X39" s="67"/>
      <c r="Y39" s="173"/>
      <c r="Z39" s="3"/>
    </row>
    <row r="40" spans="1:38">
      <c r="A40" s="1428"/>
      <c r="B40" s="152" t="s">
        <v>325</v>
      </c>
      <c r="C40" s="70">
        <v>0</v>
      </c>
      <c r="D40" s="67">
        <v>0</v>
      </c>
      <c r="E40" s="70">
        <f>CUADRO10!F14</f>
        <v>0</v>
      </c>
      <c r="F40" s="67">
        <v>0</v>
      </c>
      <c r="G40" s="70">
        <v>0</v>
      </c>
      <c r="H40" s="67">
        <v>0</v>
      </c>
      <c r="I40" s="70">
        <v>0</v>
      </c>
      <c r="J40" s="67">
        <v>0</v>
      </c>
      <c r="K40" s="70">
        <v>0</v>
      </c>
      <c r="L40" s="181">
        <f>SUM(C40:K40)</f>
        <v>0</v>
      </c>
      <c r="M40" s="70">
        <v>0</v>
      </c>
      <c r="N40" s="67">
        <v>0</v>
      </c>
      <c r="O40" s="70">
        <v>0</v>
      </c>
      <c r="P40" s="67">
        <v>0</v>
      </c>
      <c r="Q40" s="70">
        <v>0</v>
      </c>
      <c r="R40" s="67">
        <v>0</v>
      </c>
      <c r="S40" s="70">
        <v>0</v>
      </c>
      <c r="T40" s="67">
        <v>0</v>
      </c>
      <c r="U40" s="70">
        <v>0</v>
      </c>
      <c r="V40" s="67">
        <v>0</v>
      </c>
      <c r="W40" s="70">
        <v>0</v>
      </c>
      <c r="X40" s="67">
        <f>SUM(M40:W40)</f>
        <v>0</v>
      </c>
      <c r="Y40" s="173">
        <f>X40+L40</f>
        <v>0</v>
      </c>
      <c r="Z40" s="5"/>
    </row>
    <row r="41" spans="1:38">
      <c r="A41" s="1428"/>
      <c r="B41" s="152"/>
      <c r="C41" s="70"/>
      <c r="D41" s="67"/>
      <c r="E41" s="70"/>
      <c r="F41" s="67"/>
      <c r="G41" s="70"/>
      <c r="H41" s="67"/>
      <c r="I41" s="70"/>
      <c r="J41" s="67"/>
      <c r="K41" s="70"/>
      <c r="L41" s="181"/>
      <c r="M41" s="70"/>
      <c r="N41" s="67"/>
      <c r="O41" s="70"/>
      <c r="P41" s="67"/>
      <c r="Q41" s="70"/>
      <c r="R41" s="67"/>
      <c r="S41" s="70"/>
      <c r="T41" s="67"/>
      <c r="U41" s="70"/>
      <c r="V41" s="67"/>
      <c r="W41" s="70"/>
      <c r="X41" s="67"/>
      <c r="Y41" s="173"/>
      <c r="Z41" s="3"/>
    </row>
    <row r="42" spans="1:38">
      <c r="A42" s="1428"/>
      <c r="B42" s="152" t="s">
        <v>326</v>
      </c>
      <c r="C42" s="70">
        <v>0</v>
      </c>
      <c r="D42" s="67">
        <v>0</v>
      </c>
      <c r="E42" s="70">
        <f>CUADRO10!D14</f>
        <v>4254.66</v>
      </c>
      <c r="F42" s="67">
        <v>0</v>
      </c>
      <c r="G42" s="70">
        <v>0</v>
      </c>
      <c r="H42" s="67">
        <v>0</v>
      </c>
      <c r="I42" s="70">
        <v>0</v>
      </c>
      <c r="J42" s="67">
        <v>0</v>
      </c>
      <c r="K42" s="70">
        <v>0</v>
      </c>
      <c r="L42" s="181">
        <f>SUM(C42:K42)</f>
        <v>4254.66</v>
      </c>
      <c r="M42" s="70">
        <v>0</v>
      </c>
      <c r="N42" s="67">
        <f>CUADRO10!D12</f>
        <v>804.40281922694885</v>
      </c>
      <c r="O42" s="70">
        <v>0</v>
      </c>
      <c r="P42" s="67">
        <v>0</v>
      </c>
      <c r="Q42" s="70">
        <v>0</v>
      </c>
      <c r="R42" s="67">
        <v>0</v>
      </c>
      <c r="S42" s="70">
        <f>CUADRO10!D15</f>
        <v>1090.424</v>
      </c>
      <c r="T42" s="67">
        <v>0</v>
      </c>
      <c r="U42" s="70">
        <v>0</v>
      </c>
      <c r="V42" s="67">
        <v>0</v>
      </c>
      <c r="W42" s="70">
        <v>0</v>
      </c>
      <c r="X42" s="67">
        <f>SUM(M42:W42)</f>
        <v>1894.8268192269488</v>
      </c>
      <c r="Y42" s="173">
        <f>X42+L42</f>
        <v>6149.4868192269487</v>
      </c>
      <c r="Z42" s="5"/>
    </row>
    <row r="43" spans="1:38">
      <c r="A43" s="1428"/>
      <c r="B43" s="152"/>
      <c r="C43" s="70"/>
      <c r="D43" s="67"/>
      <c r="E43" s="70"/>
      <c r="F43" s="67"/>
      <c r="G43" s="70"/>
      <c r="H43" s="67"/>
      <c r="I43" s="70"/>
      <c r="J43" s="67"/>
      <c r="K43" s="70"/>
      <c r="L43" s="181"/>
      <c r="M43" s="70"/>
      <c r="N43" s="67"/>
      <c r="O43" s="70"/>
      <c r="P43" s="67"/>
      <c r="Q43" s="70"/>
      <c r="R43" s="67"/>
      <c r="S43" s="70"/>
      <c r="T43" s="67"/>
      <c r="U43" s="70"/>
      <c r="V43" s="67"/>
      <c r="W43" s="70"/>
      <c r="X43" s="67"/>
      <c r="Y43" s="173"/>
      <c r="Z43" s="3"/>
    </row>
    <row r="44" spans="1:38">
      <c r="A44" s="1428"/>
      <c r="B44" s="152" t="s">
        <v>328</v>
      </c>
      <c r="C44" s="70">
        <v>0</v>
      </c>
      <c r="D44" s="67">
        <v>0</v>
      </c>
      <c r="E44" s="70">
        <v>0</v>
      </c>
      <c r="F44" s="67">
        <v>0</v>
      </c>
      <c r="G44" s="70">
        <v>0</v>
      </c>
      <c r="H44" s="67">
        <v>0</v>
      </c>
      <c r="I44" s="70">
        <v>0</v>
      </c>
      <c r="J44" s="67">
        <v>0</v>
      </c>
      <c r="K44" s="70">
        <v>0</v>
      </c>
      <c r="L44" s="181">
        <f>SUM(C44:K44)</f>
        <v>0</v>
      </c>
      <c r="M44" s="70">
        <v>0</v>
      </c>
      <c r="N44" s="67">
        <v>0</v>
      </c>
      <c r="O44" s="70">
        <v>0</v>
      </c>
      <c r="P44" s="67">
        <v>0</v>
      </c>
      <c r="Q44" s="70">
        <v>0</v>
      </c>
      <c r="R44" s="67">
        <v>0</v>
      </c>
      <c r="S44" s="70">
        <v>0</v>
      </c>
      <c r="T44" s="67">
        <v>0</v>
      </c>
      <c r="U44" s="70">
        <v>0</v>
      </c>
      <c r="V44" s="67">
        <v>0</v>
      </c>
      <c r="W44" s="70">
        <v>0</v>
      </c>
      <c r="X44" s="67">
        <f>SUM(M44:W44)</f>
        <v>0</v>
      </c>
      <c r="Y44" s="173">
        <f>X44+L44</f>
        <v>0</v>
      </c>
      <c r="Z44" s="5"/>
    </row>
    <row r="45" spans="1:38">
      <c r="A45" s="1428"/>
      <c r="B45" s="152"/>
      <c r="C45" s="70"/>
      <c r="D45" s="67"/>
      <c r="E45" s="70"/>
      <c r="F45" s="67"/>
      <c r="G45" s="70"/>
      <c r="H45" s="67"/>
      <c r="I45" s="70"/>
      <c r="J45" s="67"/>
      <c r="K45" s="70"/>
      <c r="L45" s="181"/>
      <c r="M45" s="70"/>
      <c r="N45" s="67"/>
      <c r="O45" s="70"/>
      <c r="P45" s="67"/>
      <c r="Q45" s="70"/>
      <c r="R45" s="67"/>
      <c r="S45" s="70"/>
      <c r="T45" s="67"/>
      <c r="U45" s="70"/>
      <c r="V45" s="67"/>
      <c r="W45" s="70"/>
      <c r="X45" s="67"/>
      <c r="Y45" s="173"/>
      <c r="Z45" s="3"/>
    </row>
    <row r="46" spans="1:38">
      <c r="A46" s="1428"/>
      <c r="B46" s="152" t="s">
        <v>329</v>
      </c>
      <c r="C46" s="70">
        <v>0</v>
      </c>
      <c r="D46" s="67">
        <f>CUADRO10!G16</f>
        <v>8532.9731999999985</v>
      </c>
      <c r="E46" s="70">
        <v>0</v>
      </c>
      <c r="F46" s="67">
        <v>0</v>
      </c>
      <c r="G46" s="70">
        <v>0</v>
      </c>
      <c r="H46" s="67">
        <v>0</v>
      </c>
      <c r="I46" s="70">
        <v>0</v>
      </c>
      <c r="J46" s="67">
        <v>0</v>
      </c>
      <c r="K46" s="70">
        <v>0</v>
      </c>
      <c r="L46" s="181">
        <f>SUM(C46:K46)</f>
        <v>8532.9731999999985</v>
      </c>
      <c r="M46" s="70">
        <v>0</v>
      </c>
      <c r="N46" s="67">
        <v>0</v>
      </c>
      <c r="O46" s="70">
        <v>0</v>
      </c>
      <c r="P46" s="67">
        <v>0</v>
      </c>
      <c r="Q46" s="70">
        <v>0</v>
      </c>
      <c r="R46" s="67">
        <v>0</v>
      </c>
      <c r="S46" s="70">
        <v>0</v>
      </c>
      <c r="T46" s="67">
        <v>0</v>
      </c>
      <c r="U46" s="70">
        <v>0</v>
      </c>
      <c r="V46" s="67">
        <v>0</v>
      </c>
      <c r="W46" s="70">
        <v>0</v>
      </c>
      <c r="X46" s="67">
        <f>SUM(M46:W46)</f>
        <v>0</v>
      </c>
      <c r="Y46" s="173">
        <f>X46+L46</f>
        <v>8532.9731999999985</v>
      </c>
      <c r="Z46" s="5"/>
    </row>
    <row r="47" spans="1:38" ht="13.5" thickBot="1">
      <c r="A47" s="1429"/>
      <c r="B47" s="153"/>
      <c r="C47" s="70"/>
      <c r="D47" s="67"/>
      <c r="E47" s="70"/>
      <c r="F47" s="67"/>
      <c r="G47" s="70"/>
      <c r="H47" s="67"/>
      <c r="I47" s="70"/>
      <c r="J47" s="67"/>
      <c r="K47" s="70"/>
      <c r="L47" s="176"/>
      <c r="M47" s="160"/>
      <c r="N47" s="174"/>
      <c r="O47" s="160"/>
      <c r="P47" s="174"/>
      <c r="Q47" s="160"/>
      <c r="R47" s="174"/>
      <c r="S47" s="160"/>
      <c r="T47" s="174"/>
      <c r="U47" s="160"/>
      <c r="V47" s="174"/>
      <c r="W47" s="160"/>
      <c r="X47" s="174"/>
      <c r="Y47" s="175"/>
      <c r="Z47" s="5"/>
    </row>
    <row r="48" spans="1:38" ht="13.5" thickBot="1">
      <c r="A48" s="166"/>
      <c r="B48" s="153" t="s">
        <v>330</v>
      </c>
      <c r="C48" s="376">
        <f>C28</f>
        <v>0</v>
      </c>
      <c r="D48" s="184">
        <f>SUM(D28:D46)-D32-D34</f>
        <v>22217.985629773953</v>
      </c>
      <c r="E48" s="184">
        <f t="shared" ref="E48:Y48" si="2">SUM(E28:E46)-E32-E34</f>
        <v>37760.907771058541</v>
      </c>
      <c r="F48" s="184">
        <f t="shared" si="2"/>
        <v>0</v>
      </c>
      <c r="G48" s="378">
        <f t="shared" si="2"/>
        <v>0</v>
      </c>
      <c r="H48" s="184">
        <f t="shared" si="2"/>
        <v>0</v>
      </c>
      <c r="I48" s="193">
        <f t="shared" si="2"/>
        <v>5880.1823984000757</v>
      </c>
      <c r="J48" s="184">
        <f t="shared" si="2"/>
        <v>0</v>
      </c>
      <c r="K48" s="377">
        <f t="shared" si="2"/>
        <v>0</v>
      </c>
      <c r="L48" s="370">
        <f t="shared" si="2"/>
        <v>65859.075799232553</v>
      </c>
      <c r="M48" s="176">
        <f t="shared" si="2"/>
        <v>0</v>
      </c>
      <c r="N48" s="176">
        <f t="shared" si="2"/>
        <v>934.72074854889183</v>
      </c>
      <c r="O48" s="176">
        <f t="shared" si="2"/>
        <v>0</v>
      </c>
      <c r="P48" s="176">
        <f t="shared" si="2"/>
        <v>0</v>
      </c>
      <c r="Q48" s="176">
        <f t="shared" si="2"/>
        <v>20093.942940386598</v>
      </c>
      <c r="R48" s="176">
        <f t="shared" si="2"/>
        <v>2569.6047465690003</v>
      </c>
      <c r="S48" s="176">
        <f t="shared" si="2"/>
        <v>6122.8058471696022</v>
      </c>
      <c r="T48" s="176">
        <f t="shared" si="2"/>
        <v>0</v>
      </c>
      <c r="U48" s="176">
        <f t="shared" si="2"/>
        <v>188.53401745400006</v>
      </c>
      <c r="V48" s="176">
        <f t="shared" si="2"/>
        <v>0</v>
      </c>
      <c r="W48" s="176">
        <f t="shared" si="2"/>
        <v>0</v>
      </c>
      <c r="X48" s="176">
        <f t="shared" si="2"/>
        <v>29909.608300128086</v>
      </c>
      <c r="Y48" s="176">
        <f t="shared" si="2"/>
        <v>95768.68409936066</v>
      </c>
      <c r="Z48" s="5"/>
    </row>
    <row r="49" spans="1:27">
      <c r="A49" s="194"/>
      <c r="B49" s="379"/>
      <c r="C49" s="380"/>
      <c r="D49" s="177"/>
      <c r="E49" s="161"/>
      <c r="F49" s="177"/>
      <c r="G49" s="161"/>
      <c r="H49" s="177"/>
      <c r="I49" s="161"/>
      <c r="J49" s="177"/>
      <c r="K49" s="371"/>
      <c r="L49" s="368"/>
      <c r="M49" s="161"/>
      <c r="N49" s="177"/>
      <c r="O49" s="161"/>
      <c r="P49" s="177"/>
      <c r="Q49" s="161"/>
      <c r="R49" s="177"/>
      <c r="S49" s="161"/>
      <c r="T49" s="177"/>
      <c r="U49" s="161"/>
      <c r="V49" s="177"/>
      <c r="W49" s="161"/>
      <c r="X49" s="177"/>
      <c r="Y49" s="178"/>
      <c r="Z49" s="5"/>
    </row>
    <row r="50" spans="1:27">
      <c r="A50" s="194"/>
      <c r="B50" s="366" t="s">
        <v>331</v>
      </c>
      <c r="C50" s="250">
        <v>0</v>
      </c>
      <c r="D50" s="67">
        <f>CONS_TERAC!S44</f>
        <v>11.114867149777659</v>
      </c>
      <c r="E50" s="70">
        <f>CONS_TERAC!N44</f>
        <v>0</v>
      </c>
      <c r="F50" s="67">
        <v>0</v>
      </c>
      <c r="G50" s="70">
        <v>0</v>
      </c>
      <c r="H50" s="67">
        <v>0</v>
      </c>
      <c r="I50" s="70">
        <v>0</v>
      </c>
      <c r="J50" s="67">
        <v>0</v>
      </c>
      <c r="K50" s="372">
        <v>0</v>
      </c>
      <c r="L50" s="181">
        <f>SUM(C50:K50)</f>
        <v>11.114867149777659</v>
      </c>
      <c r="M50" s="70">
        <f>CONS_TERAC!M44</f>
        <v>1868.9056981458937</v>
      </c>
      <c r="N50" s="67">
        <f>CONS_TERAC!G44</f>
        <v>1329.6875153603971</v>
      </c>
      <c r="O50" s="70">
        <v>0</v>
      </c>
      <c r="P50" s="67">
        <f>CONS_TERAC!I44+CONS_TERAC!F44</f>
        <v>0</v>
      </c>
      <c r="Q50" s="70">
        <f>CONS_TERAC!C44</f>
        <v>27.591532752000003</v>
      </c>
      <c r="R50" s="67">
        <f>CONS_TERAC!D44</f>
        <v>850.79799000000003</v>
      </c>
      <c r="S50" s="70">
        <v>0</v>
      </c>
      <c r="T50" s="67">
        <v>0</v>
      </c>
      <c r="U50" s="70">
        <f>CONS_TERAC!K44+CONS_TERAC!Q44+CONS_TERAC!R44</f>
        <v>4394.8412611688182</v>
      </c>
      <c r="V50" s="67">
        <f>CONS_TERAC!J44+CONS_TERAC!T44+CONS_TERAC!P44</f>
        <v>1221.5656625499996</v>
      </c>
      <c r="W50" s="70">
        <v>0</v>
      </c>
      <c r="X50" s="67">
        <f>SUM(M50:W50)</f>
        <v>9693.3896599771087</v>
      </c>
      <c r="Y50" s="173">
        <f>X50+L50</f>
        <v>9704.5045271268864</v>
      </c>
      <c r="Z50" s="5"/>
    </row>
    <row r="51" spans="1:27">
      <c r="A51" s="194"/>
      <c r="B51" s="366" t="s">
        <v>332</v>
      </c>
      <c r="C51" s="250">
        <v>0</v>
      </c>
      <c r="D51" s="67">
        <f>CUADRO3!E25</f>
        <v>353.16762763078441</v>
      </c>
      <c r="E51" s="70">
        <v>0</v>
      </c>
      <c r="F51" s="67">
        <v>0</v>
      </c>
      <c r="G51" s="70">
        <v>0</v>
      </c>
      <c r="H51" s="67">
        <v>0</v>
      </c>
      <c r="I51" s="70">
        <v>0</v>
      </c>
      <c r="J51" s="67">
        <v>0</v>
      </c>
      <c r="K51" s="372">
        <v>0</v>
      </c>
      <c r="L51" s="181">
        <f>SUM(C51:K51)</f>
        <v>353.16762763078441</v>
      </c>
      <c r="M51" s="70">
        <f>CUADRO4!F20</f>
        <v>4291.6041415141517</v>
      </c>
      <c r="N51" s="67">
        <v>0</v>
      </c>
      <c r="O51" s="70">
        <v>0</v>
      </c>
      <c r="P51" s="67">
        <v>0</v>
      </c>
      <c r="Q51" s="70">
        <v>0</v>
      </c>
      <c r="R51" s="67">
        <v>0</v>
      </c>
      <c r="S51" s="70">
        <v>0</v>
      </c>
      <c r="T51" s="67">
        <v>0</v>
      </c>
      <c r="U51" s="70">
        <v>0</v>
      </c>
      <c r="V51" s="67">
        <v>0</v>
      </c>
      <c r="W51" s="70">
        <v>0</v>
      </c>
      <c r="X51" s="67">
        <f>SUM(M51:W51)</f>
        <v>4291.6041415141517</v>
      </c>
      <c r="Y51" s="173">
        <f>X51+L51</f>
        <v>4644.7717691449361</v>
      </c>
      <c r="Z51" s="5"/>
      <c r="AA51" s="5"/>
    </row>
    <row r="52" spans="1:27" ht="13.5" thickBot="1">
      <c r="A52" s="166"/>
      <c r="B52" s="367" t="s">
        <v>333</v>
      </c>
      <c r="C52" s="375">
        <f t="shared" ref="C52:K52" si="3">C26-C48-C51-C70</f>
        <v>106487.9262325476</v>
      </c>
      <c r="D52" s="72">
        <f t="shared" si="3"/>
        <v>181.5010107067219</v>
      </c>
      <c r="E52" s="73">
        <f t="shared" si="3"/>
        <v>5.0022208597511053E-12</v>
      </c>
      <c r="F52" s="72">
        <f t="shared" si="3"/>
        <v>21650.31304556696</v>
      </c>
      <c r="G52" s="73">
        <f t="shared" si="3"/>
        <v>0</v>
      </c>
      <c r="H52" s="72">
        <f t="shared" si="3"/>
        <v>0</v>
      </c>
      <c r="I52" s="73">
        <f t="shared" si="3"/>
        <v>0</v>
      </c>
      <c r="J52" s="72">
        <f t="shared" si="3"/>
        <v>0</v>
      </c>
      <c r="K52" s="381">
        <f t="shared" si="3"/>
        <v>0</v>
      </c>
      <c r="L52" s="181">
        <f>SUM(C52:K52)</f>
        <v>128319.74028882128</v>
      </c>
      <c r="M52" s="160">
        <f>M26-M48-M51-M70+M22</f>
        <v>-7.2759576141834259E-12</v>
      </c>
      <c r="N52" s="174">
        <f>N26-N48-N51-N70</f>
        <v>0</v>
      </c>
      <c r="O52" s="160" t="e">
        <f>O26-O48-O50-O51-O70</f>
        <v>#REF!</v>
      </c>
      <c r="P52" s="174">
        <f>P26-P48-P51-P70</f>
        <v>0</v>
      </c>
      <c r="Q52" s="160">
        <f>Q26-Q48-Q51-Q70</f>
        <v>0</v>
      </c>
      <c r="R52" s="174">
        <f>R26-R48-R51-R70</f>
        <v>0</v>
      </c>
      <c r="S52" s="160">
        <f>S26-S48-S51-S70</f>
        <v>0</v>
      </c>
      <c r="T52" s="174">
        <f>T26-T48-T50-T51-T70</f>
        <v>0</v>
      </c>
      <c r="U52" s="160">
        <f>U26-U48-U51-U70</f>
        <v>0</v>
      </c>
      <c r="V52" s="174">
        <f>V26-V48-V51-V70</f>
        <v>447.06612587687073</v>
      </c>
      <c r="W52" s="160">
        <f>W26-W48-W50-W51-W70</f>
        <v>0</v>
      </c>
      <c r="X52" s="67" t="e">
        <f>SUM(M52:W52)</f>
        <v>#REF!</v>
      </c>
      <c r="Y52" s="173" t="e">
        <f>X52+L52</f>
        <v>#REF!</v>
      </c>
      <c r="Z52" s="5"/>
    </row>
    <row r="53" spans="1:27">
      <c r="A53" s="1427" t="s">
        <v>479</v>
      </c>
      <c r="B53" s="379"/>
      <c r="C53" s="374"/>
      <c r="D53" s="65"/>
      <c r="E53" s="66"/>
      <c r="F53" s="65"/>
      <c r="G53" s="66"/>
      <c r="H53" s="65"/>
      <c r="I53" s="66"/>
      <c r="J53" s="65"/>
      <c r="K53" s="382"/>
      <c r="L53" s="368"/>
      <c r="M53" s="161"/>
      <c r="N53" s="177"/>
      <c r="O53" s="161"/>
      <c r="P53" s="177"/>
      <c r="Q53" s="161"/>
      <c r="R53" s="177"/>
      <c r="S53" s="161"/>
      <c r="T53" s="177"/>
      <c r="U53" s="161"/>
      <c r="V53" s="177"/>
      <c r="W53" s="161"/>
      <c r="X53" s="177"/>
      <c r="Y53" s="178"/>
      <c r="Z53" s="5"/>
    </row>
    <row r="54" spans="1:27">
      <c r="A54" s="1428"/>
      <c r="B54" s="366" t="s">
        <v>334</v>
      </c>
      <c r="C54" s="250">
        <v>0</v>
      </c>
      <c r="D54" s="67">
        <f>CUADRO5!C25</f>
        <v>223.2994833275786</v>
      </c>
      <c r="E54" s="70">
        <v>0</v>
      </c>
      <c r="F54" s="67">
        <v>0</v>
      </c>
      <c r="G54" s="70">
        <v>0</v>
      </c>
      <c r="H54" s="67">
        <v>0</v>
      </c>
      <c r="I54" s="70">
        <v>0</v>
      </c>
      <c r="J54" s="67">
        <v>0</v>
      </c>
      <c r="K54" s="372">
        <v>0</v>
      </c>
      <c r="L54" s="369">
        <f>SUM(C54:K54)</f>
        <v>223.2994833275786</v>
      </c>
      <c r="M54" s="70">
        <f>CUADRO5!C19</f>
        <v>363.20603858000004</v>
      </c>
      <c r="N54" s="67">
        <f>CUADRO5!C14</f>
        <v>68.84848741999653</v>
      </c>
      <c r="O54" s="70" t="e">
        <f>CUADRO5!C12+CUADRO5!#REF!+CUADRO5!C15</f>
        <v>#REF!</v>
      </c>
      <c r="P54" s="67">
        <f>CUADRO5!C13+CUADRO5!C16</f>
        <v>7823.1565152851608</v>
      </c>
      <c r="Q54" s="70">
        <f>CUADRO5!C11</f>
        <v>39033.876251676615</v>
      </c>
      <c r="R54" s="67">
        <f>CUADRO5!C10</f>
        <v>10678.862313839998</v>
      </c>
      <c r="S54" s="70">
        <v>0</v>
      </c>
      <c r="T54" s="67">
        <v>0</v>
      </c>
      <c r="U54" s="70">
        <v>0</v>
      </c>
      <c r="V54" s="67">
        <v>0</v>
      </c>
      <c r="W54" s="70">
        <v>0</v>
      </c>
      <c r="X54" s="67" t="e">
        <f>SUM(M54:W54)</f>
        <v>#REF!</v>
      </c>
      <c r="Y54" s="173" t="e">
        <f>X54+L54</f>
        <v>#REF!</v>
      </c>
      <c r="Z54" s="5"/>
    </row>
    <row r="55" spans="1:27">
      <c r="A55" s="1428"/>
      <c r="B55" s="366"/>
      <c r="C55" s="250"/>
      <c r="D55" s="67"/>
      <c r="E55" s="70"/>
      <c r="F55" s="67"/>
      <c r="G55" s="70"/>
      <c r="H55" s="67"/>
      <c r="I55" s="70"/>
      <c r="J55" s="67"/>
      <c r="K55" s="372"/>
      <c r="L55" s="369"/>
      <c r="M55" s="70"/>
      <c r="N55" s="67"/>
      <c r="O55" s="70"/>
      <c r="P55" s="67"/>
      <c r="Q55" s="70"/>
      <c r="R55" s="67"/>
      <c r="S55" s="70"/>
      <c r="T55" s="67"/>
      <c r="U55" s="70"/>
      <c r="V55" s="67"/>
      <c r="W55" s="70"/>
      <c r="X55" s="67"/>
      <c r="Y55" s="173"/>
      <c r="Z55" s="3"/>
    </row>
    <row r="56" spans="1:27">
      <c r="A56" s="1428"/>
      <c r="B56" s="366" t="s">
        <v>335</v>
      </c>
      <c r="C56" s="250">
        <v>0</v>
      </c>
      <c r="D56" s="67">
        <f>CUADRO5!D25</f>
        <v>1517.8800340793337</v>
      </c>
      <c r="E56" s="70">
        <f>CUADRO5!D20</f>
        <v>2157.9654141856108</v>
      </c>
      <c r="F56" s="67">
        <v>0</v>
      </c>
      <c r="G56" s="70">
        <v>0</v>
      </c>
      <c r="H56" s="67">
        <v>0</v>
      </c>
      <c r="I56" s="70">
        <f>CUADRO5!D27</f>
        <v>15747.062102540436</v>
      </c>
      <c r="J56" s="67">
        <v>0</v>
      </c>
      <c r="K56" s="372">
        <v>0</v>
      </c>
      <c r="L56" s="369">
        <f>SUM(C56:K56)</f>
        <v>19422.907550805379</v>
      </c>
      <c r="M56" s="70">
        <f>CUADRO5!D19</f>
        <v>31469.173851303614</v>
      </c>
      <c r="N56" s="67">
        <f>CUADRO5!D14</f>
        <v>3305.1729430320092</v>
      </c>
      <c r="O56" s="70" t="e">
        <f>CUADRO5!D12+CUADRO5!#REF!+CUADRO5!D15</f>
        <v>#REF!</v>
      </c>
      <c r="P56" s="67">
        <f>CUADRO5!D13+CUADRO5!D16</f>
        <v>405.049126419</v>
      </c>
      <c r="Q56" s="70">
        <f>CUADRO5!D11</f>
        <v>22031.292348448711</v>
      </c>
      <c r="R56" s="67">
        <f>CUADRO5!D10</f>
        <v>7493.0966689950001</v>
      </c>
      <c r="S56" s="70">
        <f>CUADRO5!D21</f>
        <v>4084.351500590491</v>
      </c>
      <c r="T56" s="67">
        <v>0</v>
      </c>
      <c r="U56" s="70">
        <f>CUADRO5!D18+CUADRO5!D23+CUADRO5!D24</f>
        <v>878.18130508414936</v>
      </c>
      <c r="V56" s="67">
        <f>CUADRO5!D17+CUADRO5!D22</f>
        <v>0</v>
      </c>
      <c r="W56" s="70">
        <v>0</v>
      </c>
      <c r="X56" s="67" t="e">
        <f>SUM(M56:W56)</f>
        <v>#REF!</v>
      </c>
      <c r="Y56" s="173" t="e">
        <f>X56+L56</f>
        <v>#REF!</v>
      </c>
      <c r="Z56" s="5"/>
    </row>
    <row r="57" spans="1:27">
      <c r="A57" s="1428"/>
      <c r="B57" s="366"/>
      <c r="C57" s="250"/>
      <c r="D57" s="67"/>
      <c r="E57" s="70"/>
      <c r="F57" s="67"/>
      <c r="G57" s="70"/>
      <c r="H57" s="67"/>
      <c r="I57" s="70"/>
      <c r="J57" s="67"/>
      <c r="K57" s="372"/>
      <c r="L57" s="369"/>
      <c r="M57" s="70"/>
      <c r="N57" s="67"/>
      <c r="O57" s="70"/>
      <c r="P57" s="67"/>
      <c r="Q57" s="70"/>
      <c r="R57" s="67"/>
      <c r="S57" s="70"/>
      <c r="T57" s="67"/>
      <c r="U57" s="70"/>
      <c r="V57" s="67"/>
      <c r="W57" s="70"/>
      <c r="X57" s="67"/>
      <c r="Y57" s="173"/>
      <c r="Z57" s="3"/>
    </row>
    <row r="58" spans="1:27">
      <c r="A58" s="1428"/>
      <c r="B58" s="366" t="s">
        <v>130</v>
      </c>
      <c r="C58" s="250">
        <v>0</v>
      </c>
      <c r="D58" s="67">
        <f>CUADRO8!E19</f>
        <v>4099.2278082294442</v>
      </c>
      <c r="E58" s="70">
        <f>CUADRO8!E17</f>
        <v>0.10199999999999999</v>
      </c>
      <c r="F58" s="67">
        <v>0</v>
      </c>
      <c r="G58" s="70">
        <v>0</v>
      </c>
      <c r="H58" s="67">
        <v>0</v>
      </c>
      <c r="I58" s="70">
        <f>CUADRO8!E20</f>
        <v>29652.742708307094</v>
      </c>
      <c r="J58" s="67">
        <v>0</v>
      </c>
      <c r="K58" s="372">
        <v>0</v>
      </c>
      <c r="L58" s="369">
        <f>SUM(C58:K58)</f>
        <v>33752.072516536537</v>
      </c>
      <c r="M58" s="70">
        <f>CUADRO8!E16</f>
        <v>7655.2530852188429</v>
      </c>
      <c r="N58" s="67">
        <f>CUADRO8!E14</f>
        <v>9326.3999703984337</v>
      </c>
      <c r="O58" s="70">
        <f>0</f>
        <v>0</v>
      </c>
      <c r="P58" s="67">
        <f>CUADRO8!E13</f>
        <v>840.85369461000005</v>
      </c>
      <c r="Q58" s="70">
        <f>CUADRO8!E12</f>
        <v>63.550250815999995</v>
      </c>
      <c r="R58" s="67">
        <f>CUADRO8!E11</f>
        <v>0</v>
      </c>
      <c r="S58" s="70">
        <v>0</v>
      </c>
      <c r="T58" s="67">
        <v>0</v>
      </c>
      <c r="U58" s="70">
        <f>CUADRO8!E18</f>
        <v>112.81457026000778</v>
      </c>
      <c r="V58" s="67">
        <v>0</v>
      </c>
      <c r="W58" s="70">
        <v>0</v>
      </c>
      <c r="X58" s="67">
        <f>SUM(M58:W58)</f>
        <v>17998.871571303283</v>
      </c>
      <c r="Y58" s="173">
        <f>X58+L58</f>
        <v>51750.944087839816</v>
      </c>
      <c r="Z58" s="5"/>
    </row>
    <row r="59" spans="1:27">
      <c r="A59" s="1428"/>
      <c r="B59" s="366" t="s">
        <v>283</v>
      </c>
      <c r="C59" s="250"/>
      <c r="D59" s="67"/>
      <c r="E59" s="70"/>
      <c r="F59" s="67"/>
      <c r="G59" s="70"/>
      <c r="H59" s="67"/>
      <c r="I59" s="70"/>
      <c r="J59" s="67"/>
      <c r="K59" s="372"/>
      <c r="L59" s="369"/>
      <c r="M59" s="70"/>
      <c r="N59" s="67"/>
      <c r="O59" s="70"/>
      <c r="P59" s="67"/>
      <c r="Q59" s="70"/>
      <c r="R59" s="67"/>
      <c r="S59" s="70"/>
      <c r="T59" s="67"/>
      <c r="U59" s="70"/>
      <c r="V59" s="67"/>
      <c r="W59" s="70"/>
      <c r="X59" s="67"/>
      <c r="Y59" s="173"/>
      <c r="Z59" s="3"/>
    </row>
    <row r="60" spans="1:27">
      <c r="A60" s="1428"/>
      <c r="B60" s="366" t="s">
        <v>336</v>
      </c>
      <c r="C60" s="250">
        <v>0</v>
      </c>
      <c r="D60" s="67">
        <f>CUADRO8!C19+CUADRO8!D19</f>
        <v>1463.0856687551934</v>
      </c>
      <c r="E60" s="70">
        <f>CUADRO8!C17+CUADRO8!D17</f>
        <v>27.349600000000002</v>
      </c>
      <c r="F60" s="67">
        <v>0</v>
      </c>
      <c r="G60" s="70">
        <v>0</v>
      </c>
      <c r="H60" s="67">
        <v>0</v>
      </c>
      <c r="I60" s="70">
        <f>CUADRO8!C20+CUADRO8!D20</f>
        <v>0</v>
      </c>
      <c r="J60" s="67">
        <v>0</v>
      </c>
      <c r="K60" s="372">
        <v>0</v>
      </c>
      <c r="L60" s="369">
        <f>SUM(C60:K60)</f>
        <v>1490.4352687551934</v>
      </c>
      <c r="M60" s="70">
        <f>CUADRO8!C16+CUADRO8!D16</f>
        <v>6844.5757130001548</v>
      </c>
      <c r="N60" s="67">
        <f>CUADRO8!C14+CUADRO8!D14</f>
        <v>1480.8330736857158</v>
      </c>
      <c r="O60" s="70">
        <v>0</v>
      </c>
      <c r="P60" s="67">
        <f>CUADRO8!C13+CUADRO8!D13</f>
        <v>31.03864029</v>
      </c>
      <c r="Q60" s="70">
        <f>CUADRO8!C12+CUADRO8!D12</f>
        <v>1420.62607430248</v>
      </c>
      <c r="R60" s="67">
        <f>CUADRO8!C11+CUADRO8!D11</f>
        <v>480.98743640850006</v>
      </c>
      <c r="S60" s="70">
        <v>0</v>
      </c>
      <c r="T60" s="67">
        <v>0</v>
      </c>
      <c r="U60" s="70">
        <f>CUADRO8!C18+CUADRO8!D18</f>
        <v>121.3468599735387</v>
      </c>
      <c r="V60" s="67">
        <f>CUADRO8!D15</f>
        <v>0</v>
      </c>
      <c r="W60" s="70">
        <v>0</v>
      </c>
      <c r="X60" s="67">
        <f>SUM(M60:W60)</f>
        <v>10379.407797660389</v>
      </c>
      <c r="Y60" s="173">
        <f>X60+L60</f>
        <v>11869.843066415582</v>
      </c>
      <c r="Z60" s="5"/>
    </row>
    <row r="61" spans="1:27">
      <c r="A61" s="1428"/>
      <c r="B61" s="366" t="s">
        <v>283</v>
      </c>
      <c r="C61" s="250"/>
      <c r="D61" s="67"/>
      <c r="E61" s="70"/>
      <c r="F61" s="67"/>
      <c r="G61" s="70"/>
      <c r="H61" s="67"/>
      <c r="I61" s="70"/>
      <c r="J61" s="67"/>
      <c r="K61" s="372"/>
      <c r="L61" s="369"/>
      <c r="M61" s="70"/>
      <c r="N61" s="67"/>
      <c r="O61" s="70"/>
      <c r="P61" s="67"/>
      <c r="Q61" s="70"/>
      <c r="R61" s="67"/>
      <c r="S61" s="70"/>
      <c r="T61" s="67"/>
      <c r="U61" s="70"/>
      <c r="V61" s="67"/>
      <c r="W61" s="70"/>
      <c r="X61" s="67"/>
      <c r="Y61" s="173"/>
      <c r="Z61" s="3"/>
    </row>
    <row r="62" spans="1:27">
      <c r="A62" s="1428"/>
      <c r="B62" s="366" t="s">
        <v>337</v>
      </c>
      <c r="C62" s="250">
        <v>0</v>
      </c>
      <c r="D62" s="67">
        <v>0</v>
      </c>
      <c r="E62" s="70">
        <v>0</v>
      </c>
      <c r="F62" s="67">
        <v>0</v>
      </c>
      <c r="G62" s="70">
        <v>0</v>
      </c>
      <c r="H62" s="67">
        <v>0</v>
      </c>
      <c r="I62" s="70">
        <v>0</v>
      </c>
      <c r="J62" s="67">
        <v>0</v>
      </c>
      <c r="K62" s="372">
        <v>0</v>
      </c>
      <c r="L62" s="369">
        <f>SUM(C62:K62)</f>
        <v>0</v>
      </c>
      <c r="M62" s="70">
        <v>0</v>
      </c>
      <c r="N62" s="67">
        <v>0</v>
      </c>
      <c r="O62" s="70">
        <v>0</v>
      </c>
      <c r="P62" s="67">
        <v>0</v>
      </c>
      <c r="Q62" s="70">
        <v>0</v>
      </c>
      <c r="R62" s="67">
        <v>0</v>
      </c>
      <c r="S62" s="70">
        <v>0</v>
      </c>
      <c r="T62" s="67">
        <v>0</v>
      </c>
      <c r="U62" s="70">
        <v>0</v>
      </c>
      <c r="V62" s="67">
        <v>0</v>
      </c>
      <c r="W62" s="70">
        <v>0</v>
      </c>
      <c r="X62" s="67">
        <f>SUM(M62:W62)</f>
        <v>0</v>
      </c>
      <c r="Y62" s="173">
        <f>X62+L62</f>
        <v>0</v>
      </c>
      <c r="Z62" s="5"/>
    </row>
    <row r="63" spans="1:27">
      <c r="A63" s="1428"/>
      <c r="B63" s="366" t="s">
        <v>283</v>
      </c>
      <c r="C63" s="250"/>
      <c r="D63" s="67"/>
      <c r="E63" s="70"/>
      <c r="F63" s="67"/>
      <c r="G63" s="70"/>
      <c r="H63" s="67"/>
      <c r="I63" s="70"/>
      <c r="J63" s="67"/>
      <c r="K63" s="372"/>
      <c r="L63" s="369"/>
      <c r="M63" s="70"/>
      <c r="N63" s="67"/>
      <c r="O63" s="70"/>
      <c r="P63" s="67"/>
      <c r="Q63" s="70"/>
      <c r="R63" s="67"/>
      <c r="S63" s="70"/>
      <c r="T63" s="67"/>
      <c r="U63" s="70"/>
      <c r="V63" s="67"/>
      <c r="W63" s="70"/>
      <c r="X63" s="67"/>
      <c r="Y63" s="173"/>
      <c r="Z63" s="3"/>
    </row>
    <row r="64" spans="1:27">
      <c r="A64" s="1428"/>
      <c r="B64" s="366" t="s">
        <v>338</v>
      </c>
      <c r="C64" s="250">
        <v>0</v>
      </c>
      <c r="D64" s="67">
        <v>0</v>
      </c>
      <c r="E64" s="70">
        <v>0</v>
      </c>
      <c r="F64" s="67">
        <v>0</v>
      </c>
      <c r="G64" s="70">
        <v>0</v>
      </c>
      <c r="H64" s="67">
        <v>0</v>
      </c>
      <c r="I64" s="70">
        <v>0</v>
      </c>
      <c r="J64" s="67">
        <v>0</v>
      </c>
      <c r="K64" s="372">
        <v>0</v>
      </c>
      <c r="L64" s="369">
        <f>SUM(C64:K64)</f>
        <v>0</v>
      </c>
      <c r="M64" s="70">
        <v>0</v>
      </c>
      <c r="N64" s="67">
        <v>0</v>
      </c>
      <c r="O64" s="70">
        <v>0</v>
      </c>
      <c r="P64" s="67">
        <v>0</v>
      </c>
      <c r="Q64" s="70">
        <v>0</v>
      </c>
      <c r="R64" s="67">
        <v>0</v>
      </c>
      <c r="S64" s="70">
        <v>0</v>
      </c>
      <c r="T64" s="67">
        <v>0</v>
      </c>
      <c r="U64" s="70">
        <v>0</v>
      </c>
      <c r="V64" s="67">
        <v>0</v>
      </c>
      <c r="W64" s="70">
        <v>0</v>
      </c>
      <c r="X64" s="67">
        <f>SUM(M64:W64)</f>
        <v>0</v>
      </c>
      <c r="Y64" s="173">
        <f>X64+L64</f>
        <v>0</v>
      </c>
      <c r="Z64" s="5"/>
    </row>
    <row r="65" spans="1:27" ht="13.5" thickBot="1">
      <c r="A65" s="1428"/>
      <c r="B65" s="367" t="s">
        <v>283</v>
      </c>
      <c r="C65" s="383"/>
      <c r="D65" s="174"/>
      <c r="E65" s="160"/>
      <c r="F65" s="174"/>
      <c r="G65" s="160"/>
      <c r="H65" s="174"/>
      <c r="I65" s="160"/>
      <c r="J65" s="174"/>
      <c r="K65" s="373"/>
      <c r="L65" s="370"/>
      <c r="M65" s="160"/>
      <c r="N65" s="174"/>
      <c r="O65" s="160"/>
      <c r="P65" s="174"/>
      <c r="Q65" s="160"/>
      <c r="R65" s="174"/>
      <c r="S65" s="160"/>
      <c r="T65" s="174"/>
      <c r="U65" s="160"/>
      <c r="V65" s="174"/>
      <c r="W65" s="160"/>
      <c r="X65" s="174"/>
      <c r="Y65" s="175"/>
      <c r="Z65" s="3"/>
    </row>
    <row r="66" spans="1:27">
      <c r="A66" s="1428"/>
      <c r="B66" s="152" t="s">
        <v>339</v>
      </c>
      <c r="C66" s="168">
        <v>0</v>
      </c>
      <c r="D66" s="181">
        <f>SUM(D54:D64)+D50</f>
        <v>7314.6078615413271</v>
      </c>
      <c r="E66" s="181">
        <f t="shared" ref="E66:W66" si="4">SUM(E54:E64)+E50</f>
        <v>2185.4170141856107</v>
      </c>
      <c r="F66" s="181">
        <f t="shared" si="4"/>
        <v>0</v>
      </c>
      <c r="G66" s="181">
        <f t="shared" si="4"/>
        <v>0</v>
      </c>
      <c r="H66" s="181">
        <f t="shared" si="4"/>
        <v>0</v>
      </c>
      <c r="I66" s="181">
        <f t="shared" si="4"/>
        <v>45399.804810847534</v>
      </c>
      <c r="J66" s="181">
        <f t="shared" si="4"/>
        <v>0</v>
      </c>
      <c r="K66" s="181">
        <f t="shared" si="4"/>
        <v>0</v>
      </c>
      <c r="L66" s="369">
        <f>SUM(C66:K66)</f>
        <v>54899.829686574471</v>
      </c>
      <c r="M66" s="179">
        <f t="shared" si="4"/>
        <v>48201.114386248511</v>
      </c>
      <c r="N66" s="179">
        <f t="shared" si="4"/>
        <v>15510.941989896552</v>
      </c>
      <c r="O66" s="179" t="e">
        <f t="shared" si="4"/>
        <v>#REF!</v>
      </c>
      <c r="P66" s="179">
        <f t="shared" si="4"/>
        <v>9100.0979766041601</v>
      </c>
      <c r="Q66" s="179">
        <f t="shared" si="4"/>
        <v>62576.936457995806</v>
      </c>
      <c r="R66" s="179">
        <f t="shared" si="4"/>
        <v>19503.7444092435</v>
      </c>
      <c r="S66" s="179">
        <f t="shared" si="4"/>
        <v>4084.351500590491</v>
      </c>
      <c r="T66" s="179">
        <f t="shared" si="4"/>
        <v>0</v>
      </c>
      <c r="U66" s="179">
        <f t="shared" si="4"/>
        <v>5507.1839964865139</v>
      </c>
      <c r="V66" s="179">
        <f t="shared" si="4"/>
        <v>1221.5656625499996</v>
      </c>
      <c r="W66" s="179">
        <f t="shared" si="4"/>
        <v>0</v>
      </c>
      <c r="X66" s="179" t="e">
        <f>SUM(X54:X64)+X50</f>
        <v>#REF!</v>
      </c>
      <c r="Y66" s="364" t="e">
        <f>X66+L66</f>
        <v>#REF!</v>
      </c>
      <c r="Z66" s="5"/>
    </row>
    <row r="67" spans="1:27">
      <c r="A67" s="1428"/>
      <c r="B67" s="152"/>
      <c r="C67" s="168"/>
      <c r="D67" s="181"/>
      <c r="E67" s="182"/>
      <c r="F67" s="181"/>
      <c r="G67" s="182"/>
      <c r="H67" s="181"/>
      <c r="I67" s="182"/>
      <c r="J67" s="181"/>
      <c r="K67" s="182"/>
      <c r="L67" s="181"/>
      <c r="M67" s="182"/>
      <c r="N67" s="181"/>
      <c r="O67" s="182"/>
      <c r="P67" s="181"/>
      <c r="Q67" s="182"/>
      <c r="R67" s="181"/>
      <c r="S67" s="182"/>
      <c r="T67" s="181"/>
      <c r="U67" s="182"/>
      <c r="V67" s="181"/>
      <c r="W67" s="182"/>
      <c r="X67" s="181"/>
      <c r="Y67" s="173"/>
      <c r="Z67" s="3"/>
    </row>
    <row r="68" spans="1:27">
      <c r="A68" s="1428"/>
      <c r="B68" s="152" t="s">
        <v>340</v>
      </c>
      <c r="C68" s="168">
        <v>0</v>
      </c>
      <c r="D68" s="181">
        <v>0</v>
      </c>
      <c r="E68" s="182">
        <v>0</v>
      </c>
      <c r="F68" s="181">
        <v>0</v>
      </c>
      <c r="G68" s="182">
        <v>0</v>
      </c>
      <c r="H68" s="181">
        <v>0</v>
      </c>
      <c r="I68" s="182">
        <v>0</v>
      </c>
      <c r="J68" s="181">
        <v>0</v>
      </c>
      <c r="K68" s="182">
        <v>0</v>
      </c>
      <c r="L68" s="181">
        <v>0</v>
      </c>
      <c r="M68" s="182">
        <v>0</v>
      </c>
      <c r="N68" s="181">
        <v>0</v>
      </c>
      <c r="O68" s="182">
        <v>0</v>
      </c>
      <c r="P68" s="181">
        <v>0</v>
      </c>
      <c r="Q68" s="182">
        <v>0</v>
      </c>
      <c r="R68" s="181">
        <v>0</v>
      </c>
      <c r="S68" s="182">
        <v>0</v>
      </c>
      <c r="T68" s="181">
        <v>0</v>
      </c>
      <c r="U68" s="182">
        <v>0</v>
      </c>
      <c r="V68" s="181">
        <v>0</v>
      </c>
      <c r="W68" s="182">
        <f>W26</f>
        <v>1955.6977122799999</v>
      </c>
      <c r="X68" s="181">
        <f>SUM(M68:W68)</f>
        <v>1955.6977122799999</v>
      </c>
      <c r="Y68" s="173">
        <f>X68+L68</f>
        <v>1955.6977122799999</v>
      </c>
      <c r="Z68" s="5"/>
    </row>
    <row r="69" spans="1:27" ht="13.5" thickBot="1">
      <c r="A69" s="1428"/>
      <c r="B69" s="153"/>
      <c r="C69" s="169"/>
      <c r="D69" s="176"/>
      <c r="E69" s="165"/>
      <c r="F69" s="176"/>
      <c r="G69" s="165"/>
      <c r="H69" s="176"/>
      <c r="I69" s="165"/>
      <c r="J69" s="176"/>
      <c r="K69" s="165"/>
      <c r="L69" s="176"/>
      <c r="M69" s="165"/>
      <c r="N69" s="176"/>
      <c r="O69" s="165"/>
      <c r="P69" s="176"/>
      <c r="Q69" s="165"/>
      <c r="R69" s="176"/>
      <c r="S69" s="165"/>
      <c r="T69" s="176"/>
      <c r="U69" s="165"/>
      <c r="V69" s="176"/>
      <c r="W69" s="165"/>
      <c r="X69" s="176"/>
      <c r="Y69" s="175"/>
      <c r="Z69" s="5"/>
    </row>
    <row r="70" spans="1:27" ht="13.5" thickBot="1">
      <c r="A70" s="1429"/>
      <c r="B70" s="197" t="s">
        <v>341</v>
      </c>
      <c r="C70" s="184">
        <v>0</v>
      </c>
      <c r="D70" s="183">
        <f t="shared" ref="D70:X70" si="5">D66+D68</f>
        <v>7314.6078615413271</v>
      </c>
      <c r="E70" s="184">
        <f t="shared" si="5"/>
        <v>2185.4170141856107</v>
      </c>
      <c r="F70" s="183">
        <f t="shared" si="5"/>
        <v>0</v>
      </c>
      <c r="G70" s="184">
        <f t="shared" si="5"/>
        <v>0</v>
      </c>
      <c r="H70" s="183">
        <f t="shared" si="5"/>
        <v>0</v>
      </c>
      <c r="I70" s="184">
        <f t="shared" si="5"/>
        <v>45399.804810847534</v>
      </c>
      <c r="J70" s="183">
        <f t="shared" si="5"/>
        <v>0</v>
      </c>
      <c r="K70" s="184">
        <f t="shared" si="5"/>
        <v>0</v>
      </c>
      <c r="L70" s="183">
        <f>SUM(C70:K70)</f>
        <v>54899.829686574471</v>
      </c>
      <c r="M70" s="184">
        <f t="shared" si="5"/>
        <v>48201.114386248511</v>
      </c>
      <c r="N70" s="183">
        <f t="shared" si="5"/>
        <v>15510.941989896552</v>
      </c>
      <c r="O70" s="184" t="e">
        <f t="shared" si="5"/>
        <v>#REF!</v>
      </c>
      <c r="P70" s="193">
        <f t="shared" si="5"/>
        <v>9100.0979766041601</v>
      </c>
      <c r="Q70" s="184">
        <f t="shared" si="5"/>
        <v>62576.936457995806</v>
      </c>
      <c r="R70" s="193">
        <f t="shared" si="5"/>
        <v>19503.7444092435</v>
      </c>
      <c r="S70" s="183">
        <f t="shared" si="5"/>
        <v>4084.351500590491</v>
      </c>
      <c r="T70" s="184">
        <f t="shared" si="5"/>
        <v>0</v>
      </c>
      <c r="U70" s="183">
        <f t="shared" si="5"/>
        <v>5507.1839964865139</v>
      </c>
      <c r="V70" s="184">
        <f t="shared" si="5"/>
        <v>1221.5656625499996</v>
      </c>
      <c r="W70" s="183">
        <f t="shared" si="5"/>
        <v>1955.6977122799999</v>
      </c>
      <c r="X70" s="184" t="e">
        <f t="shared" si="5"/>
        <v>#REF!</v>
      </c>
      <c r="Y70" s="185" t="e">
        <f>X70+L70</f>
        <v>#REF!</v>
      </c>
      <c r="Z70" s="5"/>
      <c r="AA70" s="5"/>
    </row>
    <row r="71" spans="1:27" ht="13.5" thickBot="1">
      <c r="A71" s="196"/>
      <c r="B71" s="198" t="s">
        <v>487</v>
      </c>
      <c r="C71" s="184">
        <f>C70+C48</f>
        <v>0</v>
      </c>
      <c r="D71" s="183">
        <f t="shared" ref="D71:Y71" si="6">D70+D48</f>
        <v>29532.593491315281</v>
      </c>
      <c r="E71" s="184">
        <f t="shared" si="6"/>
        <v>39946.324785244149</v>
      </c>
      <c r="F71" s="183">
        <f t="shared" si="6"/>
        <v>0</v>
      </c>
      <c r="G71" s="184">
        <f t="shared" si="6"/>
        <v>0</v>
      </c>
      <c r="H71" s="183">
        <f t="shared" si="6"/>
        <v>0</v>
      </c>
      <c r="I71" s="184">
        <f t="shared" si="6"/>
        <v>51279.987209247607</v>
      </c>
      <c r="J71" s="183">
        <f t="shared" si="6"/>
        <v>0</v>
      </c>
      <c r="K71" s="184">
        <f t="shared" si="6"/>
        <v>0</v>
      </c>
      <c r="L71" s="183">
        <f>SUM(C71:K71)</f>
        <v>120758.90548580704</v>
      </c>
      <c r="M71" s="184">
        <f t="shared" si="6"/>
        <v>48201.114386248511</v>
      </c>
      <c r="N71" s="183">
        <f t="shared" si="6"/>
        <v>16445.662738445444</v>
      </c>
      <c r="O71" s="184" t="e">
        <f t="shared" si="6"/>
        <v>#REF!</v>
      </c>
      <c r="P71" s="193">
        <f t="shared" si="6"/>
        <v>9100.0979766041601</v>
      </c>
      <c r="Q71" s="184">
        <f t="shared" si="6"/>
        <v>82670.8793983824</v>
      </c>
      <c r="R71" s="193">
        <f t="shared" si="6"/>
        <v>22073.349155812499</v>
      </c>
      <c r="S71" s="183">
        <f t="shared" si="6"/>
        <v>10207.157347760094</v>
      </c>
      <c r="T71" s="184">
        <f t="shared" si="6"/>
        <v>0</v>
      </c>
      <c r="U71" s="183">
        <f t="shared" si="6"/>
        <v>5695.7180139405136</v>
      </c>
      <c r="V71" s="184">
        <f t="shared" si="6"/>
        <v>1221.5656625499996</v>
      </c>
      <c r="W71" s="183">
        <f t="shared" si="6"/>
        <v>1955.6977122799999</v>
      </c>
      <c r="X71" s="184" t="e">
        <f t="shared" si="6"/>
        <v>#REF!</v>
      </c>
      <c r="Y71" s="365" t="e">
        <f t="shared" si="6"/>
        <v>#REF!</v>
      </c>
      <c r="Z71" s="3"/>
    </row>
    <row r="72" spans="1:27">
      <c r="A72" s="3"/>
      <c r="B72" s="3"/>
      <c r="C72" s="58"/>
      <c r="D72" s="58"/>
      <c r="E72" s="58"/>
      <c r="F72" s="58"/>
      <c r="G72" s="58"/>
      <c r="H72" s="58"/>
      <c r="I72" s="58"/>
      <c r="J72" s="58"/>
      <c r="K72" s="58"/>
      <c r="L72" s="58"/>
      <c r="M72" s="58"/>
      <c r="N72" s="58"/>
      <c r="O72" s="58"/>
      <c r="P72" s="58"/>
      <c r="Q72" s="58"/>
      <c r="R72" s="58"/>
      <c r="S72" s="58"/>
      <c r="T72" s="58"/>
      <c r="U72" s="58"/>
      <c r="V72" s="58"/>
      <c r="W72" s="58"/>
      <c r="X72" s="74"/>
      <c r="Y72" s="58"/>
      <c r="Z72" s="5"/>
    </row>
    <row r="73" spans="1:27">
      <c r="A73" s="3"/>
      <c r="B73" s="3"/>
      <c r="C73" s="58"/>
      <c r="D73" s="58"/>
      <c r="E73" s="74"/>
      <c r="F73" s="58"/>
      <c r="G73" s="58"/>
      <c r="H73" s="58"/>
      <c r="I73" s="58"/>
      <c r="J73" s="58"/>
      <c r="K73" s="58"/>
      <c r="L73" s="74"/>
      <c r="M73" s="58"/>
      <c r="N73" s="58"/>
      <c r="O73" s="58"/>
      <c r="P73" s="58"/>
      <c r="Q73" s="58"/>
      <c r="R73" s="58"/>
      <c r="S73" s="58"/>
      <c r="T73" s="58"/>
      <c r="U73" s="58"/>
      <c r="V73" s="58"/>
      <c r="W73" s="58"/>
      <c r="X73" s="58"/>
      <c r="Y73" s="74"/>
      <c r="Z73" s="3"/>
    </row>
    <row r="74" spans="1:27">
      <c r="A74" s="3"/>
      <c r="B74" s="3"/>
      <c r="C74" s="3" t="s">
        <v>488</v>
      </c>
      <c r="D74" s="58"/>
      <c r="E74" s="58"/>
      <c r="F74" s="58"/>
      <c r="G74" s="58"/>
      <c r="H74" s="58"/>
      <c r="I74" s="58"/>
      <c r="J74" s="58"/>
      <c r="K74" s="58"/>
      <c r="L74" s="58"/>
      <c r="M74" s="74"/>
      <c r="N74" s="58"/>
      <c r="O74" s="58"/>
      <c r="P74" s="58"/>
      <c r="Q74" s="58"/>
      <c r="R74" s="58"/>
      <c r="S74" s="58"/>
      <c r="T74" s="58"/>
      <c r="U74" s="58"/>
      <c r="V74" s="58"/>
      <c r="W74" s="58"/>
      <c r="X74" s="58"/>
      <c r="Y74" s="74"/>
      <c r="Z74" s="3"/>
    </row>
    <row r="75" spans="1:27">
      <c r="A75" s="3"/>
      <c r="B75" s="3"/>
      <c r="C75" s="3" t="s">
        <v>489</v>
      </c>
      <c r="D75" s="58"/>
      <c r="E75" s="58"/>
      <c r="F75" s="58"/>
      <c r="G75" s="58"/>
      <c r="H75" s="58"/>
      <c r="I75" s="58"/>
      <c r="J75" s="58"/>
      <c r="K75" s="58"/>
      <c r="L75" s="58"/>
      <c r="M75" s="58"/>
      <c r="N75" s="58"/>
      <c r="O75" s="58"/>
      <c r="P75" s="58"/>
      <c r="Q75" s="58"/>
      <c r="R75" s="58"/>
      <c r="S75" s="58"/>
      <c r="T75" s="58"/>
      <c r="U75" s="58"/>
      <c r="V75" s="58"/>
      <c r="W75" s="58"/>
      <c r="X75" s="58"/>
      <c r="Y75" s="58"/>
      <c r="Z75" s="3"/>
    </row>
    <row r="76" spans="1:27">
      <c r="A76" s="3"/>
      <c r="B76" s="3"/>
      <c r="C76" s="3" t="s">
        <v>490</v>
      </c>
      <c r="D76" s="58"/>
      <c r="E76" s="58"/>
      <c r="F76" s="58"/>
      <c r="G76" s="58"/>
      <c r="H76" s="58"/>
      <c r="I76" s="58"/>
      <c r="J76" s="58"/>
      <c r="K76" s="58"/>
      <c r="L76" s="58"/>
      <c r="M76" s="58"/>
      <c r="N76" s="58"/>
      <c r="O76" s="58"/>
      <c r="P76" s="58"/>
      <c r="Q76" s="58"/>
      <c r="R76" s="58"/>
      <c r="S76" s="58"/>
      <c r="T76" s="58"/>
      <c r="U76" s="58"/>
      <c r="V76" s="58"/>
      <c r="W76" s="58"/>
      <c r="X76" s="58"/>
      <c r="Y76" s="58"/>
      <c r="Z76" s="3"/>
    </row>
    <row r="77" spans="1:27">
      <c r="A77" s="3"/>
      <c r="B77" s="3"/>
      <c r="C77" s="3" t="s">
        <v>491</v>
      </c>
      <c r="D77" s="58"/>
      <c r="E77" s="58"/>
      <c r="F77" s="58"/>
      <c r="G77" s="58"/>
      <c r="H77" s="58"/>
      <c r="I77" s="58"/>
      <c r="J77" s="58"/>
      <c r="K77" s="58"/>
      <c r="L77" s="58"/>
      <c r="M77" s="58"/>
      <c r="N77" s="58"/>
      <c r="O77" s="58"/>
      <c r="P77" s="58"/>
      <c r="Q77" s="58"/>
      <c r="R77" s="58"/>
      <c r="S77" s="58"/>
      <c r="T77" s="58"/>
      <c r="U77" s="58"/>
      <c r="V77" s="58"/>
      <c r="W77" s="58"/>
      <c r="X77" s="58"/>
      <c r="Y77" s="58"/>
      <c r="Z77" s="3"/>
    </row>
    <row r="78" spans="1:27">
      <c r="A78" s="3"/>
      <c r="B78" s="3"/>
      <c r="C78" s="3" t="s">
        <v>492</v>
      </c>
      <c r="D78" s="58"/>
      <c r="E78" s="58"/>
      <c r="F78" s="58"/>
      <c r="G78" s="58"/>
      <c r="H78" s="58"/>
      <c r="I78" s="58"/>
      <c r="J78" s="58"/>
      <c r="K78" s="58"/>
      <c r="L78" s="58"/>
      <c r="M78" s="58"/>
      <c r="N78" s="58"/>
      <c r="O78" s="58"/>
      <c r="P78" s="58"/>
      <c r="Q78" s="58"/>
      <c r="R78" s="58"/>
      <c r="S78" s="58"/>
      <c r="T78" s="58"/>
      <c r="U78" s="58"/>
      <c r="V78" s="58"/>
      <c r="W78" s="58"/>
      <c r="X78" s="58"/>
      <c r="Y78" s="58"/>
      <c r="Z78" s="3"/>
    </row>
    <row r="79" spans="1:27">
      <c r="A79" s="3"/>
      <c r="B79" s="3"/>
      <c r="C79" s="195" t="s">
        <v>493</v>
      </c>
      <c r="D79" s="58"/>
      <c r="E79" s="58"/>
      <c r="F79" s="58"/>
      <c r="G79" s="58"/>
      <c r="H79" s="58"/>
      <c r="I79" s="58"/>
      <c r="J79" s="58"/>
      <c r="K79" s="58"/>
      <c r="L79" s="58"/>
      <c r="M79" s="58"/>
      <c r="N79" s="58"/>
      <c r="O79" s="58"/>
      <c r="P79" s="58"/>
      <c r="Q79" s="58"/>
      <c r="R79" s="58"/>
      <c r="S79" s="58"/>
      <c r="T79" s="58"/>
      <c r="U79" s="58"/>
      <c r="V79" s="58"/>
      <c r="W79" s="58"/>
      <c r="X79" s="58"/>
      <c r="Y79" s="58"/>
      <c r="Z79" s="3"/>
    </row>
    <row r="80" spans="1:27">
      <c r="A80" s="3"/>
      <c r="B80" s="3"/>
      <c r="C80" s="195" t="s">
        <v>502</v>
      </c>
      <c r="D80" s="58"/>
      <c r="E80" s="58"/>
      <c r="F80" s="58"/>
      <c r="G80" s="58"/>
      <c r="H80" s="58"/>
      <c r="I80" s="58"/>
      <c r="J80" s="58"/>
      <c r="K80" s="58"/>
      <c r="L80" s="58"/>
      <c r="M80" s="58"/>
      <c r="N80" s="58"/>
      <c r="O80" s="58"/>
      <c r="P80" s="58"/>
      <c r="Q80" s="58"/>
      <c r="R80" s="58"/>
      <c r="S80" s="58"/>
      <c r="T80" s="58"/>
      <c r="U80" s="58"/>
      <c r="V80" s="58"/>
      <c r="W80" s="58"/>
      <c r="X80" s="58"/>
      <c r="Y80" s="58"/>
      <c r="Z80" s="3"/>
    </row>
    <row r="81" spans="1:26">
      <c r="A81" s="3"/>
      <c r="B81" s="3"/>
      <c r="C81" s="195" t="s">
        <v>501</v>
      </c>
      <c r="D81" s="58"/>
      <c r="E81" s="58"/>
      <c r="F81" s="58"/>
      <c r="G81" s="58"/>
      <c r="H81" s="58"/>
      <c r="I81" s="58"/>
      <c r="J81" s="58"/>
      <c r="K81" s="58"/>
      <c r="L81" s="58"/>
      <c r="M81" s="58"/>
      <c r="N81" s="58"/>
      <c r="O81" s="58"/>
      <c r="P81" s="58"/>
      <c r="Q81" s="58"/>
      <c r="R81" s="58"/>
      <c r="S81" s="58"/>
      <c r="T81" s="58"/>
      <c r="U81" s="58"/>
      <c r="V81" s="58"/>
      <c r="W81" s="58"/>
      <c r="X81" s="58"/>
      <c r="Y81" s="58"/>
      <c r="Z81" s="3"/>
    </row>
    <row r="82" spans="1:26">
      <c r="A82" s="3"/>
      <c r="B82" s="3"/>
      <c r="C82" s="195" t="s">
        <v>602</v>
      </c>
      <c r="D82" s="58"/>
      <c r="E82" s="58"/>
      <c r="F82" s="58"/>
      <c r="G82" s="58"/>
      <c r="H82" s="58"/>
      <c r="I82" s="58"/>
      <c r="J82" s="58"/>
      <c r="K82" s="58"/>
      <c r="L82" s="58"/>
      <c r="M82" s="58"/>
      <c r="N82" s="58"/>
      <c r="O82" s="58"/>
      <c r="P82" s="58"/>
      <c r="Q82" s="58"/>
      <c r="R82" s="58"/>
      <c r="S82" s="58"/>
      <c r="T82" s="58"/>
      <c r="U82" s="58"/>
      <c r="V82" s="58"/>
      <c r="W82" s="58"/>
      <c r="X82" s="58"/>
      <c r="Y82" s="58"/>
      <c r="Z82" s="3"/>
    </row>
    <row r="83" spans="1:26">
      <c r="A83" s="3"/>
      <c r="B83" s="3"/>
      <c r="C83" s="3" t="s">
        <v>601</v>
      </c>
      <c r="D83" s="3"/>
      <c r="E83" s="3"/>
      <c r="F83" s="3"/>
      <c r="G83" s="3"/>
      <c r="H83" s="3"/>
      <c r="I83" s="3"/>
      <c r="J83" s="3"/>
      <c r="K83" s="3"/>
      <c r="L83" s="3"/>
      <c r="M83" s="3"/>
      <c r="N83" s="3"/>
      <c r="O83" s="3"/>
      <c r="P83" s="3"/>
      <c r="Q83" s="3"/>
      <c r="R83" s="3"/>
      <c r="S83" s="3"/>
      <c r="T83" s="3"/>
      <c r="U83" s="3"/>
      <c r="V83" s="3"/>
      <c r="W83" s="3"/>
      <c r="X83" s="3"/>
      <c r="Y83" s="3"/>
      <c r="Z83" s="3"/>
    </row>
    <row r="84" spans="1:26">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c r="A96" s="3"/>
      <c r="B96" s="3"/>
      <c r="C96" s="3"/>
      <c r="D96" s="3"/>
      <c r="E96" s="3"/>
      <c r="F96" s="3"/>
      <c r="G96" s="3"/>
      <c r="H96" s="3"/>
      <c r="I96" s="3"/>
      <c r="J96" s="3"/>
      <c r="K96" s="3"/>
      <c r="L96" s="3"/>
      <c r="M96" s="3"/>
      <c r="N96" s="3"/>
      <c r="O96" s="3"/>
      <c r="P96" s="3"/>
      <c r="Q96" s="3"/>
      <c r="R96" s="3"/>
      <c r="S96" s="3"/>
      <c r="T96" s="3"/>
      <c r="U96" s="3"/>
      <c r="V96" s="3"/>
      <c r="W96" s="3"/>
      <c r="X96" s="3"/>
      <c r="Y96" s="3"/>
      <c r="Z96" s="3"/>
    </row>
    <row r="97" s="3" customFormat="1"/>
    <row r="98" s="3" customFormat="1"/>
    <row r="99" s="3" customFormat="1"/>
    <row r="100" s="3" customFormat="1"/>
    <row r="101" s="3" customFormat="1"/>
    <row r="102" s="3" customFormat="1"/>
    <row r="103" s="3" customFormat="1"/>
    <row r="104" s="3" customFormat="1"/>
    <row r="105" s="3" customFormat="1"/>
    <row r="106" s="3" customFormat="1"/>
    <row r="107" s="3" customFormat="1"/>
    <row r="108" s="3" customFormat="1"/>
    <row r="109" s="3" customFormat="1"/>
    <row r="110" s="3" customFormat="1"/>
    <row r="111" s="3" customFormat="1"/>
    <row r="112" s="3" customFormat="1"/>
    <row r="113" s="3" customFormat="1"/>
    <row r="114" s="3" customFormat="1"/>
    <row r="115" s="3" customFormat="1"/>
    <row r="116" s="3" customFormat="1"/>
    <row r="117" s="3" customFormat="1"/>
    <row r="118" s="3" customFormat="1"/>
    <row r="119" s="3" customFormat="1"/>
    <row r="120" s="3" customFormat="1"/>
    <row r="121" s="3" customFormat="1"/>
    <row r="122" s="3" customFormat="1"/>
    <row r="123" s="3" customFormat="1"/>
    <row r="124" s="3" customFormat="1"/>
    <row r="125" s="3" customFormat="1"/>
    <row r="126" s="3" customFormat="1"/>
    <row r="127" s="3" customFormat="1"/>
    <row r="128" s="3" customFormat="1"/>
    <row r="129" s="3" customFormat="1"/>
    <row r="130" s="3" customFormat="1"/>
    <row r="131" s="3" customFormat="1"/>
    <row r="132" s="3" customFormat="1"/>
    <row r="133" s="3" customFormat="1"/>
    <row r="134" s="3" customFormat="1"/>
    <row r="135" s="3" customFormat="1"/>
    <row r="136" s="3" customFormat="1"/>
    <row r="137" s="3" customFormat="1"/>
    <row r="138" s="3" customFormat="1"/>
    <row r="139" s="3" customFormat="1"/>
    <row r="140" s="3" customFormat="1"/>
    <row r="141" s="3" customFormat="1"/>
    <row r="142" s="3" customFormat="1"/>
    <row r="143" s="3" customFormat="1"/>
    <row r="144" s="3" customFormat="1"/>
    <row r="145" s="3" customFormat="1"/>
    <row r="146" s="3" customFormat="1"/>
    <row r="147" s="3" customFormat="1"/>
    <row r="148" s="3" customFormat="1"/>
    <row r="149" s="3" customFormat="1"/>
    <row r="150" s="3" customFormat="1"/>
    <row r="151" s="3" customFormat="1"/>
    <row r="152" s="3" customFormat="1"/>
    <row r="153" s="3" customFormat="1"/>
    <row r="154" s="3" customFormat="1"/>
    <row r="155" s="3" customFormat="1"/>
    <row r="156" s="3" customFormat="1"/>
    <row r="157" s="3" customFormat="1"/>
    <row r="158" s="3" customFormat="1"/>
    <row r="159" s="3" customFormat="1"/>
    <row r="160" s="3" customFormat="1"/>
  </sheetData>
  <mergeCells count="5">
    <mergeCell ref="A53:A70"/>
    <mergeCell ref="C4:L4"/>
    <mergeCell ref="M4:Y4"/>
    <mergeCell ref="A8:A25"/>
    <mergeCell ref="A27:A47"/>
  </mergeCells>
  <phoneticPr fontId="0" type="noConversion"/>
  <hyperlinks>
    <hyperlink ref="E1" location="INDICE!A60" display="VOLVER A INDICE"/>
  </hyperlinks>
  <pageMargins left="0.75" right="0.75" top="1" bottom="1" header="0" footer="0"/>
  <pageSetup orientation="portrait" r:id="rId1"/>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1"/>
  <sheetViews>
    <sheetView showGridLines="0" workbookViewId="0">
      <selection activeCell="D66" sqref="D66"/>
    </sheetView>
  </sheetViews>
  <sheetFormatPr baseColWidth="10" defaultRowHeight="12.75"/>
  <cols>
    <col min="1" max="1" width="3" customWidth="1"/>
    <col min="2" max="2" width="41.5703125" customWidth="1"/>
  </cols>
  <sheetData>
    <row r="1" spans="1:8" ht="13.5" thickBot="1">
      <c r="A1" s="770"/>
      <c r="B1" s="459"/>
      <c r="C1" s="1217"/>
      <c r="D1" s="1217"/>
      <c r="E1" s="1217"/>
      <c r="F1" s="62"/>
      <c r="G1" s="62"/>
      <c r="H1" s="62"/>
    </row>
    <row r="2" spans="1:8">
      <c r="A2" s="770"/>
      <c r="B2" s="524"/>
      <c r="C2" s="1218"/>
      <c r="D2" s="1218"/>
      <c r="E2" s="1218"/>
      <c r="F2" s="1219"/>
      <c r="G2" s="1220"/>
      <c r="H2" s="464" t="s">
        <v>606</v>
      </c>
    </row>
    <row r="3" spans="1:8">
      <c r="A3" s="770"/>
      <c r="B3" s="1221"/>
      <c r="C3" s="1222" t="s">
        <v>342</v>
      </c>
      <c r="D3" s="1223"/>
      <c r="E3" s="1223"/>
      <c r="F3" s="1224"/>
      <c r="G3" s="1220"/>
      <c r="H3" s="1220"/>
    </row>
    <row r="4" spans="1:8">
      <c r="A4" s="770"/>
      <c r="B4" s="1225"/>
      <c r="C4" s="1226" t="s">
        <v>774</v>
      </c>
      <c r="D4" s="1223"/>
      <c r="E4" s="1223"/>
      <c r="F4" s="1224"/>
      <c r="G4" s="1220"/>
      <c r="H4" s="1220"/>
    </row>
    <row r="5" spans="1:8">
      <c r="A5" s="770"/>
      <c r="B5" s="1225"/>
      <c r="C5" s="1222"/>
      <c r="D5" s="1227" t="s">
        <v>343</v>
      </c>
      <c r="E5" s="1227"/>
      <c r="F5" s="1224"/>
      <c r="G5" s="1220"/>
      <c r="H5" s="1220"/>
    </row>
    <row r="6" spans="1:8" ht="13.5" thickBot="1">
      <c r="A6" s="770"/>
      <c r="B6" s="1225"/>
      <c r="C6" s="1222"/>
      <c r="D6" s="1223" t="s">
        <v>344</v>
      </c>
      <c r="E6" s="1223" t="s">
        <v>345</v>
      </c>
      <c r="F6" s="1224"/>
      <c r="G6" s="1220"/>
      <c r="H6" s="1220"/>
    </row>
    <row r="7" spans="1:8">
      <c r="A7" s="770"/>
      <c r="B7" s="1228" t="s">
        <v>346</v>
      </c>
      <c r="C7" s="1229">
        <f>C10+C15</f>
        <v>16153.498271399998</v>
      </c>
      <c r="D7" s="1230">
        <v>1</v>
      </c>
      <c r="E7" s="1230"/>
      <c r="F7" s="1231"/>
      <c r="G7" s="1220"/>
      <c r="H7" s="1220"/>
    </row>
    <row r="8" spans="1:8">
      <c r="A8" s="770"/>
      <c r="B8" s="1232" t="s">
        <v>347</v>
      </c>
      <c r="C8" s="1233"/>
      <c r="D8" s="1234"/>
      <c r="E8" s="1234"/>
      <c r="F8" s="1235"/>
      <c r="G8" s="1220"/>
      <c r="H8" s="1220"/>
    </row>
    <row r="9" spans="1:8">
      <c r="A9" s="770"/>
      <c r="B9" s="1232"/>
      <c r="C9" s="1233"/>
      <c r="D9" s="1234"/>
      <c r="E9" s="1234"/>
      <c r="F9" s="1235"/>
      <c r="G9" s="1220"/>
      <c r="H9" s="1220"/>
    </row>
    <row r="10" spans="1:8">
      <c r="A10" s="770"/>
      <c r="B10" s="1232" t="s">
        <v>348</v>
      </c>
      <c r="C10" s="1236">
        <f>C11+C12+C13</f>
        <v>10666.618826999998</v>
      </c>
      <c r="D10" s="1234">
        <f>C10/C7</f>
        <v>0.66032871937624815</v>
      </c>
      <c r="E10" s="1234"/>
      <c r="F10" s="1235"/>
      <c r="G10" s="1237"/>
      <c r="H10" s="1220"/>
    </row>
    <row r="11" spans="1:8">
      <c r="A11" s="770"/>
      <c r="B11" s="1238" t="s">
        <v>824</v>
      </c>
      <c r="C11" s="1233">
        <v>738.70799999999997</v>
      </c>
      <c r="D11" s="1234"/>
      <c r="E11" s="1234">
        <f>C11/C10</f>
        <v>6.9254185602858245E-2</v>
      </c>
      <c r="F11" s="1235"/>
      <c r="G11" s="1220"/>
      <c r="H11" s="1220"/>
    </row>
    <row r="12" spans="1:8">
      <c r="A12" s="770"/>
      <c r="B12" s="1238" t="s">
        <v>823</v>
      </c>
      <c r="C12" s="1233">
        <v>458.86799999999999</v>
      </c>
      <c r="D12" s="1234"/>
      <c r="E12" s="1234">
        <f>C12/C10</f>
        <v>4.3019067939175371E-2</v>
      </c>
      <c r="F12" s="1235"/>
      <c r="G12" s="1237"/>
      <c r="H12" s="1220"/>
    </row>
    <row r="13" spans="1:8">
      <c r="A13" s="770"/>
      <c r="B13" s="1238" t="s">
        <v>350</v>
      </c>
      <c r="C13" s="1233">
        <v>9469.0428269999993</v>
      </c>
      <c r="D13" s="1234"/>
      <c r="E13" s="1234">
        <f>C13/C10</f>
        <v>0.88772674645796645</v>
      </c>
      <c r="F13" s="1235"/>
      <c r="G13" s="1237"/>
      <c r="H13" s="1220"/>
    </row>
    <row r="14" spans="1:8">
      <c r="A14" s="770"/>
      <c r="B14" s="1232"/>
      <c r="C14" s="1233"/>
      <c r="D14" s="1234"/>
      <c r="E14" s="1234"/>
      <c r="F14" s="1235"/>
      <c r="G14" s="1220"/>
      <c r="H14" s="1220"/>
    </row>
    <row r="15" spans="1:8">
      <c r="A15" s="770"/>
      <c r="B15" s="1232" t="s">
        <v>351</v>
      </c>
      <c r="C15" s="1236">
        <f>C16+C17</f>
        <v>5486.8794443999996</v>
      </c>
      <c r="D15" s="1234">
        <f>1-D10</f>
        <v>0.33967128062375185</v>
      </c>
      <c r="E15" s="1234"/>
      <c r="F15" s="1235"/>
      <c r="G15" s="1220"/>
      <c r="H15" s="1220"/>
    </row>
    <row r="16" spans="1:8">
      <c r="A16" s="770"/>
      <c r="B16" s="1238" t="s">
        <v>349</v>
      </c>
      <c r="C16" s="1233">
        <v>85.334000000000003</v>
      </c>
      <c r="D16" s="1234"/>
      <c r="E16" s="1234">
        <f>C16/C15</f>
        <v>1.555237377906914E-2</v>
      </c>
      <c r="F16" s="1235"/>
      <c r="G16" s="1220"/>
      <c r="H16" s="1220"/>
    </row>
    <row r="17" spans="1:8">
      <c r="A17" s="770"/>
      <c r="B17" s="1238" t="s">
        <v>350</v>
      </c>
      <c r="C17" s="1233">
        <v>5401.5454443999997</v>
      </c>
      <c r="D17" s="1234"/>
      <c r="E17" s="1234">
        <v>0.98036776756890898</v>
      </c>
      <c r="F17" s="1235"/>
      <c r="G17" s="1237"/>
      <c r="H17" s="1220"/>
    </row>
    <row r="18" spans="1:8">
      <c r="A18" s="770"/>
      <c r="B18" s="1239"/>
      <c r="C18" s="1233"/>
      <c r="D18" s="1234"/>
      <c r="E18" s="1234"/>
      <c r="F18" s="1235"/>
      <c r="G18" s="1220"/>
      <c r="H18" s="1220"/>
    </row>
    <row r="19" spans="1:8">
      <c r="A19" s="770"/>
      <c r="B19" s="1239" t="s">
        <v>352</v>
      </c>
      <c r="C19" s="1233"/>
      <c r="D19" s="1234"/>
      <c r="E19" s="1234"/>
      <c r="F19" s="1235"/>
      <c r="G19" s="1220"/>
      <c r="H19" s="1220"/>
    </row>
    <row r="20" spans="1:8">
      <c r="A20" s="770"/>
      <c r="B20" s="1232" t="s">
        <v>353</v>
      </c>
      <c r="C20" s="1236">
        <f>C21+C26</f>
        <v>61038.044799723983</v>
      </c>
      <c r="D20" s="1234">
        <v>1</v>
      </c>
      <c r="E20" s="1234"/>
      <c r="F20" s="1235"/>
      <c r="G20" s="1237"/>
      <c r="H20" s="1220"/>
    </row>
    <row r="21" spans="1:8">
      <c r="A21" s="770"/>
      <c r="B21" s="1232" t="s">
        <v>348</v>
      </c>
      <c r="C21" s="1236">
        <f>C22+C23+C24</f>
        <v>35784.260221599608</v>
      </c>
      <c r="D21" s="1234">
        <f>C21/C20</f>
        <v>0.58626157405620938</v>
      </c>
      <c r="E21" s="1234"/>
      <c r="F21" s="1235"/>
      <c r="G21" s="1240"/>
      <c r="H21" s="1220"/>
    </row>
    <row r="22" spans="1:8">
      <c r="A22" s="770"/>
      <c r="B22" s="1238" t="s">
        <v>824</v>
      </c>
      <c r="C22" s="1233">
        <v>421.30639734000005</v>
      </c>
      <c r="D22" s="1234"/>
      <c r="E22" s="1234">
        <f>C22/C21</f>
        <v>1.1773511446960047E-2</v>
      </c>
      <c r="F22" s="1235"/>
      <c r="G22" s="1220"/>
      <c r="H22" s="1220"/>
    </row>
    <row r="23" spans="1:8">
      <c r="A23" s="770"/>
      <c r="B23" s="1238" t="s">
        <v>823</v>
      </c>
      <c r="C23" s="1233">
        <v>2920.8225473649018</v>
      </c>
      <c r="D23" s="1234"/>
      <c r="E23" s="1234">
        <f>C23/C21</f>
        <v>8.1623108296140626E-2</v>
      </c>
      <c r="F23" s="1235"/>
      <c r="G23" s="1220"/>
      <c r="H23" s="1220"/>
    </row>
    <row r="24" spans="1:8">
      <c r="A24" s="770"/>
      <c r="B24" s="1238" t="s">
        <v>350</v>
      </c>
      <c r="C24" s="1233">
        <v>32442.13127689471</v>
      </c>
      <c r="D24" s="1234"/>
      <c r="E24" s="1234">
        <f>C24/C21</f>
        <v>0.90660338025689946</v>
      </c>
      <c r="F24" s="1235"/>
      <c r="G24" s="1237"/>
      <c r="H24" s="1220"/>
    </row>
    <row r="25" spans="1:8">
      <c r="A25" s="770"/>
      <c r="B25" s="1232"/>
      <c r="C25" s="1233"/>
      <c r="D25" s="1234"/>
      <c r="E25" s="1234"/>
      <c r="F25" s="1235"/>
      <c r="G25" s="1220"/>
      <c r="H25" s="1220"/>
    </row>
    <row r="26" spans="1:8">
      <c r="A26" s="770"/>
      <c r="B26" s="1232" t="s">
        <v>351</v>
      </c>
      <c r="C26" s="1236">
        <f>C27+C28</f>
        <v>25253.78457812437</v>
      </c>
      <c r="D26" s="1234">
        <f>1-D21</f>
        <v>0.41373842594379062</v>
      </c>
      <c r="E26" s="1234"/>
      <c r="F26" s="1235"/>
      <c r="G26" s="1220"/>
      <c r="H26" s="1220"/>
    </row>
    <row r="27" spans="1:8">
      <c r="A27" s="770"/>
      <c r="B27" s="1238" t="s">
        <v>349</v>
      </c>
      <c r="C27" s="1233">
        <v>375.45723099999998</v>
      </c>
      <c r="D27" s="1234"/>
      <c r="E27" s="1234">
        <f>C27/C26</f>
        <v>1.4867364922611755E-2</v>
      </c>
      <c r="F27" s="1235"/>
      <c r="G27" s="1220"/>
      <c r="H27" s="1220"/>
    </row>
    <row r="28" spans="1:8">
      <c r="A28" s="770"/>
      <c r="B28" s="1238" t="s">
        <v>350</v>
      </c>
      <c r="C28" s="1233">
        <v>24878.32734712437</v>
      </c>
      <c r="D28" s="1234"/>
      <c r="E28" s="1234">
        <f>C28/C26</f>
        <v>0.98513263507738824</v>
      </c>
      <c r="F28" s="1235"/>
      <c r="G28" s="1237"/>
      <c r="H28" s="1220"/>
    </row>
    <row r="29" spans="1:8">
      <c r="A29" s="770"/>
      <c r="B29" s="1241"/>
      <c r="C29" s="1233"/>
      <c r="D29" s="1234"/>
      <c r="E29" s="1234"/>
      <c r="F29" s="1235"/>
      <c r="G29" s="1220"/>
      <c r="H29" s="1220"/>
    </row>
    <row r="30" spans="1:8">
      <c r="A30" s="770"/>
      <c r="B30" s="1241" t="s">
        <v>696</v>
      </c>
      <c r="C30" s="1233"/>
      <c r="D30" s="1234"/>
      <c r="E30" s="1234"/>
      <c r="F30" s="1235"/>
      <c r="G30" s="1220"/>
      <c r="H30" s="1220"/>
    </row>
    <row r="31" spans="1:8">
      <c r="A31" s="770"/>
      <c r="B31" s="1241" t="s">
        <v>354</v>
      </c>
      <c r="C31" s="1233"/>
      <c r="D31" s="1242"/>
      <c r="E31" s="1234"/>
      <c r="F31" s="1235"/>
      <c r="G31" s="1220"/>
      <c r="H31" s="1220"/>
    </row>
    <row r="32" spans="1:8">
      <c r="A32" s="770"/>
      <c r="B32" s="1232" t="s">
        <v>355</v>
      </c>
      <c r="C32" s="1236">
        <f>SUM(C33:C37)</f>
        <v>344978.7742433502</v>
      </c>
      <c r="D32" s="1234">
        <v>1</v>
      </c>
      <c r="E32" s="1234"/>
      <c r="F32" s="1235"/>
      <c r="G32" s="1220"/>
      <c r="H32" s="1220"/>
    </row>
    <row r="33" spans="1:8">
      <c r="A33" s="770"/>
      <c r="B33" s="1232" t="s">
        <v>356</v>
      </c>
      <c r="C33" s="1233">
        <f>CUADRO4!I20</f>
        <v>48201.114386248504</v>
      </c>
      <c r="D33" s="1234">
        <f>C33/$C$32</f>
        <v>0.13972197127770863</v>
      </c>
      <c r="E33" s="1234"/>
      <c r="F33" s="1235"/>
      <c r="G33" s="1220"/>
      <c r="H33" s="1220"/>
    </row>
    <row r="34" spans="1:8">
      <c r="A34" s="770"/>
      <c r="B34" s="1232" t="s">
        <v>357</v>
      </c>
      <c r="C34" s="1233">
        <f>CUADRO4!I21+CUADRO4!I22+CUADRO4!I23</f>
        <v>50317.417133004245</v>
      </c>
      <c r="D34" s="1234">
        <f>C34/$C$32</f>
        <v>0.14585655956186458</v>
      </c>
      <c r="E34" s="1234"/>
      <c r="F34" s="1235"/>
      <c r="G34" s="1220"/>
      <c r="H34" s="1220"/>
    </row>
    <row r="35" spans="1:8">
      <c r="A35" s="770"/>
      <c r="B35" s="1243" t="s">
        <v>358</v>
      </c>
      <c r="C35" s="1233">
        <f>CUADRO4!I10</f>
        <v>162925.72631834444</v>
      </c>
      <c r="D35" s="1234">
        <f>C35/$C$32</f>
        <v>0.47227753845346904</v>
      </c>
      <c r="E35" s="1234"/>
      <c r="F35" s="1235"/>
      <c r="G35" s="1220"/>
      <c r="H35" s="1220"/>
    </row>
    <row r="36" spans="1:8">
      <c r="A36" s="770"/>
      <c r="B36" s="1243" t="s">
        <v>359</v>
      </c>
      <c r="C36" s="1233">
        <f>CUADRO4!I27+CUADRO4!I26+CUADRO4!I25+CUADRO4!I24</f>
        <v>32254.529196505388</v>
      </c>
      <c r="D36" s="1234">
        <f>C36/$C$32</f>
        <v>9.3497141287170432E-2</v>
      </c>
      <c r="E36" s="1234"/>
      <c r="F36" s="1235"/>
      <c r="G36" s="1220"/>
      <c r="H36" s="1220"/>
    </row>
    <row r="37" spans="1:8">
      <c r="A37" s="770"/>
      <c r="B37" s="1232" t="s">
        <v>360</v>
      </c>
      <c r="C37" s="1233">
        <f>CUADRO4!I28</f>
        <v>51279.987209247607</v>
      </c>
      <c r="D37" s="1234">
        <f>C37/$C$32</f>
        <v>0.14864678941978726</v>
      </c>
      <c r="E37" s="1234"/>
      <c r="F37" s="1235"/>
      <c r="G37" s="1220"/>
      <c r="H37" s="1220"/>
    </row>
    <row r="38" spans="1:8">
      <c r="A38" s="770"/>
      <c r="B38" s="1239"/>
      <c r="C38" s="1233"/>
      <c r="D38" s="1234"/>
      <c r="E38" s="1234"/>
      <c r="F38" s="1244"/>
      <c r="G38" s="1220"/>
      <c r="H38" s="1220"/>
    </row>
    <row r="39" spans="1:8">
      <c r="A39" s="770"/>
      <c r="B39" s="1239" t="s">
        <v>361</v>
      </c>
      <c r="C39" s="1233"/>
      <c r="D39" s="1234"/>
      <c r="E39" s="1234"/>
      <c r="F39" s="1235"/>
      <c r="G39" s="1220"/>
      <c r="H39" s="1220"/>
    </row>
    <row r="40" spans="1:8">
      <c r="A40" s="770"/>
      <c r="B40" s="1239" t="s">
        <v>362</v>
      </c>
      <c r="C40" s="1233"/>
      <c r="D40" s="1234"/>
      <c r="E40" s="1234"/>
      <c r="F40" s="1235"/>
      <c r="G40" s="1220"/>
      <c r="H40" s="1220"/>
    </row>
    <row r="41" spans="1:8">
      <c r="A41" s="770"/>
      <c r="B41" s="1239" t="s">
        <v>353</v>
      </c>
      <c r="C41" s="1236">
        <f>SUM(C42:C52)</f>
        <v>36592.062617794916</v>
      </c>
      <c r="D41" s="1242">
        <v>1</v>
      </c>
      <c r="E41" s="1234"/>
      <c r="F41" s="1235"/>
      <c r="G41" s="1220"/>
      <c r="H41" s="1220"/>
    </row>
    <row r="42" spans="1:8">
      <c r="A42" s="770"/>
      <c r="B42" s="1232" t="s">
        <v>248</v>
      </c>
      <c r="C42" s="1233">
        <f>CONS_U.FIS!L20</f>
        <v>507.94235397321836</v>
      </c>
      <c r="D42" s="1245">
        <f>C42/$C$41</f>
        <v>1.3881216789517715E-2</v>
      </c>
      <c r="E42" s="1234"/>
      <c r="F42" s="1246"/>
      <c r="G42" s="1129"/>
      <c r="H42" s="770"/>
    </row>
    <row r="43" spans="1:8">
      <c r="A43" s="770"/>
      <c r="B43" s="1232" t="s">
        <v>241</v>
      </c>
      <c r="C43" s="1233">
        <f>CONS_U.FIS!L14</f>
        <v>18544.613325032198</v>
      </c>
      <c r="D43" s="1245">
        <f t="shared" ref="D43:D52" si="0">C43/$C$41</f>
        <v>0.50679333162306772</v>
      </c>
      <c r="E43" s="1234"/>
      <c r="F43" s="1246"/>
      <c r="G43" s="1129"/>
      <c r="H43" s="770"/>
    </row>
    <row r="44" spans="1:8">
      <c r="A44" s="770"/>
      <c r="B44" s="1232" t="s">
        <v>245</v>
      </c>
      <c r="C44" s="1233">
        <f>CONS_U.FIS!L17</f>
        <v>5191.5433242886274</v>
      </c>
      <c r="D44" s="1245">
        <f t="shared" si="0"/>
        <v>0.14187621448166063</v>
      </c>
      <c r="E44" s="1234"/>
      <c r="F44" s="1246"/>
      <c r="G44" s="1129"/>
      <c r="H44" s="770"/>
    </row>
    <row r="45" spans="1:8">
      <c r="A45" s="770"/>
      <c r="B45" s="1232" t="s">
        <v>247</v>
      </c>
      <c r="C45" s="1233">
        <f>CONS_U.FIS!L19</f>
        <v>440.20406899999989</v>
      </c>
      <c r="D45" s="1245">
        <f t="shared" si="0"/>
        <v>1.2030042514901204E-2</v>
      </c>
      <c r="E45" s="1234"/>
      <c r="F45" s="1246"/>
      <c r="G45" s="1129"/>
      <c r="H45" s="770"/>
    </row>
    <row r="46" spans="1:8">
      <c r="A46" s="770"/>
      <c r="B46" s="1232" t="s">
        <v>246</v>
      </c>
      <c r="C46" s="1233">
        <f>CONS_U.FIS!L18</f>
        <v>512.48353499999985</v>
      </c>
      <c r="D46" s="1245">
        <f t="shared" si="0"/>
        <v>1.4005319687848817E-2</v>
      </c>
      <c r="E46" s="1234"/>
      <c r="F46" s="1246"/>
      <c r="G46" s="1129"/>
      <c r="H46" s="770"/>
    </row>
    <row r="47" spans="1:8">
      <c r="A47" s="770"/>
      <c r="B47" s="1232" t="s">
        <v>363</v>
      </c>
      <c r="C47" s="1233">
        <f>CONS_U.FIS!L21</f>
        <v>36.352421</v>
      </c>
      <c r="D47" s="1245">
        <f t="shared" si="0"/>
        <v>9.9345099454223231E-4</v>
      </c>
      <c r="E47" s="1234"/>
      <c r="F47" s="1246"/>
      <c r="G47" s="1129"/>
      <c r="H47" s="770"/>
    </row>
    <row r="48" spans="1:8">
      <c r="A48" s="770"/>
      <c r="B48" s="1232" t="s">
        <v>244</v>
      </c>
      <c r="C48" s="1233">
        <f>CONS_U.FIS!L16</f>
        <v>438.87916400000012</v>
      </c>
      <c r="D48" s="1245">
        <f t="shared" si="0"/>
        <v>1.1993835072488393E-2</v>
      </c>
      <c r="E48" s="1234"/>
      <c r="F48" s="1246"/>
      <c r="G48" s="1129"/>
      <c r="H48" s="770"/>
    </row>
    <row r="49" spans="1:8">
      <c r="A49" s="770"/>
      <c r="B49" s="1232" t="s">
        <v>250</v>
      </c>
      <c r="C49" s="1233">
        <f>CONS_U.FIS!L22</f>
        <v>162.94982800000005</v>
      </c>
      <c r="D49" s="1245">
        <f t="shared" si="0"/>
        <v>4.4531468395759876E-3</v>
      </c>
      <c r="E49" s="1234"/>
      <c r="F49" s="1246"/>
      <c r="G49" s="1129"/>
      <c r="H49" s="770"/>
    </row>
    <row r="50" spans="1:8">
      <c r="A50" s="770"/>
      <c r="B50" s="1232" t="s">
        <v>243</v>
      </c>
      <c r="C50" s="1233">
        <f>CONS_U.FIS!L15</f>
        <v>383.44522500000011</v>
      </c>
      <c r="D50" s="1245">
        <f t="shared" si="0"/>
        <v>1.0478918037638268E-2</v>
      </c>
      <c r="E50" s="1234"/>
      <c r="F50" s="1246"/>
      <c r="G50" s="1129"/>
      <c r="H50" s="770"/>
    </row>
    <row r="51" spans="1:8">
      <c r="A51" s="770"/>
      <c r="B51" s="1232" t="s">
        <v>251</v>
      </c>
      <c r="C51" s="1233">
        <f>CONS_U.FIS!L23</f>
        <v>8910.0429346814835</v>
      </c>
      <c r="D51" s="1245">
        <f t="shared" si="0"/>
        <v>0.24349660273997459</v>
      </c>
      <c r="E51" s="1234"/>
      <c r="F51" s="1246"/>
      <c r="G51" s="1129"/>
      <c r="H51" s="770"/>
    </row>
    <row r="52" spans="1:8">
      <c r="A52" s="770"/>
      <c r="B52" s="1232" t="s">
        <v>252</v>
      </c>
      <c r="C52" s="1233">
        <f>CONS_U.FIS!L24</f>
        <v>1463.6064378193812</v>
      </c>
      <c r="D52" s="1245">
        <f t="shared" si="0"/>
        <v>3.9997921218784246E-2</v>
      </c>
      <c r="E52" s="1234"/>
      <c r="F52" s="1246"/>
      <c r="G52" s="1129"/>
      <c r="H52" s="770"/>
    </row>
    <row r="53" spans="1:8">
      <c r="A53" s="770"/>
      <c r="B53" s="1239"/>
      <c r="C53" s="1233"/>
      <c r="D53" s="1234"/>
      <c r="E53" s="1234"/>
      <c r="F53" s="1247"/>
      <c r="G53" s="1240"/>
      <c r="H53" s="1220"/>
    </row>
    <row r="54" spans="1:8">
      <c r="A54" s="770"/>
      <c r="B54" s="1239" t="s">
        <v>364</v>
      </c>
      <c r="C54" s="1233"/>
      <c r="D54" s="1234"/>
      <c r="E54" s="1234"/>
      <c r="F54" s="1235"/>
      <c r="G54" s="1220"/>
      <c r="H54" s="1220"/>
    </row>
    <row r="55" spans="1:8">
      <c r="A55" s="770"/>
      <c r="B55" s="1248" t="s">
        <v>370</v>
      </c>
      <c r="C55" s="1233"/>
      <c r="D55" s="1234"/>
      <c r="E55" s="1234"/>
      <c r="F55" s="1235"/>
      <c r="G55" s="1220"/>
      <c r="H55" s="1220"/>
    </row>
    <row r="56" spans="1:8" ht="13.5" thickBot="1">
      <c r="A56" s="770"/>
      <c r="B56" s="1249" t="s">
        <v>365</v>
      </c>
      <c r="C56" s="1250">
        <f>(1000000000*C33/860)/16928873</f>
        <v>3310.7819655726853</v>
      </c>
      <c r="D56" s="1251"/>
      <c r="E56" s="1252"/>
      <c r="F56" s="1253"/>
      <c r="G56" s="1220"/>
      <c r="H56" s="1220"/>
    </row>
    <row r="57" spans="1:8">
      <c r="A57" s="770"/>
      <c r="B57" s="1220" t="s">
        <v>366</v>
      </c>
      <c r="C57" s="1254"/>
      <c r="D57" s="1254"/>
      <c r="E57" s="1254"/>
      <c r="F57" s="62"/>
      <c r="G57" s="62"/>
      <c r="H57" s="62"/>
    </row>
    <row r="58" spans="1:8">
      <c r="A58" s="770"/>
      <c r="B58" s="62" t="s">
        <v>826</v>
      </c>
      <c r="C58" s="207"/>
      <c r="D58" s="207"/>
      <c r="E58" s="207"/>
      <c r="F58" s="62"/>
      <c r="G58" s="62"/>
      <c r="H58" s="62"/>
    </row>
    <row r="59" spans="1:8">
      <c r="A59" s="770"/>
      <c r="B59" s="62" t="s">
        <v>367</v>
      </c>
      <c r="C59" s="207"/>
      <c r="D59" s="207"/>
      <c r="E59" s="207"/>
      <c r="F59" s="62"/>
      <c r="G59" s="62"/>
      <c r="H59" s="62"/>
    </row>
    <row r="60" spans="1:8">
      <c r="A60" s="770"/>
      <c r="B60" s="62" t="s">
        <v>825</v>
      </c>
      <c r="C60" s="207"/>
      <c r="D60" s="207"/>
      <c r="E60" s="207"/>
      <c r="F60" s="62"/>
      <c r="G60" s="62"/>
      <c r="H60" s="62"/>
    </row>
    <row r="61" spans="1:8">
      <c r="A61" s="770"/>
      <c r="B61" s="62" t="s">
        <v>827</v>
      </c>
      <c r="C61" s="207"/>
      <c r="D61" s="207"/>
      <c r="E61" s="207"/>
      <c r="F61" s="62"/>
      <c r="G61" s="62"/>
      <c r="H61" s="62"/>
    </row>
    <row r="62" spans="1:8">
      <c r="A62" s="770"/>
      <c r="B62" s="55" t="s">
        <v>368</v>
      </c>
      <c r="C62" s="207"/>
      <c r="D62" s="207"/>
      <c r="E62" s="207"/>
      <c r="F62" s="62"/>
      <c r="G62" s="62"/>
      <c r="H62" s="62"/>
    </row>
    <row r="63" spans="1:8">
      <c r="A63" s="770"/>
      <c r="B63" s="56" t="s">
        <v>763</v>
      </c>
      <c r="C63" s="207"/>
      <c r="D63" s="207"/>
      <c r="E63" s="207"/>
      <c r="F63" s="62"/>
      <c r="G63" s="62"/>
      <c r="H63" s="62"/>
    </row>
    <row r="64" spans="1:8">
      <c r="A64" s="770"/>
      <c r="B64" s="56" t="s">
        <v>764</v>
      </c>
      <c r="C64" s="207"/>
      <c r="D64" s="207"/>
      <c r="E64" s="207"/>
      <c r="F64" s="62"/>
      <c r="G64" s="62"/>
      <c r="H64" s="62"/>
    </row>
    <row r="65" spans="1:8">
      <c r="A65" s="770"/>
      <c r="B65" s="56" t="s">
        <v>369</v>
      </c>
      <c r="C65" s="1254"/>
      <c r="D65" s="1254"/>
      <c r="E65" s="1254"/>
      <c r="F65" s="1220"/>
      <c r="G65" s="1220"/>
      <c r="H65" s="1220"/>
    </row>
    <row r="66" spans="1:8">
      <c r="A66" s="770"/>
      <c r="B66" s="770"/>
      <c r="C66" s="770"/>
      <c r="D66" s="770"/>
      <c r="E66" s="770"/>
      <c r="F66" s="770"/>
      <c r="G66" s="770"/>
      <c r="H66" s="770"/>
    </row>
    <row r="67" spans="1:8">
      <c r="A67" s="770"/>
      <c r="B67" s="770"/>
      <c r="C67" s="770"/>
      <c r="D67" s="770"/>
      <c r="E67" s="770"/>
      <c r="F67" s="770"/>
      <c r="G67" s="770"/>
      <c r="H67" s="770"/>
    </row>
    <row r="68" spans="1:8">
      <c r="A68" s="770"/>
      <c r="B68" s="770"/>
      <c r="C68" s="770"/>
      <c r="D68" s="770"/>
      <c r="E68" s="770"/>
      <c r="F68" s="770"/>
      <c r="G68" s="770"/>
      <c r="H68" s="770"/>
    </row>
    <row r="69" spans="1:8">
      <c r="A69" s="770"/>
      <c r="B69" s="770"/>
      <c r="C69" s="770"/>
      <c r="D69" s="770"/>
      <c r="E69" s="770"/>
      <c r="F69" s="770"/>
      <c r="G69" s="770"/>
      <c r="H69" s="770"/>
    </row>
    <row r="70" spans="1:8">
      <c r="A70" s="770"/>
      <c r="B70" s="770"/>
      <c r="C70" s="770"/>
      <c r="D70" s="770"/>
      <c r="E70" s="770"/>
      <c r="F70" s="770"/>
      <c r="G70" s="770"/>
      <c r="H70" s="770"/>
    </row>
    <row r="71" spans="1:8">
      <c r="A71" s="770"/>
      <c r="B71" s="770"/>
      <c r="C71" s="770"/>
      <c r="D71" s="770"/>
      <c r="E71" s="770"/>
      <c r="F71" s="770"/>
      <c r="G71" s="770"/>
      <c r="H71" s="770"/>
    </row>
  </sheetData>
  <phoneticPr fontId="50" type="noConversion"/>
  <hyperlinks>
    <hyperlink ref="H2" location="INDICE!A80" display="VOLVER A INDICE"/>
  </hyperlinks>
  <pageMargins left="0.75" right="0.75" top="1" bottom="1" header="0" footer="0"/>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8"/>
  <sheetViews>
    <sheetView showGridLines="0" topLeftCell="A49" workbookViewId="0">
      <selection activeCell="J39" sqref="J39"/>
    </sheetView>
  </sheetViews>
  <sheetFormatPr baseColWidth="10" defaultRowHeight="12.75"/>
  <cols>
    <col min="1" max="1" width="2.85546875" customWidth="1"/>
    <col min="2" max="2" width="12.85546875" style="1386" customWidth="1"/>
    <col min="7" max="7" width="14.85546875" customWidth="1"/>
    <col min="8" max="8" width="16.5703125" customWidth="1"/>
  </cols>
  <sheetData>
    <row r="1" spans="1:10" ht="15.75">
      <c r="A1" s="880"/>
      <c r="B1" s="1370"/>
      <c r="C1" s="882"/>
      <c r="D1" s="882"/>
      <c r="E1" s="883"/>
      <c r="F1" s="882"/>
      <c r="G1" s="884" t="s">
        <v>606</v>
      </c>
      <c r="H1" s="885"/>
      <c r="I1" s="885"/>
      <c r="J1" s="556"/>
    </row>
    <row r="2" spans="1:10">
      <c r="A2" s="886"/>
      <c r="B2" s="1371"/>
      <c r="C2" s="885"/>
      <c r="D2" s="885"/>
      <c r="E2" s="556"/>
      <c r="F2" s="885"/>
      <c r="G2" s="885"/>
      <c r="H2" s="885"/>
      <c r="I2" s="885"/>
      <c r="J2" s="556"/>
    </row>
    <row r="3" spans="1:10">
      <c r="A3" s="886"/>
      <c r="B3" s="1372" t="s">
        <v>371</v>
      </c>
      <c r="C3" s="888"/>
      <c r="D3" s="888"/>
      <c r="E3" s="887"/>
      <c r="F3" s="889"/>
      <c r="G3" s="889"/>
      <c r="H3" s="889"/>
      <c r="I3" s="890"/>
      <c r="J3" s="891"/>
    </row>
    <row r="4" spans="1:10">
      <c r="A4" s="892"/>
      <c r="B4" s="1372" t="s">
        <v>372</v>
      </c>
      <c r="C4" s="888"/>
      <c r="D4" s="888"/>
      <c r="E4" s="887"/>
      <c r="F4" s="889"/>
      <c r="G4" s="889"/>
      <c r="H4" s="889"/>
      <c r="I4" s="890"/>
      <c r="J4" s="891"/>
    </row>
    <row r="5" spans="1:10" ht="13.5" thickBot="1">
      <c r="A5" s="892"/>
      <c r="B5" s="1373"/>
      <c r="C5" s="889"/>
      <c r="D5" s="889"/>
      <c r="E5" s="893"/>
      <c r="F5" s="889"/>
      <c r="G5" s="889"/>
      <c r="H5" s="889"/>
      <c r="I5" s="889"/>
      <c r="J5" s="891"/>
    </row>
    <row r="6" spans="1:10" ht="13.5" thickBot="1">
      <c r="A6" s="892"/>
      <c r="B6" s="1374"/>
      <c r="C6" s="925"/>
      <c r="D6" s="925"/>
      <c r="E6" s="926"/>
      <c r="F6" s="925"/>
      <c r="G6" s="925"/>
      <c r="H6" s="925"/>
      <c r="I6" s="927"/>
      <c r="J6" s="891"/>
    </row>
    <row r="7" spans="1:10">
      <c r="A7" s="892"/>
      <c r="B7" s="1375"/>
      <c r="C7" s="895" t="s">
        <v>373</v>
      </c>
      <c r="D7" s="896" t="s">
        <v>374</v>
      </c>
      <c r="E7" s="895" t="s">
        <v>375</v>
      </c>
      <c r="F7" s="896" t="s">
        <v>375</v>
      </c>
      <c r="G7" s="895" t="s">
        <v>28</v>
      </c>
      <c r="H7" s="896" t="s">
        <v>323</v>
      </c>
      <c r="I7" s="895" t="s">
        <v>376</v>
      </c>
      <c r="J7" s="897"/>
    </row>
    <row r="8" spans="1:10" ht="13.5" thickBot="1">
      <c r="A8" s="898"/>
      <c r="B8" s="1376"/>
      <c r="C8" s="900"/>
      <c r="D8" s="901"/>
      <c r="E8" s="902" t="s">
        <v>377</v>
      </c>
      <c r="F8" s="903" t="s">
        <v>378</v>
      </c>
      <c r="G8" s="902" t="s">
        <v>379</v>
      </c>
      <c r="H8" s="901"/>
      <c r="I8" s="900"/>
      <c r="J8" s="897"/>
    </row>
    <row r="9" spans="1:10" s="1368" customFormat="1">
      <c r="A9" s="1369"/>
      <c r="B9" s="1377">
        <v>1990</v>
      </c>
      <c r="C9" s="905" t="s">
        <v>380</v>
      </c>
      <c r="D9" s="904">
        <v>3195.1</v>
      </c>
      <c r="E9" s="905" t="s">
        <v>380</v>
      </c>
      <c r="F9" s="904">
        <v>45.5</v>
      </c>
      <c r="G9" s="905">
        <v>3240.6</v>
      </c>
      <c r="H9" s="904">
        <v>1185.4000000000001</v>
      </c>
      <c r="I9" s="905">
        <v>4426</v>
      </c>
      <c r="J9" s="1367"/>
    </row>
    <row r="10" spans="1:10">
      <c r="A10" s="907"/>
      <c r="B10" s="1378" t="s">
        <v>381</v>
      </c>
      <c r="C10" s="908"/>
      <c r="D10" s="909">
        <v>0.27400000000000002</v>
      </c>
      <c r="E10" s="910"/>
      <c r="F10" s="909">
        <v>1</v>
      </c>
      <c r="G10" s="908">
        <v>0.302587567244471</v>
      </c>
      <c r="H10" s="909">
        <v>0.91900000000000004</v>
      </c>
      <c r="I10" s="908">
        <v>0.45300000000000001</v>
      </c>
      <c r="J10" s="906"/>
    </row>
    <row r="11" spans="1:10">
      <c r="A11" s="907"/>
      <c r="B11" s="1378" t="s">
        <v>382</v>
      </c>
      <c r="C11" s="908"/>
      <c r="D11" s="909">
        <v>0.72599999999999998</v>
      </c>
      <c r="E11" s="911"/>
      <c r="F11" s="909" t="s">
        <v>383</v>
      </c>
      <c r="G11" s="908">
        <v>0.697412432755529</v>
      </c>
      <c r="H11" s="909">
        <v>8.1000000000000003E-2</v>
      </c>
      <c r="I11" s="908">
        <v>0.54700000000000004</v>
      </c>
      <c r="J11" s="906"/>
    </row>
    <row r="12" spans="1:10">
      <c r="A12" s="907"/>
      <c r="B12" s="1378"/>
      <c r="C12" s="912"/>
      <c r="D12" s="913"/>
      <c r="E12" s="914"/>
      <c r="F12" s="913"/>
      <c r="G12" s="912"/>
      <c r="H12" s="913"/>
      <c r="I12" s="912"/>
      <c r="J12" s="906"/>
    </row>
    <row r="13" spans="1:10" s="1368" customFormat="1">
      <c r="A13" s="1366"/>
      <c r="B13" s="1379">
        <v>1991</v>
      </c>
      <c r="C13" s="916" t="s">
        <v>380</v>
      </c>
      <c r="D13" s="915">
        <v>3831.1</v>
      </c>
      <c r="E13" s="916" t="s">
        <v>380</v>
      </c>
      <c r="F13" s="915">
        <v>45.5</v>
      </c>
      <c r="G13" s="916">
        <v>3876.6</v>
      </c>
      <c r="H13" s="915">
        <v>1208.4000000000001</v>
      </c>
      <c r="I13" s="916">
        <v>5085</v>
      </c>
      <c r="J13" s="1367"/>
    </row>
    <row r="14" spans="1:10">
      <c r="A14" s="907"/>
      <c r="B14" s="1378" t="s">
        <v>384</v>
      </c>
      <c r="C14" s="908"/>
      <c r="D14" s="909">
        <v>0.223</v>
      </c>
      <c r="E14" s="910"/>
      <c r="F14" s="909">
        <v>1</v>
      </c>
      <c r="G14" s="908">
        <v>0.24829984932194876</v>
      </c>
      <c r="H14" s="909">
        <v>0.92</v>
      </c>
      <c r="I14" s="908">
        <v>0.39400000000000002</v>
      </c>
      <c r="J14" s="906"/>
    </row>
    <row r="15" spans="1:10">
      <c r="A15" s="907"/>
      <c r="B15" s="1378" t="s">
        <v>385</v>
      </c>
      <c r="C15" s="908"/>
      <c r="D15" s="909">
        <v>0.77700000000000002</v>
      </c>
      <c r="E15" s="910"/>
      <c r="F15" s="909" t="s">
        <v>383</v>
      </c>
      <c r="G15" s="908">
        <v>0.75170015067805129</v>
      </c>
      <c r="H15" s="909">
        <v>0.08</v>
      </c>
      <c r="I15" s="908">
        <v>0.60599999999999998</v>
      </c>
      <c r="J15" s="906"/>
    </row>
    <row r="16" spans="1:10">
      <c r="A16" s="907"/>
      <c r="B16" s="1378"/>
      <c r="C16" s="912"/>
      <c r="D16" s="913"/>
      <c r="E16" s="914"/>
      <c r="F16" s="913"/>
      <c r="G16" s="912"/>
      <c r="H16" s="913"/>
      <c r="I16" s="912"/>
      <c r="J16" s="906"/>
    </row>
    <row r="17" spans="1:10" s="1368" customFormat="1">
      <c r="A17" s="1366"/>
      <c r="B17" s="1379">
        <v>1992</v>
      </c>
      <c r="C17" s="916" t="s">
        <v>380</v>
      </c>
      <c r="D17" s="915">
        <v>3831.1</v>
      </c>
      <c r="E17" s="916" t="s">
        <v>380</v>
      </c>
      <c r="F17" s="915">
        <v>46.4</v>
      </c>
      <c r="G17" s="916">
        <v>3877.5</v>
      </c>
      <c r="H17" s="915">
        <v>1317.5</v>
      </c>
      <c r="I17" s="916">
        <v>5195</v>
      </c>
      <c r="J17" s="1367"/>
    </row>
    <row r="18" spans="1:10">
      <c r="A18" s="907"/>
      <c r="B18" s="1379" t="s">
        <v>384</v>
      </c>
      <c r="C18" s="908"/>
      <c r="D18" s="909">
        <v>0.218</v>
      </c>
      <c r="E18" s="910"/>
      <c r="F18" s="909">
        <v>1</v>
      </c>
      <c r="G18" s="908">
        <v>0.2451202913108991</v>
      </c>
      <c r="H18" s="909">
        <v>0.91700000000000004</v>
      </c>
      <c r="I18" s="908">
        <v>0.40200000000000002</v>
      </c>
      <c r="J18" s="906"/>
    </row>
    <row r="19" spans="1:10">
      <c r="A19" s="907"/>
      <c r="B19" s="1379" t="s">
        <v>385</v>
      </c>
      <c r="C19" s="908"/>
      <c r="D19" s="909">
        <v>0.78200000000000003</v>
      </c>
      <c r="E19" s="910"/>
      <c r="F19" s="909" t="s">
        <v>383</v>
      </c>
      <c r="G19" s="908">
        <v>0.75487970868910081</v>
      </c>
      <c r="H19" s="909">
        <v>8.3000000000000004E-2</v>
      </c>
      <c r="I19" s="908">
        <v>0.59799999999999998</v>
      </c>
      <c r="J19" s="906"/>
    </row>
    <row r="20" spans="1:10">
      <c r="A20" s="907"/>
      <c r="B20" s="1379"/>
      <c r="C20" s="912"/>
      <c r="D20" s="913"/>
      <c r="E20" s="914"/>
      <c r="F20" s="913"/>
      <c r="G20" s="912"/>
      <c r="H20" s="913"/>
      <c r="I20" s="912"/>
      <c r="J20" s="906"/>
    </row>
    <row r="21" spans="1:10" s="1368" customFormat="1">
      <c r="A21" s="1366"/>
      <c r="B21" s="1379">
        <v>1993</v>
      </c>
      <c r="C21" s="916">
        <v>799.1</v>
      </c>
      <c r="D21" s="915">
        <v>3889.9</v>
      </c>
      <c r="E21" s="916" t="s">
        <v>380</v>
      </c>
      <c r="F21" s="915">
        <v>46.4</v>
      </c>
      <c r="G21" s="916">
        <v>4735.3999999999996</v>
      </c>
      <c r="H21" s="915">
        <v>668.6</v>
      </c>
      <c r="I21" s="916">
        <v>5404</v>
      </c>
      <c r="J21" s="1367"/>
    </row>
    <row r="22" spans="1:10">
      <c r="A22" s="907"/>
      <c r="B22" s="1379" t="s">
        <v>384</v>
      </c>
      <c r="C22" s="908">
        <v>0.94399999999999995</v>
      </c>
      <c r="D22" s="909">
        <v>0.19600000000000001</v>
      </c>
      <c r="E22" s="910"/>
      <c r="F22" s="909">
        <v>1</v>
      </c>
      <c r="G22" s="908">
        <v>0.32762831858407077</v>
      </c>
      <c r="H22" s="909">
        <v>0.92200000000000004</v>
      </c>
      <c r="I22" s="908">
        <v>0.4</v>
      </c>
      <c r="J22" s="906"/>
    </row>
    <row r="23" spans="1:10">
      <c r="A23" s="907"/>
      <c r="B23" s="1379" t="s">
        <v>385</v>
      </c>
      <c r="C23" s="908">
        <v>5.6000000000000001E-2</v>
      </c>
      <c r="D23" s="909">
        <v>0.80400000000000005</v>
      </c>
      <c r="E23" s="910"/>
      <c r="F23" s="909" t="s">
        <v>383</v>
      </c>
      <c r="G23" s="908">
        <v>0.67237168141592918</v>
      </c>
      <c r="H23" s="909">
        <v>7.8E-2</v>
      </c>
      <c r="I23" s="908">
        <v>0.6</v>
      </c>
      <c r="J23" s="906"/>
    </row>
    <row r="24" spans="1:10">
      <c r="A24" s="907"/>
      <c r="B24" s="1379"/>
      <c r="C24" s="912"/>
      <c r="D24" s="913"/>
      <c r="E24" s="914"/>
      <c r="F24" s="913"/>
      <c r="G24" s="912"/>
      <c r="H24" s="913"/>
      <c r="I24" s="912"/>
      <c r="J24" s="906"/>
    </row>
    <row r="25" spans="1:10" s="1368" customFormat="1">
      <c r="A25" s="1366"/>
      <c r="B25" s="1379">
        <v>1994</v>
      </c>
      <c r="C25" s="916">
        <v>799.1</v>
      </c>
      <c r="D25" s="915">
        <v>3893.4</v>
      </c>
      <c r="E25" s="916" t="s">
        <v>380</v>
      </c>
      <c r="F25" s="915">
        <v>49.3</v>
      </c>
      <c r="G25" s="916">
        <v>4741.8</v>
      </c>
      <c r="H25" s="915">
        <v>693.2</v>
      </c>
      <c r="I25" s="916">
        <v>5435</v>
      </c>
      <c r="J25" s="1367"/>
    </row>
    <row r="26" spans="1:10">
      <c r="A26" s="907"/>
      <c r="B26" s="1379" t="s">
        <v>384</v>
      </c>
      <c r="C26" s="908">
        <v>0.98699999999999999</v>
      </c>
      <c r="D26" s="909">
        <v>0.19</v>
      </c>
      <c r="E26" s="910"/>
      <c r="F26" s="909">
        <v>1</v>
      </c>
      <c r="G26" s="908">
        <v>0.33217213804713802</v>
      </c>
      <c r="H26" s="909">
        <v>0.85599999999999998</v>
      </c>
      <c r="I26" s="908">
        <v>0.39800000000000002</v>
      </c>
      <c r="J26" s="906"/>
    </row>
    <row r="27" spans="1:10">
      <c r="A27" s="907"/>
      <c r="B27" s="1379" t="s">
        <v>385</v>
      </c>
      <c r="C27" s="908">
        <v>1.2999999999999999E-2</v>
      </c>
      <c r="D27" s="909">
        <v>0.81</v>
      </c>
      <c r="E27" s="910"/>
      <c r="F27" s="909" t="s">
        <v>383</v>
      </c>
      <c r="G27" s="908">
        <v>0.66782786195286192</v>
      </c>
      <c r="H27" s="909">
        <v>0.14399999999999999</v>
      </c>
      <c r="I27" s="908">
        <v>0.60199999999999998</v>
      </c>
      <c r="J27" s="906"/>
    </row>
    <row r="28" spans="1:10">
      <c r="A28" s="907"/>
      <c r="B28" s="1379"/>
      <c r="C28" s="912"/>
      <c r="D28" s="913"/>
      <c r="E28" s="914"/>
      <c r="F28" s="913"/>
      <c r="G28" s="912"/>
      <c r="H28" s="913"/>
      <c r="I28" s="912"/>
      <c r="J28" s="906"/>
    </row>
    <row r="29" spans="1:10" s="1368" customFormat="1">
      <c r="A29" s="1366"/>
      <c r="B29" s="1379">
        <v>1995</v>
      </c>
      <c r="C29" s="916">
        <v>1156.9000000000001</v>
      </c>
      <c r="D29" s="915">
        <v>4083.6</v>
      </c>
      <c r="E29" s="916" t="s">
        <v>380</v>
      </c>
      <c r="F29" s="915">
        <v>49.3</v>
      </c>
      <c r="G29" s="916">
        <v>5289.8</v>
      </c>
      <c r="H29" s="915">
        <v>659.2</v>
      </c>
      <c r="I29" s="916">
        <v>5949</v>
      </c>
      <c r="J29" s="1367"/>
    </row>
    <row r="30" spans="1:10">
      <c r="A30" s="907"/>
      <c r="B30" s="1379" t="s">
        <v>384</v>
      </c>
      <c r="C30" s="908">
        <v>0.98799999999999999</v>
      </c>
      <c r="D30" s="909">
        <v>0.224</v>
      </c>
      <c r="E30" s="910"/>
      <c r="F30" s="909">
        <v>1</v>
      </c>
      <c r="G30" s="908">
        <v>0.39807548594074355</v>
      </c>
      <c r="H30" s="909">
        <v>0.85499999999999998</v>
      </c>
      <c r="I30" s="908">
        <v>0.44800000000000001</v>
      </c>
      <c r="J30" s="906"/>
    </row>
    <row r="31" spans="1:10">
      <c r="A31" s="907"/>
      <c r="B31" s="1379" t="s">
        <v>385</v>
      </c>
      <c r="C31" s="908">
        <v>1.2E-2</v>
      </c>
      <c r="D31" s="909">
        <v>0.77600000000000002</v>
      </c>
      <c r="E31" s="910"/>
      <c r="F31" s="909" t="s">
        <v>383</v>
      </c>
      <c r="G31" s="908">
        <v>0.60192451405925651</v>
      </c>
      <c r="H31" s="909">
        <v>0.14499999999999999</v>
      </c>
      <c r="I31" s="908">
        <v>0.55200000000000005</v>
      </c>
      <c r="J31" s="906"/>
    </row>
    <row r="32" spans="1:10">
      <c r="A32" s="907"/>
      <c r="B32" s="1379"/>
      <c r="C32" s="912"/>
      <c r="D32" s="913"/>
      <c r="E32" s="914"/>
      <c r="F32" s="913"/>
      <c r="G32" s="912"/>
      <c r="H32" s="913"/>
      <c r="I32" s="912"/>
      <c r="J32" s="906"/>
    </row>
    <row r="33" spans="1:10" s="1368" customFormat="1">
      <c r="A33" s="1366"/>
      <c r="B33" s="1379">
        <v>1996</v>
      </c>
      <c r="C33" s="916">
        <v>1159.5999999999999</v>
      </c>
      <c r="D33" s="915">
        <v>4858.5</v>
      </c>
      <c r="E33" s="916" t="s">
        <v>380</v>
      </c>
      <c r="F33" s="915">
        <v>60.2</v>
      </c>
      <c r="G33" s="916">
        <v>6078.3</v>
      </c>
      <c r="H33" s="915">
        <v>631.70000000000005</v>
      </c>
      <c r="I33" s="916">
        <v>6710</v>
      </c>
      <c r="J33" s="1367"/>
    </row>
    <row r="34" spans="1:10">
      <c r="A34" s="907"/>
      <c r="B34" s="1378" t="s">
        <v>384</v>
      </c>
      <c r="C34" s="908">
        <v>0.98799999999999999</v>
      </c>
      <c r="D34" s="909">
        <v>0.245</v>
      </c>
      <c r="E34" s="910"/>
      <c r="F34" s="909">
        <v>1</v>
      </c>
      <c r="G34" s="908">
        <v>0.39500114961405813</v>
      </c>
      <c r="H34" s="909">
        <v>0.83799999999999997</v>
      </c>
      <c r="I34" s="908">
        <v>0.436</v>
      </c>
      <c r="J34" s="906"/>
    </row>
    <row r="35" spans="1:10">
      <c r="A35" s="907"/>
      <c r="B35" s="1378" t="s">
        <v>385</v>
      </c>
      <c r="C35" s="908">
        <v>1.2E-2</v>
      </c>
      <c r="D35" s="909">
        <v>0.755</v>
      </c>
      <c r="E35" s="910"/>
      <c r="F35" s="909" t="s">
        <v>383</v>
      </c>
      <c r="G35" s="908">
        <v>0.60499885038594192</v>
      </c>
      <c r="H35" s="909">
        <v>0.16200000000000001</v>
      </c>
      <c r="I35" s="908">
        <v>0.56399999999999995</v>
      </c>
      <c r="J35" s="906"/>
    </row>
    <row r="36" spans="1:10">
      <c r="A36" s="907"/>
      <c r="B36" s="1378"/>
      <c r="C36" s="912"/>
      <c r="D36" s="913"/>
      <c r="E36" s="914"/>
      <c r="F36" s="913"/>
      <c r="G36" s="912"/>
      <c r="H36" s="913"/>
      <c r="I36" s="912"/>
      <c r="J36" s="906"/>
    </row>
    <row r="37" spans="1:10" s="1368" customFormat="1">
      <c r="A37" s="1366"/>
      <c r="B37" s="1379">
        <v>1997</v>
      </c>
      <c r="C37" s="916">
        <v>1276.9000000000001</v>
      </c>
      <c r="D37" s="915">
        <v>5266.8</v>
      </c>
      <c r="E37" s="916" t="s">
        <v>380</v>
      </c>
      <c r="F37" s="915">
        <v>60.2</v>
      </c>
      <c r="G37" s="916">
        <v>6603.9</v>
      </c>
      <c r="H37" s="915">
        <v>668.1</v>
      </c>
      <c r="I37" s="916">
        <v>7272</v>
      </c>
      <c r="J37" s="1367"/>
    </row>
    <row r="38" spans="1:10">
      <c r="A38" s="907"/>
      <c r="B38" s="1379" t="s">
        <v>384</v>
      </c>
      <c r="C38" s="908">
        <v>0.99</v>
      </c>
      <c r="D38" s="909">
        <v>0.29699999999999999</v>
      </c>
      <c r="E38" s="910"/>
      <c r="F38" s="909">
        <v>1</v>
      </c>
      <c r="G38" s="908">
        <v>0.43701571946795642</v>
      </c>
      <c r="H38" s="909">
        <v>0.84699999999999998</v>
      </c>
      <c r="I38" s="908">
        <v>0.47399999999999998</v>
      </c>
      <c r="J38" s="906"/>
    </row>
    <row r="39" spans="1:10">
      <c r="A39" s="907"/>
      <c r="B39" s="1379" t="s">
        <v>385</v>
      </c>
      <c r="C39" s="908">
        <v>0.01</v>
      </c>
      <c r="D39" s="909">
        <v>0.70299999999999996</v>
      </c>
      <c r="E39" s="910"/>
      <c r="F39" s="909" t="s">
        <v>383</v>
      </c>
      <c r="G39" s="908">
        <v>0.56298428053204352</v>
      </c>
      <c r="H39" s="909">
        <v>0.153</v>
      </c>
      <c r="I39" s="908">
        <v>0.52600000000000002</v>
      </c>
      <c r="J39" s="906"/>
    </row>
    <row r="40" spans="1:10">
      <c r="A40" s="907"/>
      <c r="B40" s="1379"/>
      <c r="C40" s="912"/>
      <c r="D40" s="913"/>
      <c r="E40" s="914"/>
      <c r="F40" s="913"/>
      <c r="G40" s="912"/>
      <c r="H40" s="913"/>
      <c r="I40" s="912"/>
      <c r="J40" s="906"/>
    </row>
    <row r="41" spans="1:10" s="1368" customFormat="1">
      <c r="A41" s="1366"/>
      <c r="B41" s="1379">
        <v>1998</v>
      </c>
      <c r="C41" s="916">
        <v>1475.7</v>
      </c>
      <c r="D41" s="915">
        <v>6242.4</v>
      </c>
      <c r="E41" s="916">
        <v>16.2</v>
      </c>
      <c r="F41" s="915">
        <v>64.5</v>
      </c>
      <c r="G41" s="916">
        <v>7798.8</v>
      </c>
      <c r="H41" s="915">
        <v>616.20000000000005</v>
      </c>
      <c r="I41" s="916">
        <v>8415</v>
      </c>
      <c r="J41" s="1367"/>
    </row>
    <row r="42" spans="1:10">
      <c r="A42" s="907"/>
      <c r="B42" s="1379" t="s">
        <v>384</v>
      </c>
      <c r="C42" s="908">
        <v>0.99099999999999999</v>
      </c>
      <c r="D42" s="909">
        <v>0.377</v>
      </c>
      <c r="E42" s="908">
        <v>0.66700000000000004</v>
      </c>
      <c r="F42" s="909">
        <v>1</v>
      </c>
      <c r="G42" s="908">
        <v>0.49849672783267035</v>
      </c>
      <c r="H42" s="909">
        <v>0.83</v>
      </c>
      <c r="I42" s="908">
        <v>0.52300000000000002</v>
      </c>
      <c r="J42" s="906"/>
    </row>
    <row r="43" spans="1:10">
      <c r="A43" s="907"/>
      <c r="B43" s="1379" t="s">
        <v>385</v>
      </c>
      <c r="C43" s="908">
        <v>8.9999999999999993E-3</v>
      </c>
      <c r="D43" s="909">
        <v>0.623</v>
      </c>
      <c r="E43" s="908">
        <v>0.33300000000000002</v>
      </c>
      <c r="F43" s="909" t="s">
        <v>383</v>
      </c>
      <c r="G43" s="908">
        <v>0.50150327216732971</v>
      </c>
      <c r="H43" s="909">
        <v>0.17</v>
      </c>
      <c r="I43" s="908">
        <v>0.47699999999999998</v>
      </c>
      <c r="J43" s="906"/>
    </row>
    <row r="44" spans="1:10">
      <c r="A44" s="907"/>
      <c r="B44" s="1379"/>
      <c r="C44" s="908"/>
      <c r="D44" s="909"/>
      <c r="E44" s="908"/>
      <c r="F44" s="909"/>
      <c r="G44" s="908"/>
      <c r="H44" s="909"/>
      <c r="I44" s="908"/>
      <c r="J44" s="906"/>
    </row>
    <row r="45" spans="1:10" s="1368" customFormat="1">
      <c r="A45" s="1366"/>
      <c r="B45" s="1379">
        <v>1999</v>
      </c>
      <c r="C45" s="916">
        <v>2637.3</v>
      </c>
      <c r="D45" s="915">
        <v>6695.1</v>
      </c>
      <c r="E45" s="916">
        <v>17.8</v>
      </c>
      <c r="F45" s="915">
        <v>64.5</v>
      </c>
      <c r="G45" s="916">
        <v>9414.7000000000007</v>
      </c>
      <c r="H45" s="915">
        <v>605.29999999999995</v>
      </c>
      <c r="I45" s="916">
        <v>10020</v>
      </c>
      <c r="J45" s="1367"/>
    </row>
    <row r="46" spans="1:10">
      <c r="A46" s="907"/>
      <c r="B46" s="1379" t="s">
        <v>386</v>
      </c>
      <c r="C46" s="908">
        <v>0.995</v>
      </c>
      <c r="D46" s="909">
        <v>0.41699999999999998</v>
      </c>
      <c r="E46" s="908">
        <v>0.67</v>
      </c>
      <c r="F46" s="909">
        <v>1</v>
      </c>
      <c r="G46" s="908">
        <v>0.57957073015198224</v>
      </c>
      <c r="H46" s="909">
        <v>0.84899999999999998</v>
      </c>
      <c r="I46" s="908">
        <v>0.59599999999999997</v>
      </c>
      <c r="J46" s="906"/>
    </row>
    <row r="47" spans="1:10">
      <c r="A47" s="907"/>
      <c r="B47" s="1379" t="s">
        <v>385</v>
      </c>
      <c r="C47" s="908">
        <v>5.0000000000000001E-3</v>
      </c>
      <c r="D47" s="909">
        <v>0.58299999999999996</v>
      </c>
      <c r="E47" s="908">
        <v>0.33</v>
      </c>
      <c r="F47" s="909" t="s">
        <v>383</v>
      </c>
      <c r="G47" s="908">
        <v>0.42042926984801787</v>
      </c>
      <c r="H47" s="909">
        <v>0.151</v>
      </c>
      <c r="I47" s="908">
        <v>0.40400000000000003</v>
      </c>
      <c r="J47" s="906"/>
    </row>
    <row r="48" spans="1:10">
      <c r="A48" s="907"/>
      <c r="B48" s="1379"/>
      <c r="C48" s="908"/>
      <c r="D48" s="909"/>
      <c r="E48" s="908"/>
      <c r="F48" s="909"/>
      <c r="G48" s="908"/>
      <c r="H48" s="909"/>
      <c r="I48" s="908"/>
      <c r="J48" s="906"/>
    </row>
    <row r="49" spans="1:10" s="1368" customFormat="1">
      <c r="A49" s="1366"/>
      <c r="B49" s="1379">
        <v>2000</v>
      </c>
      <c r="C49" s="916">
        <v>3040.9</v>
      </c>
      <c r="D49" s="915">
        <v>6652.8</v>
      </c>
      <c r="E49" s="916">
        <v>20.100000000000001</v>
      </c>
      <c r="F49" s="915">
        <v>64.5</v>
      </c>
      <c r="G49" s="916">
        <v>9778.2999999999993</v>
      </c>
      <c r="H49" s="915">
        <v>591.70000000000005</v>
      </c>
      <c r="I49" s="916">
        <v>10370</v>
      </c>
      <c r="J49" s="1367"/>
    </row>
    <row r="50" spans="1:10">
      <c r="A50" s="907"/>
      <c r="B50" s="1379" t="s">
        <v>386</v>
      </c>
      <c r="C50" s="908">
        <v>0.996</v>
      </c>
      <c r="D50" s="909">
        <v>0.4</v>
      </c>
      <c r="E50" s="908">
        <v>0.76300000000000001</v>
      </c>
      <c r="F50" s="909">
        <v>1</v>
      </c>
      <c r="G50" s="908">
        <v>0.58600128927953832</v>
      </c>
      <c r="H50" s="909">
        <v>0.86399999999999999</v>
      </c>
      <c r="I50" s="908">
        <v>0.60199999999999998</v>
      </c>
      <c r="J50" s="906"/>
    </row>
    <row r="51" spans="1:10">
      <c r="A51" s="907"/>
      <c r="B51" s="1379" t="s">
        <v>385</v>
      </c>
      <c r="C51" s="908">
        <v>4.0000000000000001E-3</v>
      </c>
      <c r="D51" s="909">
        <v>0.6</v>
      </c>
      <c r="E51" s="908">
        <v>0.23699999999999999</v>
      </c>
      <c r="F51" s="909" t="s">
        <v>383</v>
      </c>
      <c r="G51" s="908">
        <v>0.41400894309774994</v>
      </c>
      <c r="H51" s="909">
        <v>0.13600000000000001</v>
      </c>
      <c r="I51" s="908">
        <v>0.39800000000000002</v>
      </c>
      <c r="J51" s="906"/>
    </row>
    <row r="52" spans="1:10">
      <c r="A52" s="907"/>
      <c r="B52" s="1379"/>
      <c r="C52" s="908"/>
      <c r="D52" s="909"/>
      <c r="E52" s="908"/>
      <c r="F52" s="909"/>
      <c r="G52" s="908"/>
      <c r="H52" s="909"/>
      <c r="I52" s="908"/>
      <c r="J52" s="906"/>
    </row>
    <row r="53" spans="1:10" s="1368" customFormat="1">
      <c r="A53" s="1366"/>
      <c r="B53" s="1379">
        <v>2001</v>
      </c>
      <c r="C53" s="916">
        <v>3440.9</v>
      </c>
      <c r="D53" s="915">
        <v>6579.2</v>
      </c>
      <c r="E53" s="916">
        <v>22.9</v>
      </c>
      <c r="F53" s="915">
        <v>64.5</v>
      </c>
      <c r="G53" s="916">
        <v>10107.5</v>
      </c>
      <c r="H53" s="915">
        <v>796.5</v>
      </c>
      <c r="I53" s="916">
        <v>10904</v>
      </c>
      <c r="J53" s="1367"/>
    </row>
    <row r="54" spans="1:10">
      <c r="A54" s="907"/>
      <c r="B54" s="1379" t="s">
        <v>386</v>
      </c>
      <c r="C54" s="908">
        <v>0.996</v>
      </c>
      <c r="D54" s="909">
        <v>0.38700000000000001</v>
      </c>
      <c r="E54" s="908">
        <v>0.73099999999999998</v>
      </c>
      <c r="F54" s="909">
        <v>1</v>
      </c>
      <c r="G54" s="908">
        <v>0.60008176796673918</v>
      </c>
      <c r="H54" s="909">
        <v>0.89900000000000002</v>
      </c>
      <c r="I54" s="908">
        <v>0.6220675</v>
      </c>
      <c r="J54" s="906"/>
    </row>
    <row r="55" spans="1:10">
      <c r="A55" s="907"/>
      <c r="B55" s="1379" t="s">
        <v>385</v>
      </c>
      <c r="C55" s="908">
        <v>4.0000000000000001E-3</v>
      </c>
      <c r="D55" s="909">
        <v>0.61299999999999999</v>
      </c>
      <c r="E55" s="908">
        <v>0.26900000000000002</v>
      </c>
      <c r="F55" s="909" t="s">
        <v>383</v>
      </c>
      <c r="G55" s="908">
        <v>0.39991823203326077</v>
      </c>
      <c r="H55" s="909">
        <v>0.10100000000000001</v>
      </c>
      <c r="I55" s="908">
        <v>0.3779325</v>
      </c>
      <c r="J55" s="906"/>
    </row>
    <row r="56" spans="1:10">
      <c r="A56" s="907"/>
      <c r="B56" s="1379"/>
      <c r="C56" s="908"/>
      <c r="D56" s="909"/>
      <c r="E56" s="908"/>
      <c r="F56" s="909"/>
      <c r="G56" s="908"/>
      <c r="H56" s="909"/>
      <c r="I56" s="908"/>
      <c r="J56" s="906"/>
    </row>
    <row r="57" spans="1:10" s="1368" customFormat="1">
      <c r="A57" s="1366"/>
      <c r="B57" s="1379">
        <v>2002</v>
      </c>
      <c r="C57" s="916">
        <v>3633.2</v>
      </c>
      <c r="D57" s="915">
        <v>6737.2</v>
      </c>
      <c r="E57" s="916">
        <v>22.6</v>
      </c>
      <c r="F57" s="915">
        <v>64.5</v>
      </c>
      <c r="G57" s="916">
        <v>10457.5</v>
      </c>
      <c r="H57" s="915">
        <v>678.5</v>
      </c>
      <c r="I57" s="916">
        <v>11136</v>
      </c>
      <c r="J57" s="1367"/>
    </row>
    <row r="58" spans="1:10">
      <c r="A58" s="907"/>
      <c r="B58" s="1379" t="s">
        <v>386</v>
      </c>
      <c r="C58" s="908">
        <v>0.996</v>
      </c>
      <c r="D58" s="909">
        <v>0.38800000000000001</v>
      </c>
      <c r="E58" s="908">
        <v>0.58199999999999996</v>
      </c>
      <c r="F58" s="909">
        <v>1</v>
      </c>
      <c r="G58" s="908">
        <v>0.61006597474167612</v>
      </c>
      <c r="H58" s="909">
        <v>0.89900000000000002</v>
      </c>
      <c r="I58" s="908">
        <v>0.62781299999999995</v>
      </c>
      <c r="J58" s="906"/>
    </row>
    <row r="59" spans="1:10">
      <c r="A59" s="907"/>
      <c r="B59" s="1379" t="s">
        <v>385</v>
      </c>
      <c r="C59" s="908">
        <v>4.0000000000000001E-3</v>
      </c>
      <c r="D59" s="909">
        <v>0.61199999999999999</v>
      </c>
      <c r="E59" s="908">
        <v>0.41799999999999998</v>
      </c>
      <c r="F59" s="909" t="s">
        <v>383</v>
      </c>
      <c r="G59" s="908">
        <v>0.38993402525832382</v>
      </c>
      <c r="H59" s="909">
        <v>0.10100000000000001</v>
      </c>
      <c r="I59" s="908">
        <v>0.37218699999999999</v>
      </c>
      <c r="J59" s="906"/>
    </row>
    <row r="60" spans="1:10">
      <c r="A60" s="907"/>
      <c r="B60" s="1379"/>
      <c r="C60" s="908"/>
      <c r="D60" s="909"/>
      <c r="E60" s="908"/>
      <c r="F60" s="909"/>
      <c r="G60" s="908"/>
      <c r="H60" s="909"/>
      <c r="I60" s="908"/>
      <c r="J60" s="906"/>
    </row>
    <row r="61" spans="1:10" s="1368" customFormat="1">
      <c r="A61" s="1366"/>
      <c r="B61" s="1379">
        <v>2003</v>
      </c>
      <c r="C61" s="916">
        <v>3640.7</v>
      </c>
      <c r="D61" s="915">
        <v>6996.2</v>
      </c>
      <c r="E61" s="916">
        <v>33.1</v>
      </c>
      <c r="F61" s="915">
        <v>65</v>
      </c>
      <c r="G61" s="916">
        <v>10735</v>
      </c>
      <c r="H61" s="915">
        <v>719</v>
      </c>
      <c r="I61" s="916">
        <v>11454</v>
      </c>
      <c r="J61" s="1367"/>
    </row>
    <row r="62" spans="1:10">
      <c r="A62" s="907"/>
      <c r="B62" s="1379" t="s">
        <v>386</v>
      </c>
      <c r="C62" s="908">
        <v>0.996</v>
      </c>
      <c r="D62" s="909">
        <v>0.42</v>
      </c>
      <c r="E62" s="908">
        <v>0.441</v>
      </c>
      <c r="F62" s="909">
        <v>1</v>
      </c>
      <c r="G62" s="908">
        <v>0.61970109050237676</v>
      </c>
      <c r="H62" s="909">
        <v>0.89300000000000002</v>
      </c>
      <c r="I62" s="908">
        <v>0.63700000000000001</v>
      </c>
      <c r="J62" s="906"/>
    </row>
    <row r="63" spans="1:10">
      <c r="A63" s="907"/>
      <c r="B63" s="1379" t="s">
        <v>385</v>
      </c>
      <c r="C63" s="908">
        <v>4.0000000000000001E-3</v>
      </c>
      <c r="D63" s="909">
        <v>0.57999999999999996</v>
      </c>
      <c r="E63" s="908">
        <v>0.55900000000000005</v>
      </c>
      <c r="F63" s="909" t="s">
        <v>383</v>
      </c>
      <c r="G63" s="908">
        <v>0.38029890949762324</v>
      </c>
      <c r="H63" s="909">
        <v>0.107</v>
      </c>
      <c r="I63" s="908">
        <v>0.36299999999999999</v>
      </c>
      <c r="J63" s="906"/>
    </row>
    <row r="64" spans="1:10">
      <c r="A64" s="907"/>
      <c r="B64" s="1379"/>
      <c r="C64" s="908"/>
      <c r="D64" s="909"/>
      <c r="E64" s="908"/>
      <c r="F64" s="909"/>
      <c r="G64" s="908"/>
      <c r="H64" s="909"/>
      <c r="I64" s="908"/>
      <c r="J64" s="906"/>
    </row>
    <row r="65" spans="1:10" s="1368" customFormat="1">
      <c r="A65" s="1366"/>
      <c r="B65" s="1379">
        <v>2004</v>
      </c>
      <c r="C65" s="916">
        <v>3595.7950000000001</v>
      </c>
      <c r="D65" s="915">
        <v>7867.4</v>
      </c>
      <c r="E65" s="916">
        <v>33.463000000000001</v>
      </c>
      <c r="F65" s="915">
        <v>64.704999999999998</v>
      </c>
      <c r="G65" s="916">
        <v>11561.363000000001</v>
      </c>
      <c r="H65" s="915">
        <v>731.63499999999999</v>
      </c>
      <c r="I65" s="916">
        <v>12292.998000000001</v>
      </c>
      <c r="J65" s="1367"/>
    </row>
    <row r="66" spans="1:10">
      <c r="A66" s="907"/>
      <c r="B66" s="1379" t="s">
        <v>386</v>
      </c>
      <c r="C66" s="908">
        <v>0.9964397302960819</v>
      </c>
      <c r="D66" s="909">
        <v>0.40319927803340366</v>
      </c>
      <c r="E66" s="908">
        <v>0.41487613184711469</v>
      </c>
      <c r="F66" s="909">
        <v>1</v>
      </c>
      <c r="G66" s="908">
        <v>0.59108177816058538</v>
      </c>
      <c r="H66" s="909">
        <v>0.8936573564687309</v>
      </c>
      <c r="I66" s="908">
        <v>0.60908998764988009</v>
      </c>
      <c r="J66" s="906"/>
    </row>
    <row r="67" spans="1:10">
      <c r="A67" s="907"/>
      <c r="B67" s="1379" t="s">
        <v>385</v>
      </c>
      <c r="C67" s="908">
        <v>3.5602697039180484E-3</v>
      </c>
      <c r="D67" s="909">
        <v>0.59680072196659628</v>
      </c>
      <c r="E67" s="908">
        <v>0.58512386815288531</v>
      </c>
      <c r="F67" s="909">
        <v>0</v>
      </c>
      <c r="G67" s="908">
        <v>0.40891822183941456</v>
      </c>
      <c r="H67" s="909">
        <v>0.10634264353126902</v>
      </c>
      <c r="I67" s="908">
        <v>0.39091001235011991</v>
      </c>
      <c r="J67" s="906"/>
    </row>
    <row r="68" spans="1:10">
      <c r="A68" s="907"/>
      <c r="B68" s="1379"/>
      <c r="C68" s="908"/>
      <c r="D68" s="909"/>
      <c r="E68" s="908"/>
      <c r="F68" s="909"/>
      <c r="G68" s="908"/>
      <c r="H68" s="909"/>
      <c r="I68" s="908"/>
      <c r="J68" s="906"/>
    </row>
    <row r="69" spans="1:10" s="1368" customFormat="1">
      <c r="A69" s="1366"/>
      <c r="B69" s="1379">
        <v>2005</v>
      </c>
      <c r="C69" s="916">
        <v>3595.7950000000001</v>
      </c>
      <c r="D69" s="915">
        <v>8288.2999999999993</v>
      </c>
      <c r="E69" s="916">
        <v>33.463000000000001</v>
      </c>
      <c r="F69" s="915">
        <v>64.704999999999998</v>
      </c>
      <c r="G69" s="916">
        <v>11982.263000000001</v>
      </c>
      <c r="H69" s="915">
        <v>1023.861</v>
      </c>
      <c r="I69" s="916">
        <v>13006.124000000002</v>
      </c>
      <c r="J69" s="1367"/>
    </row>
    <row r="70" spans="1:10">
      <c r="A70" s="907"/>
      <c r="B70" s="1379" t="s">
        <v>386</v>
      </c>
      <c r="C70" s="908">
        <v>0.9964397302960819</v>
      </c>
      <c r="D70" s="909">
        <v>0.43350626787157798</v>
      </c>
      <c r="E70" s="908">
        <v>0.41487613184711469</v>
      </c>
      <c r="F70" s="909">
        <v>1</v>
      </c>
      <c r="G70" s="908">
        <v>0.60544581603658665</v>
      </c>
      <c r="H70" s="909">
        <v>0.91560963841771492</v>
      </c>
      <c r="I70" s="908">
        <v>0.62986236329901202</v>
      </c>
      <c r="J70" s="906"/>
    </row>
    <row r="71" spans="1:10">
      <c r="A71" s="907"/>
      <c r="B71" s="1379" t="s">
        <v>385</v>
      </c>
      <c r="C71" s="908">
        <v>3.5602697039180484E-3</v>
      </c>
      <c r="D71" s="909">
        <v>0.56649373212842202</v>
      </c>
      <c r="E71" s="908">
        <v>0.58512386815288531</v>
      </c>
      <c r="F71" s="909">
        <v>0</v>
      </c>
      <c r="G71" s="908">
        <v>0.39455418396341324</v>
      </c>
      <c r="H71" s="909">
        <v>8.4390361582285092E-2</v>
      </c>
      <c r="I71" s="908">
        <v>0.37013763670098798</v>
      </c>
      <c r="J71" s="906"/>
    </row>
    <row r="72" spans="1:10">
      <c r="A72" s="907"/>
      <c r="B72" s="1379"/>
      <c r="C72" s="908"/>
      <c r="D72" s="909"/>
      <c r="E72" s="908"/>
      <c r="F72" s="909"/>
      <c r="G72" s="908"/>
      <c r="H72" s="909"/>
      <c r="I72" s="908"/>
      <c r="J72" s="906"/>
    </row>
    <row r="73" spans="1:10" s="1368" customFormat="1">
      <c r="A73" s="1366"/>
      <c r="B73" s="1379">
        <v>2006</v>
      </c>
      <c r="C73" s="916">
        <v>3601.855</v>
      </c>
      <c r="D73" s="915">
        <v>8669.5</v>
      </c>
      <c r="E73" s="916">
        <v>33.463000000000001</v>
      </c>
      <c r="F73" s="915">
        <v>64.704999999999998</v>
      </c>
      <c r="G73" s="916">
        <v>12369.522999999999</v>
      </c>
      <c r="H73" s="915">
        <v>1109.6614999999999</v>
      </c>
      <c r="I73" s="916">
        <v>13479.184499999999</v>
      </c>
      <c r="J73" s="1367"/>
    </row>
    <row r="74" spans="1:10">
      <c r="A74" s="907"/>
      <c r="B74" s="1379" t="s">
        <v>386</v>
      </c>
      <c r="C74" s="908">
        <v>0.99644572033021872</v>
      </c>
      <c r="D74" s="909">
        <v>0.44832227925485896</v>
      </c>
      <c r="E74" s="908">
        <v>0.41487613184711469</v>
      </c>
      <c r="F74" s="909">
        <v>1</v>
      </c>
      <c r="G74" s="908">
        <v>0.6107245202583802</v>
      </c>
      <c r="H74" s="909">
        <v>0.92213481318402057</v>
      </c>
      <c r="I74" s="908">
        <v>0.6363610869782218</v>
      </c>
      <c r="J74" s="906"/>
    </row>
    <row r="75" spans="1:10">
      <c r="A75" s="907"/>
      <c r="B75" s="1379" t="s">
        <v>385</v>
      </c>
      <c r="C75" s="908">
        <v>3.5542796697812652E-3</v>
      </c>
      <c r="D75" s="909">
        <v>0.5516777207451411</v>
      </c>
      <c r="E75" s="908">
        <v>0.58512386815288531</v>
      </c>
      <c r="F75" s="909">
        <v>0</v>
      </c>
      <c r="G75" s="908">
        <v>0.3892754797416198</v>
      </c>
      <c r="H75" s="909">
        <v>7.7865186815979467E-2</v>
      </c>
      <c r="I75" s="908">
        <v>0.3636389130217782</v>
      </c>
      <c r="J75" s="906"/>
    </row>
    <row r="76" spans="1:10">
      <c r="A76" s="907"/>
      <c r="B76" s="1379"/>
      <c r="C76" s="908"/>
      <c r="D76" s="909"/>
      <c r="E76" s="908"/>
      <c r="F76" s="909"/>
      <c r="G76" s="908"/>
      <c r="H76" s="909"/>
      <c r="I76" s="908"/>
      <c r="J76" s="906"/>
    </row>
    <row r="77" spans="1:10" s="1368" customFormat="1">
      <c r="A77" s="1366"/>
      <c r="B77" s="1379">
        <v>2007</v>
      </c>
      <c r="C77" s="916">
        <v>3601.8549999999996</v>
      </c>
      <c r="D77" s="915">
        <v>9118.242000000002</v>
      </c>
      <c r="E77" s="916">
        <v>47.826999999999991</v>
      </c>
      <c r="F77" s="915">
        <v>79.564999999999998</v>
      </c>
      <c r="G77" s="916">
        <v>12847.489000000001</v>
      </c>
      <c r="H77" s="915">
        <v>1063.6704999999999</v>
      </c>
      <c r="I77" s="916">
        <v>13911.159500000002</v>
      </c>
      <c r="J77" s="1367"/>
    </row>
    <row r="78" spans="1:10">
      <c r="A78" s="907"/>
      <c r="B78" s="1379" t="s">
        <v>386</v>
      </c>
      <c r="C78" s="908">
        <v>0.99644572033021872</v>
      </c>
      <c r="D78" s="909">
        <v>0.4634415274347839</v>
      </c>
      <c r="E78" s="908">
        <v>0.54184874652393011</v>
      </c>
      <c r="F78" s="909">
        <v>1</v>
      </c>
      <c r="G78" s="908">
        <v>0.61648661462173637</v>
      </c>
      <c r="H78" s="909">
        <v>0.91876807714419084</v>
      </c>
      <c r="I78" s="908">
        <v>0.63959956033859</v>
      </c>
      <c r="J78" s="906"/>
    </row>
    <row r="79" spans="1:10">
      <c r="A79" s="907"/>
      <c r="B79" s="1379" t="s">
        <v>385</v>
      </c>
      <c r="C79" s="908">
        <v>3.5542796697812656E-3</v>
      </c>
      <c r="D79" s="909">
        <v>0.53456247377509825</v>
      </c>
      <c r="E79" s="908">
        <v>0.41675204382461795</v>
      </c>
      <c r="F79" s="909">
        <v>0</v>
      </c>
      <c r="G79" s="908">
        <v>0.38351338537826341</v>
      </c>
      <c r="H79" s="909">
        <v>8.1231922855809199E-2</v>
      </c>
      <c r="I79" s="908">
        <v>0.36040043966141</v>
      </c>
      <c r="J79" s="906"/>
    </row>
    <row r="80" spans="1:10">
      <c r="A80" s="907"/>
      <c r="B80" s="1379"/>
      <c r="C80" s="908"/>
      <c r="D80" s="909"/>
      <c r="E80" s="908"/>
      <c r="F80" s="909"/>
      <c r="G80" s="908"/>
      <c r="H80" s="909"/>
      <c r="I80" s="908"/>
      <c r="J80" s="906"/>
    </row>
    <row r="81" spans="1:10" s="1368" customFormat="1">
      <c r="A81" s="1366"/>
      <c r="B81" s="1379">
        <v>2008</v>
      </c>
      <c r="C81" s="916">
        <v>3601.855</v>
      </c>
      <c r="D81" s="915">
        <v>9385.7460000000028</v>
      </c>
      <c r="E81" s="916">
        <v>50.445999999999991</v>
      </c>
      <c r="F81" s="915">
        <v>79.564999999999998</v>
      </c>
      <c r="G81" s="916">
        <v>13117.612000000003</v>
      </c>
      <c r="H81" s="915">
        <v>1178.81</v>
      </c>
      <c r="I81" s="916">
        <v>14296.422000000002</v>
      </c>
      <c r="J81" s="1367"/>
    </row>
    <row r="82" spans="1:10">
      <c r="A82" s="907"/>
      <c r="B82" s="1379" t="s">
        <v>386</v>
      </c>
      <c r="C82" s="908">
        <v>0.99644572033021872</v>
      </c>
      <c r="D82" s="909">
        <v>0.47496192630825496</v>
      </c>
      <c r="E82" s="908">
        <v>0.55046980930103484</v>
      </c>
      <c r="F82" s="909">
        <v>1</v>
      </c>
      <c r="G82" s="908">
        <v>0.62162678694872198</v>
      </c>
      <c r="H82" s="909">
        <v>0.93015498680873077</v>
      </c>
      <c r="I82" s="908">
        <v>0.6470664478147049</v>
      </c>
      <c r="J82" s="906"/>
    </row>
    <row r="83" spans="1:10">
      <c r="A83" s="907"/>
      <c r="B83" s="1379" t="s">
        <v>385</v>
      </c>
      <c r="C83" s="908">
        <v>3.5542796697812652E-3</v>
      </c>
      <c r="D83" s="909">
        <v>0.52503807369174482</v>
      </c>
      <c r="E83" s="908">
        <v>0.44953019069896527</v>
      </c>
      <c r="F83" s="909">
        <v>0</v>
      </c>
      <c r="G83" s="908">
        <v>0.37837321305127791</v>
      </c>
      <c r="H83" s="909">
        <v>6.9845013191269165E-2</v>
      </c>
      <c r="I83" s="908">
        <v>0.3529335521852951</v>
      </c>
      <c r="J83" s="906"/>
    </row>
    <row r="84" spans="1:10">
      <c r="A84" s="907"/>
      <c r="B84" s="1379"/>
      <c r="C84" s="908"/>
      <c r="D84" s="909"/>
      <c r="E84" s="908"/>
      <c r="F84" s="909"/>
      <c r="G84" s="908"/>
      <c r="H84" s="909"/>
      <c r="I84" s="908"/>
      <c r="J84" s="906"/>
    </row>
    <row r="85" spans="1:10" s="1368" customFormat="1">
      <c r="A85" s="1366"/>
      <c r="B85" s="1379">
        <v>2009</v>
      </c>
      <c r="C85" s="916">
        <v>3572.6995520000005</v>
      </c>
      <c r="D85" s="915">
        <v>11147.223719400001</v>
      </c>
      <c r="E85" s="916">
        <v>51.451999999999998</v>
      </c>
      <c r="F85" s="915">
        <v>99.212999999999994</v>
      </c>
      <c r="G85" s="916">
        <v>14870.5882714</v>
      </c>
      <c r="H85" s="915">
        <v>1282.9100000000001</v>
      </c>
      <c r="I85" s="916">
        <f>H85+G85</f>
        <v>16153.4982714</v>
      </c>
      <c r="J85" s="1367"/>
    </row>
    <row r="86" spans="1:10">
      <c r="A86" s="907"/>
      <c r="B86" s="1379" t="s">
        <v>386</v>
      </c>
      <c r="C86" s="908">
        <v>0.99643686802802278</v>
      </c>
      <c r="D86" s="909">
        <v>0.51858592063057218</v>
      </c>
      <c r="E86" s="908">
        <v>0.56493430770426811</v>
      </c>
      <c r="F86" s="909">
        <v>1</v>
      </c>
      <c r="G86" s="908">
        <v>0.63676316324428306</v>
      </c>
      <c r="H86" s="909">
        <v>0.93348403239510169</v>
      </c>
      <c r="I86" s="908">
        <f>BALANCE_ELECT!D10</f>
        <v>0.66032871937624815</v>
      </c>
      <c r="J86" s="906"/>
    </row>
    <row r="87" spans="1:10" ht="13.5" thickBot="1">
      <c r="A87" s="907"/>
      <c r="B87" s="1380" t="s">
        <v>385</v>
      </c>
      <c r="C87" s="917">
        <v>3.5631319719772502E-3</v>
      </c>
      <c r="D87" s="918">
        <v>0.48141407936942782</v>
      </c>
      <c r="E87" s="917">
        <v>0.435065692295732</v>
      </c>
      <c r="F87" s="918">
        <v>0</v>
      </c>
      <c r="G87" s="917">
        <v>0.36323683675571689</v>
      </c>
      <c r="H87" s="918">
        <v>6.6515967604898238E-2</v>
      </c>
      <c r="I87" s="917">
        <f>BALANCE_ELECT!D15</f>
        <v>0.33967128062375185</v>
      </c>
      <c r="J87" s="906"/>
    </row>
    <row r="88" spans="1:10">
      <c r="A88" s="907"/>
      <c r="B88" s="1381" t="s">
        <v>488</v>
      </c>
      <c r="C88" s="920"/>
      <c r="D88" s="920"/>
      <c r="E88" s="921"/>
      <c r="F88" s="920"/>
      <c r="G88" s="920"/>
      <c r="H88" s="920"/>
      <c r="I88" s="920"/>
      <c r="J88" s="906"/>
    </row>
    <row r="89" spans="1:10">
      <c r="A89" s="907"/>
      <c r="B89" s="1382" t="s">
        <v>765</v>
      </c>
      <c r="C89" s="928"/>
      <c r="D89" s="924"/>
      <c r="E89" s="922"/>
      <c r="F89" s="924"/>
      <c r="G89" s="924"/>
      <c r="H89" s="924"/>
      <c r="I89" s="923"/>
      <c r="J89" s="556"/>
    </row>
    <row r="90" spans="1:10">
      <c r="A90" s="886"/>
      <c r="B90" s="1382" t="s">
        <v>766</v>
      </c>
      <c r="C90" s="928"/>
      <c r="D90" s="924"/>
      <c r="E90" s="922"/>
      <c r="F90" s="924"/>
      <c r="G90" s="924"/>
      <c r="H90" s="924"/>
      <c r="I90" s="923"/>
      <c r="J90" s="556"/>
    </row>
    <row r="91" spans="1:10">
      <c r="A91" s="886"/>
      <c r="B91" s="1382" t="s">
        <v>767</v>
      </c>
      <c r="C91" s="928"/>
      <c r="D91" s="924"/>
      <c r="E91" s="922"/>
      <c r="F91" s="924"/>
      <c r="G91" s="924"/>
      <c r="H91" s="924"/>
      <c r="I91" s="885"/>
      <c r="J91" s="556"/>
    </row>
    <row r="92" spans="1:10">
      <c r="A92" s="886"/>
      <c r="B92" s="1382" t="s">
        <v>820</v>
      </c>
      <c r="C92" s="928"/>
      <c r="D92" s="924"/>
      <c r="E92" s="922"/>
      <c r="F92" s="924"/>
      <c r="G92" s="924"/>
      <c r="H92" s="924"/>
      <c r="I92" s="885"/>
      <c r="J92" s="886"/>
    </row>
    <row r="93" spans="1:10">
      <c r="A93" s="886"/>
      <c r="B93" s="1383" t="s">
        <v>368</v>
      </c>
      <c r="C93" s="928"/>
      <c r="D93" s="924"/>
      <c r="E93" s="922"/>
      <c r="F93" s="924"/>
      <c r="G93" s="924"/>
      <c r="H93" s="924"/>
      <c r="I93" s="885"/>
      <c r="J93" s="886"/>
    </row>
    <row r="94" spans="1:10">
      <c r="A94" s="886"/>
      <c r="B94" s="1382" t="s">
        <v>697</v>
      </c>
      <c r="C94" s="928"/>
      <c r="D94" s="924"/>
      <c r="E94" s="922"/>
      <c r="F94" s="924"/>
      <c r="G94" s="924"/>
      <c r="H94" s="924"/>
      <c r="I94" s="885"/>
      <c r="J94" s="886"/>
    </row>
    <row r="95" spans="1:10">
      <c r="A95" s="886"/>
      <c r="B95" s="1382" t="s">
        <v>698</v>
      </c>
      <c r="C95" s="928"/>
      <c r="D95" s="924"/>
      <c r="E95" s="922"/>
      <c r="F95" s="924"/>
      <c r="G95" s="924"/>
      <c r="H95" s="924"/>
      <c r="I95" s="885"/>
      <c r="J95" s="886"/>
    </row>
    <row r="96" spans="1:10">
      <c r="A96" s="886"/>
      <c r="B96" s="1382" t="s">
        <v>369</v>
      </c>
      <c r="C96" s="928"/>
      <c r="D96" s="924"/>
      <c r="E96" s="922"/>
      <c r="F96" s="924"/>
      <c r="G96" s="924"/>
      <c r="H96" s="924"/>
      <c r="I96" s="885"/>
      <c r="J96" s="886"/>
    </row>
    <row r="97" spans="1:10">
      <c r="A97" s="886"/>
      <c r="B97" s="1384"/>
      <c r="C97" s="928"/>
      <c r="D97" s="928"/>
      <c r="E97" s="928"/>
      <c r="F97" s="928"/>
      <c r="G97" s="928"/>
      <c r="H97" s="928"/>
      <c r="I97" s="886"/>
      <c r="J97" s="886"/>
    </row>
    <row r="98" spans="1:10">
      <c r="A98" s="886"/>
      <c r="B98" s="1385"/>
      <c r="C98" s="886"/>
      <c r="D98" s="886"/>
      <c r="E98" s="886"/>
      <c r="F98" s="886"/>
      <c r="G98" s="886"/>
      <c r="H98" s="886"/>
      <c r="I98" s="886"/>
    </row>
  </sheetData>
  <phoneticPr fontId="50" type="noConversion"/>
  <hyperlinks>
    <hyperlink ref="G1" location="INDICE!A70" display="VOLVER A INDICE"/>
  </hyperlinks>
  <pageMargins left="0.75" right="0.75" top="1" bottom="1" header="0" footer="0"/>
  <pageSetup paperSize="9" orientation="portrait" horizontalDpi="200" verticalDpi="200" copies="0" r:id="rId1"/>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1"/>
  <sheetViews>
    <sheetView showGridLines="0" topLeftCell="A58" workbookViewId="0">
      <selection activeCell="B92" sqref="B92"/>
    </sheetView>
  </sheetViews>
  <sheetFormatPr baseColWidth="10" defaultRowHeight="12.75"/>
  <cols>
    <col min="1" max="1" width="2.28515625" customWidth="1"/>
    <col min="7" max="7" width="17" customWidth="1"/>
    <col min="8" max="8" width="12.5703125" customWidth="1"/>
  </cols>
  <sheetData>
    <row r="1" spans="1:9" ht="15.75">
      <c r="A1" s="880"/>
      <c r="B1" s="881"/>
      <c r="C1" s="883"/>
      <c r="D1" s="883"/>
      <c r="E1" s="883"/>
      <c r="F1" s="883"/>
      <c r="G1" s="883"/>
      <c r="H1" s="559" t="s">
        <v>606</v>
      </c>
      <c r="I1" s="886"/>
    </row>
    <row r="2" spans="1:9">
      <c r="A2" s="886"/>
      <c r="B2" s="893"/>
      <c r="C2" s="893"/>
      <c r="D2" s="893"/>
      <c r="E2" s="893"/>
      <c r="F2" s="893"/>
      <c r="G2" s="893"/>
      <c r="H2" s="893"/>
      <c r="I2" s="892"/>
    </row>
    <row r="3" spans="1:9">
      <c r="A3" s="892"/>
      <c r="B3" s="887" t="s">
        <v>387</v>
      </c>
      <c r="C3" s="887"/>
      <c r="D3" s="887"/>
      <c r="E3" s="887"/>
      <c r="F3" s="893"/>
      <c r="G3" s="893"/>
      <c r="H3" s="893"/>
      <c r="I3" s="892"/>
    </row>
    <row r="4" spans="1:9">
      <c r="A4" s="892"/>
      <c r="B4" s="887" t="s">
        <v>388</v>
      </c>
      <c r="C4" s="887"/>
      <c r="D4" s="887"/>
      <c r="E4" s="887"/>
      <c r="F4" s="893"/>
      <c r="G4" s="893"/>
      <c r="H4" s="893"/>
      <c r="I4" s="892"/>
    </row>
    <row r="5" spans="1:9" ht="13.5" thickBot="1">
      <c r="A5" s="892"/>
      <c r="B5" s="887"/>
      <c r="C5" s="887"/>
      <c r="D5" s="887"/>
      <c r="E5" s="887"/>
      <c r="F5" s="893"/>
      <c r="G5" s="893"/>
      <c r="H5" s="893"/>
      <c r="I5" s="892"/>
    </row>
    <row r="6" spans="1:9" ht="13.5" thickBot="1">
      <c r="A6" s="892"/>
      <c r="B6" s="1255"/>
      <c r="C6" s="1256"/>
      <c r="D6" s="1256"/>
      <c r="E6" s="1256"/>
      <c r="F6" s="1256"/>
      <c r="G6" s="1256"/>
      <c r="H6" s="1257"/>
      <c r="I6" s="892"/>
    </row>
    <row r="7" spans="1:9">
      <c r="A7" s="892"/>
      <c r="B7" s="894" t="s">
        <v>389</v>
      </c>
      <c r="C7" s="895" t="s">
        <v>373</v>
      </c>
      <c r="D7" s="896" t="s">
        <v>374</v>
      </c>
      <c r="E7" s="895" t="s">
        <v>375</v>
      </c>
      <c r="F7" s="896" t="s">
        <v>390</v>
      </c>
      <c r="G7" s="895" t="s">
        <v>323</v>
      </c>
      <c r="H7" s="1258" t="s">
        <v>376</v>
      </c>
      <c r="I7" s="898"/>
    </row>
    <row r="8" spans="1:9" ht="13.5" thickBot="1">
      <c r="A8" s="898"/>
      <c r="B8" s="899" t="s">
        <v>391</v>
      </c>
      <c r="C8" s="900"/>
      <c r="D8" s="901"/>
      <c r="E8" s="902" t="s">
        <v>392</v>
      </c>
      <c r="F8" s="1259" t="s">
        <v>378</v>
      </c>
      <c r="G8" s="902"/>
      <c r="H8" s="1260"/>
      <c r="I8" s="898"/>
    </row>
    <row r="9" spans="1:9">
      <c r="A9" s="898"/>
      <c r="B9" s="1261">
        <v>1990</v>
      </c>
      <c r="C9" s="1262" t="s">
        <v>380</v>
      </c>
      <c r="D9" s="1263">
        <v>13666.6</v>
      </c>
      <c r="E9" s="1262" t="s">
        <v>380</v>
      </c>
      <c r="F9" s="1263">
        <v>97</v>
      </c>
      <c r="G9" s="1262">
        <v>4634.3999999999996</v>
      </c>
      <c r="H9" s="1264">
        <v>18398</v>
      </c>
      <c r="I9" s="886"/>
    </row>
    <row r="10" spans="1:9">
      <c r="A10" s="886"/>
      <c r="B10" s="1265" t="s">
        <v>384</v>
      </c>
      <c r="C10" s="1266"/>
      <c r="D10" s="1267">
        <v>0.4</v>
      </c>
      <c r="E10" s="1266"/>
      <c r="F10" s="1267">
        <v>1</v>
      </c>
      <c r="G10" s="1266">
        <v>0.84599999999999997</v>
      </c>
      <c r="H10" s="1268">
        <v>0.51400000000000001</v>
      </c>
      <c r="I10" s="886"/>
    </row>
    <row r="11" spans="1:9">
      <c r="A11" s="886"/>
      <c r="B11" s="1265" t="s">
        <v>385</v>
      </c>
      <c r="C11" s="1266"/>
      <c r="D11" s="1267">
        <v>0.6</v>
      </c>
      <c r="E11" s="1266"/>
      <c r="F11" s="1267">
        <v>0</v>
      </c>
      <c r="G11" s="1266">
        <v>0.154</v>
      </c>
      <c r="H11" s="1268">
        <v>0.48599999999999999</v>
      </c>
      <c r="I11" s="886"/>
    </row>
    <row r="12" spans="1:9">
      <c r="A12" s="886"/>
      <c r="B12" s="1265"/>
      <c r="C12" s="1269"/>
      <c r="D12" s="1270"/>
      <c r="E12" s="1269"/>
      <c r="F12" s="1270"/>
      <c r="G12" s="1269"/>
      <c r="H12" s="1271"/>
      <c r="I12" s="886"/>
    </row>
    <row r="13" spans="1:9">
      <c r="A13" s="886"/>
      <c r="B13" s="1265">
        <v>1991</v>
      </c>
      <c r="C13" s="1272" t="s">
        <v>380</v>
      </c>
      <c r="D13" s="1273">
        <v>14734.7</v>
      </c>
      <c r="E13" s="1272" t="s">
        <v>380</v>
      </c>
      <c r="F13" s="1273">
        <v>100.7</v>
      </c>
      <c r="G13" s="1272">
        <v>5127.6000000000004</v>
      </c>
      <c r="H13" s="1274">
        <v>19963</v>
      </c>
      <c r="I13" s="886"/>
    </row>
    <row r="14" spans="1:9">
      <c r="A14" s="886"/>
      <c r="B14" s="1265" t="s">
        <v>384</v>
      </c>
      <c r="C14" s="1266"/>
      <c r="D14" s="1267">
        <v>0.16500000000000001</v>
      </c>
      <c r="E14" s="1266"/>
      <c r="F14" s="1267">
        <v>1</v>
      </c>
      <c r="G14" s="1266">
        <v>0.85799999999999998</v>
      </c>
      <c r="H14" s="1268">
        <v>0.34200000000000003</v>
      </c>
      <c r="I14" s="886"/>
    </row>
    <row r="15" spans="1:9">
      <c r="A15" s="886"/>
      <c r="B15" s="1265" t="s">
        <v>385</v>
      </c>
      <c r="C15" s="1266"/>
      <c r="D15" s="1267">
        <v>0.83499999999999996</v>
      </c>
      <c r="E15" s="1266"/>
      <c r="F15" s="1267" t="s">
        <v>383</v>
      </c>
      <c r="G15" s="1266">
        <v>0.14199999999999999</v>
      </c>
      <c r="H15" s="1268">
        <v>0.65800000000000003</v>
      </c>
      <c r="I15" s="886"/>
    </row>
    <row r="16" spans="1:9">
      <c r="A16" s="886"/>
      <c r="B16" s="1265"/>
      <c r="C16" s="1269"/>
      <c r="D16" s="1270"/>
      <c r="E16" s="1269"/>
      <c r="F16" s="1270"/>
      <c r="G16" s="1269"/>
      <c r="H16" s="1271"/>
      <c r="I16" s="886"/>
    </row>
    <row r="17" spans="1:9">
      <c r="A17" s="886"/>
      <c r="B17" s="1265">
        <v>1992</v>
      </c>
      <c r="C17" s="1272" t="s">
        <v>380</v>
      </c>
      <c r="D17" s="1273">
        <v>16290.1</v>
      </c>
      <c r="E17" s="1272" t="s">
        <v>380</v>
      </c>
      <c r="F17" s="1273">
        <v>108.2</v>
      </c>
      <c r="G17" s="1272">
        <v>5951.6</v>
      </c>
      <c r="H17" s="1274">
        <v>22350</v>
      </c>
      <c r="I17" s="886"/>
    </row>
    <row r="18" spans="1:9">
      <c r="A18" s="886"/>
      <c r="B18" s="1265" t="s">
        <v>384</v>
      </c>
      <c r="C18" s="1266"/>
      <c r="D18" s="1267">
        <v>2.8000000000000001E-2</v>
      </c>
      <c r="E18" s="1266"/>
      <c r="F18" s="1267">
        <v>1</v>
      </c>
      <c r="G18" s="1266">
        <v>0.86199999999999999</v>
      </c>
      <c r="H18" s="1268">
        <v>0.251</v>
      </c>
      <c r="I18" s="886"/>
    </row>
    <row r="19" spans="1:9">
      <c r="A19" s="886"/>
      <c r="B19" s="1265" t="s">
        <v>385</v>
      </c>
      <c r="C19" s="1266"/>
      <c r="D19" s="1267">
        <v>0.97199999999999998</v>
      </c>
      <c r="E19" s="1266"/>
      <c r="F19" s="1267" t="s">
        <v>383</v>
      </c>
      <c r="G19" s="1266">
        <v>0.13800000000000001</v>
      </c>
      <c r="H19" s="1268">
        <v>0.749</v>
      </c>
      <c r="I19" s="886"/>
    </row>
    <row r="20" spans="1:9">
      <c r="A20" s="886"/>
      <c r="B20" s="1265"/>
      <c r="C20" s="1269"/>
      <c r="D20" s="1270"/>
      <c r="E20" s="1269"/>
      <c r="F20" s="1270"/>
      <c r="G20" s="1269"/>
      <c r="H20" s="1271"/>
      <c r="I20" s="886"/>
    </row>
    <row r="21" spans="1:9">
      <c r="A21" s="886"/>
      <c r="B21" s="1265">
        <v>1993</v>
      </c>
      <c r="C21" s="1272">
        <f>3350-1903</f>
        <v>1447</v>
      </c>
      <c r="D21" s="1273">
        <v>17670.3</v>
      </c>
      <c r="E21" s="1272" t="s">
        <v>380</v>
      </c>
      <c r="F21" s="1273">
        <v>116.4</v>
      </c>
      <c r="G21" s="1272">
        <v>4779.3</v>
      </c>
      <c r="H21" s="1274">
        <v>24013</v>
      </c>
      <c r="I21" s="886"/>
    </row>
    <row r="22" spans="1:9">
      <c r="A22" s="886"/>
      <c r="B22" s="1265" t="s">
        <v>384</v>
      </c>
      <c r="C22" s="1266">
        <v>0.80400000000000005</v>
      </c>
      <c r="D22" s="1267">
        <v>7.2999999999999995E-2</v>
      </c>
      <c r="E22" s="1266"/>
      <c r="F22" s="1267">
        <v>1</v>
      </c>
      <c r="G22" s="1266">
        <v>0.873</v>
      </c>
      <c r="H22" s="1268">
        <v>0.28299999999999997</v>
      </c>
      <c r="I22" s="886"/>
    </row>
    <row r="23" spans="1:9">
      <c r="A23" s="886"/>
      <c r="B23" s="1265" t="s">
        <v>385</v>
      </c>
      <c r="C23" s="1266">
        <v>0.19600000000000001</v>
      </c>
      <c r="D23" s="1267">
        <v>0.92700000000000005</v>
      </c>
      <c r="E23" s="1266"/>
      <c r="F23" s="1267" t="s">
        <v>383</v>
      </c>
      <c r="G23" s="1266">
        <v>0.127</v>
      </c>
      <c r="H23" s="1268">
        <v>0.71699999999999997</v>
      </c>
      <c r="I23" s="886"/>
    </row>
    <row r="24" spans="1:9">
      <c r="A24" s="886"/>
      <c r="B24" s="1265"/>
      <c r="C24" s="1269"/>
      <c r="D24" s="1270"/>
      <c r="E24" s="1269"/>
      <c r="F24" s="1270"/>
      <c r="G24" s="1269"/>
      <c r="H24" s="1271"/>
      <c r="I24" s="886"/>
    </row>
    <row r="25" spans="1:9">
      <c r="A25" s="886"/>
      <c r="B25" s="1265">
        <v>1994</v>
      </c>
      <c r="C25" s="1272">
        <v>3745.3</v>
      </c>
      <c r="D25" s="1273">
        <v>18985.400000000001</v>
      </c>
      <c r="E25" s="1272" t="s">
        <v>380</v>
      </c>
      <c r="F25" s="1273">
        <v>125</v>
      </c>
      <c r="G25" s="1272">
        <v>2420.3000000000002</v>
      </c>
      <c r="H25" s="1274">
        <v>25276</v>
      </c>
      <c r="I25" s="886"/>
    </row>
    <row r="26" spans="1:9">
      <c r="A26" s="886"/>
      <c r="B26" s="1265" t="s">
        <v>384</v>
      </c>
      <c r="C26" s="1266">
        <v>0.98799999999999999</v>
      </c>
      <c r="D26" s="1267">
        <v>0.13300000000000001</v>
      </c>
      <c r="E26" s="1266"/>
      <c r="F26" s="1267">
        <v>1</v>
      </c>
      <c r="G26" s="1266">
        <v>0.81489999999999996</v>
      </c>
      <c r="H26" s="1268">
        <v>0.32800000000000001</v>
      </c>
      <c r="I26" s="886"/>
    </row>
    <row r="27" spans="1:9">
      <c r="A27" s="886"/>
      <c r="B27" s="1265" t="s">
        <v>385</v>
      </c>
      <c r="C27" s="1266">
        <v>1.2E-2</v>
      </c>
      <c r="D27" s="1267">
        <v>0.86699999999999999</v>
      </c>
      <c r="E27" s="1266"/>
      <c r="F27" s="1267" t="s">
        <v>383</v>
      </c>
      <c r="G27" s="1266">
        <v>0.18509999999999999</v>
      </c>
      <c r="H27" s="1268">
        <v>0.67200000000000004</v>
      </c>
      <c r="I27" s="886"/>
    </row>
    <row r="28" spans="1:9">
      <c r="A28" s="886"/>
      <c r="B28" s="1265"/>
      <c r="C28" s="1269"/>
      <c r="D28" s="1270"/>
      <c r="E28" s="1269"/>
      <c r="F28" s="1270"/>
      <c r="G28" s="1269"/>
      <c r="H28" s="1271"/>
      <c r="I28" s="886"/>
    </row>
    <row r="29" spans="1:9">
      <c r="A29" s="886"/>
      <c r="B29" s="1265">
        <v>1995</v>
      </c>
      <c r="C29" s="1272">
        <v>4403.6000000000004</v>
      </c>
      <c r="D29" s="1273">
        <v>20506.5</v>
      </c>
      <c r="E29" s="1272" t="s">
        <v>380</v>
      </c>
      <c r="F29" s="1273">
        <v>129.4</v>
      </c>
      <c r="G29" s="1272">
        <v>2987.5</v>
      </c>
      <c r="H29" s="1274">
        <v>28027</v>
      </c>
      <c r="I29" s="886"/>
    </row>
    <row r="30" spans="1:9">
      <c r="A30" s="886"/>
      <c r="B30" s="1265" t="s">
        <v>384</v>
      </c>
      <c r="C30" s="1266">
        <v>0.99139999999999995</v>
      </c>
      <c r="D30" s="1267">
        <v>0.14199999999999999</v>
      </c>
      <c r="E30" s="1266"/>
      <c r="F30" s="1267">
        <v>1</v>
      </c>
      <c r="G30" s="1266">
        <v>0.73929999999999996</v>
      </c>
      <c r="H30" s="1268">
        <v>0.34300000000000003</v>
      </c>
      <c r="I30" s="886"/>
    </row>
    <row r="31" spans="1:9">
      <c r="A31" s="886"/>
      <c r="B31" s="1265" t="s">
        <v>385</v>
      </c>
      <c r="C31" s="1266">
        <v>8.6E-3</v>
      </c>
      <c r="D31" s="1267">
        <v>0.85799999999999998</v>
      </c>
      <c r="E31" s="1266"/>
      <c r="F31" s="1267" t="s">
        <v>383</v>
      </c>
      <c r="G31" s="1266">
        <v>0.26069999999999999</v>
      </c>
      <c r="H31" s="1268">
        <v>0.65700000000000003</v>
      </c>
      <c r="I31" s="886"/>
    </row>
    <row r="32" spans="1:9">
      <c r="A32" s="886"/>
      <c r="B32" s="1265"/>
      <c r="C32" s="1269"/>
      <c r="D32" s="1270"/>
      <c r="E32" s="1269"/>
      <c r="F32" s="1270"/>
      <c r="G32" s="1269"/>
      <c r="H32" s="1271"/>
      <c r="I32" s="886"/>
    </row>
    <row r="33" spans="1:9">
      <c r="A33" s="886"/>
      <c r="B33" s="1265">
        <v>1996</v>
      </c>
      <c r="C33" s="1272">
        <v>5544.6</v>
      </c>
      <c r="D33" s="1273">
        <v>22424.7</v>
      </c>
      <c r="E33" s="1272" t="s">
        <v>380</v>
      </c>
      <c r="F33" s="1273">
        <v>139.30000000000001</v>
      </c>
      <c r="G33" s="1272">
        <v>2682.4</v>
      </c>
      <c r="H33" s="1274">
        <v>30791</v>
      </c>
      <c r="I33" s="886"/>
    </row>
    <row r="34" spans="1:9">
      <c r="A34" s="886"/>
      <c r="B34" s="1265" t="s">
        <v>384</v>
      </c>
      <c r="C34" s="1266">
        <v>0.99399999999999999</v>
      </c>
      <c r="D34" s="1267">
        <v>0.28199999999999997</v>
      </c>
      <c r="E34" s="1266"/>
      <c r="F34" s="1267">
        <v>1</v>
      </c>
      <c r="G34" s="1266">
        <v>0.72860000000000003</v>
      </c>
      <c r="H34" s="1268">
        <v>0.45200000000000001</v>
      </c>
      <c r="I34" s="886"/>
    </row>
    <row r="35" spans="1:9">
      <c r="A35" s="886"/>
      <c r="B35" s="1265" t="s">
        <v>385</v>
      </c>
      <c r="C35" s="1266">
        <v>6.0000000000000001E-3</v>
      </c>
      <c r="D35" s="1267">
        <v>0.71799999999999997</v>
      </c>
      <c r="E35" s="1266"/>
      <c r="F35" s="1267" t="s">
        <v>383</v>
      </c>
      <c r="G35" s="1266">
        <v>0.27139999999999997</v>
      </c>
      <c r="H35" s="1268">
        <v>0.54800000000000004</v>
      </c>
      <c r="I35" s="886"/>
    </row>
    <row r="36" spans="1:9">
      <c r="A36" s="886"/>
      <c r="B36" s="1265"/>
      <c r="C36" s="1269"/>
      <c r="D36" s="1270"/>
      <c r="E36" s="1269"/>
      <c r="F36" s="1270"/>
      <c r="G36" s="1269"/>
      <c r="H36" s="1271"/>
      <c r="I36" s="886"/>
    </row>
    <row r="37" spans="1:9">
      <c r="A37" s="886"/>
      <c r="B37" s="1265">
        <v>1997</v>
      </c>
      <c r="C37" s="1272">
        <v>6392.4</v>
      </c>
      <c r="D37" s="1273">
        <v>23959.1</v>
      </c>
      <c r="E37" s="1272" t="s">
        <v>380</v>
      </c>
      <c r="F37" s="1273">
        <v>142.69999999999999</v>
      </c>
      <c r="G37" s="1272">
        <v>2797.8</v>
      </c>
      <c r="H37" s="1274">
        <v>33292</v>
      </c>
      <c r="I37" s="886"/>
    </row>
    <row r="38" spans="1:9">
      <c r="A38" s="886"/>
      <c r="B38" s="1265" t="s">
        <v>384</v>
      </c>
      <c r="C38" s="1266">
        <v>0.99099999999999999</v>
      </c>
      <c r="D38" s="1267">
        <v>0.245</v>
      </c>
      <c r="E38" s="1266"/>
      <c r="F38" s="1267">
        <v>1</v>
      </c>
      <c r="G38" s="1266">
        <v>0.71699999999999997</v>
      </c>
      <c r="H38" s="1268">
        <v>0.43099999999999999</v>
      </c>
      <c r="I38" s="886"/>
    </row>
    <row r="39" spans="1:9">
      <c r="A39" s="886"/>
      <c r="B39" s="1265" t="s">
        <v>385</v>
      </c>
      <c r="C39" s="1266">
        <v>8.9999999999999993E-3</v>
      </c>
      <c r="D39" s="1267">
        <v>0.755</v>
      </c>
      <c r="E39" s="1266"/>
      <c r="F39" s="1267" t="s">
        <v>383</v>
      </c>
      <c r="G39" s="1266">
        <v>0.28299999999999997</v>
      </c>
      <c r="H39" s="1268">
        <v>0.56899999999999995</v>
      </c>
      <c r="I39" s="886"/>
    </row>
    <row r="40" spans="1:9">
      <c r="A40" s="886"/>
      <c r="B40" s="1265"/>
      <c r="C40" s="1269"/>
      <c r="D40" s="1270"/>
      <c r="E40" s="1269"/>
      <c r="F40" s="1270"/>
      <c r="G40" s="1269"/>
      <c r="H40" s="1271"/>
      <c r="I40" s="886"/>
    </row>
    <row r="41" spans="1:9">
      <c r="A41" s="886"/>
      <c r="B41" s="1265">
        <v>1998</v>
      </c>
      <c r="C41" s="1272">
        <v>7357.5</v>
      </c>
      <c r="D41" s="1273">
        <v>25649.7</v>
      </c>
      <c r="E41" s="1272">
        <v>66.7</v>
      </c>
      <c r="F41" s="1273">
        <v>151.69999999999999</v>
      </c>
      <c r="G41" s="1272">
        <v>2269.4</v>
      </c>
      <c r="H41" s="1274">
        <v>35495</v>
      </c>
      <c r="I41" s="886"/>
    </row>
    <row r="42" spans="1:9">
      <c r="A42" s="886"/>
      <c r="B42" s="1265" t="s">
        <v>384</v>
      </c>
      <c r="C42" s="1266">
        <v>0.99299999999999999</v>
      </c>
      <c r="D42" s="1267">
        <v>0.41</v>
      </c>
      <c r="E42" s="1266">
        <v>0.434</v>
      </c>
      <c r="F42" s="1267">
        <v>1</v>
      </c>
      <c r="G42" s="1266">
        <v>0.68200000000000005</v>
      </c>
      <c r="H42" s="1268">
        <v>0.55100000000000005</v>
      </c>
      <c r="I42" s="886"/>
    </row>
    <row r="43" spans="1:9">
      <c r="A43" s="886"/>
      <c r="B43" s="1265" t="s">
        <v>385</v>
      </c>
      <c r="C43" s="1266">
        <v>7.0000000000000001E-3</v>
      </c>
      <c r="D43" s="1267">
        <v>0.59</v>
      </c>
      <c r="E43" s="1266">
        <v>0.56599999999999995</v>
      </c>
      <c r="F43" s="1267" t="s">
        <v>383</v>
      </c>
      <c r="G43" s="1266">
        <v>0.318</v>
      </c>
      <c r="H43" s="1268">
        <v>0.44900000000000001</v>
      </c>
      <c r="I43" s="886"/>
    </row>
    <row r="44" spans="1:9">
      <c r="A44" s="886"/>
      <c r="B44" s="1265"/>
      <c r="C44" s="1266"/>
      <c r="D44" s="1267"/>
      <c r="E44" s="1266"/>
      <c r="F44" s="1267"/>
      <c r="G44" s="1266"/>
      <c r="H44" s="1268"/>
      <c r="I44" s="886"/>
    </row>
    <row r="45" spans="1:9">
      <c r="A45" s="886"/>
      <c r="B45" s="1265">
        <v>1999</v>
      </c>
      <c r="C45" s="1272">
        <v>9001</v>
      </c>
      <c r="D45" s="1273">
        <v>26915</v>
      </c>
      <c r="E45" s="1272">
        <v>71.599999999999994</v>
      </c>
      <c r="F45" s="1273">
        <v>154.80000000000001</v>
      </c>
      <c r="G45" s="1272">
        <v>2241.6</v>
      </c>
      <c r="H45" s="1274">
        <v>38384</v>
      </c>
      <c r="I45" s="886"/>
    </row>
    <row r="46" spans="1:9">
      <c r="A46" s="886"/>
      <c r="B46" s="1265" t="s">
        <v>384</v>
      </c>
      <c r="C46" s="1266">
        <v>0.99299999999999999</v>
      </c>
      <c r="D46" s="1267">
        <v>0.52400000000000002</v>
      </c>
      <c r="E46" s="1266">
        <v>0.48799999999999999</v>
      </c>
      <c r="F46" s="1267">
        <v>1</v>
      </c>
      <c r="G46" s="1266">
        <v>0.69799999999999995</v>
      </c>
      <c r="H46" s="1268">
        <v>0.64600000000000002</v>
      </c>
      <c r="I46" s="886"/>
    </row>
    <row r="47" spans="1:9">
      <c r="A47" s="886"/>
      <c r="B47" s="1265" t="s">
        <v>385</v>
      </c>
      <c r="C47" s="1266">
        <v>7.0000000000000001E-3</v>
      </c>
      <c r="D47" s="1267">
        <v>0.47599999999999998</v>
      </c>
      <c r="E47" s="1266">
        <v>0.51200000000000001</v>
      </c>
      <c r="F47" s="1267" t="s">
        <v>383</v>
      </c>
      <c r="G47" s="1266">
        <v>0.30199999999999999</v>
      </c>
      <c r="H47" s="1268">
        <v>0.35399999999999998</v>
      </c>
      <c r="I47" s="886"/>
    </row>
    <row r="48" spans="1:9">
      <c r="A48" s="886"/>
      <c r="B48" s="1265"/>
      <c r="C48" s="1266"/>
      <c r="D48" s="1267"/>
      <c r="E48" s="1266"/>
      <c r="F48" s="1267"/>
      <c r="G48" s="1266"/>
      <c r="H48" s="1268"/>
      <c r="I48" s="886"/>
    </row>
    <row r="49" spans="1:9">
      <c r="A49" s="886"/>
      <c r="B49" s="1265">
        <v>2000</v>
      </c>
      <c r="C49" s="1272">
        <v>9327.4</v>
      </c>
      <c r="D49" s="1273">
        <v>29576.6</v>
      </c>
      <c r="E49" s="1272">
        <v>75.400000000000006</v>
      </c>
      <c r="F49" s="1273">
        <v>163</v>
      </c>
      <c r="G49" s="1272">
        <v>2125.6</v>
      </c>
      <c r="H49" s="1274">
        <v>41268</v>
      </c>
      <c r="I49" s="886"/>
    </row>
    <row r="50" spans="1:9">
      <c r="A50" s="886"/>
      <c r="B50" s="1265" t="s">
        <v>384</v>
      </c>
      <c r="C50" s="1266">
        <v>0.99399999999999999</v>
      </c>
      <c r="D50" s="1267">
        <v>0.377</v>
      </c>
      <c r="E50" s="1266">
        <v>0.40100000000000002</v>
      </c>
      <c r="F50" s="1267">
        <v>1</v>
      </c>
      <c r="G50" s="1266">
        <v>0.73699999999999999</v>
      </c>
      <c r="H50" s="1268">
        <v>0.53800000000000003</v>
      </c>
      <c r="I50" s="886"/>
    </row>
    <row r="51" spans="1:9">
      <c r="A51" s="886"/>
      <c r="B51" s="1265" t="s">
        <v>385</v>
      </c>
      <c r="C51" s="1266">
        <v>6.0000000000000001E-3</v>
      </c>
      <c r="D51" s="1267">
        <v>0.623</v>
      </c>
      <c r="E51" s="1266">
        <v>0.50900000000000001</v>
      </c>
      <c r="F51" s="1267" t="s">
        <v>383</v>
      </c>
      <c r="G51" s="1266">
        <v>0.26300000000000001</v>
      </c>
      <c r="H51" s="1268">
        <v>0.46200000000000002</v>
      </c>
      <c r="I51" s="886"/>
    </row>
    <row r="52" spans="1:9">
      <c r="A52" s="886"/>
      <c r="B52" s="1265"/>
      <c r="C52" s="1266"/>
      <c r="D52" s="1267"/>
      <c r="E52" s="1266"/>
      <c r="F52" s="1267"/>
      <c r="G52" s="1266"/>
      <c r="H52" s="1268"/>
      <c r="I52" s="886"/>
    </row>
    <row r="53" spans="1:9">
      <c r="A53" s="886"/>
      <c r="B53" s="1265">
        <v>2001</v>
      </c>
      <c r="C53" s="1272">
        <v>9851.4</v>
      </c>
      <c r="D53" s="1273">
        <v>30765</v>
      </c>
      <c r="E53" s="1272">
        <v>77.7</v>
      </c>
      <c r="F53" s="1273">
        <v>170.4</v>
      </c>
      <c r="G53" s="1272">
        <v>3052.5</v>
      </c>
      <c r="H53" s="1274">
        <v>43917</v>
      </c>
      <c r="I53" s="886"/>
    </row>
    <row r="54" spans="1:9">
      <c r="A54" s="886"/>
      <c r="B54" s="1265" t="s">
        <v>384</v>
      </c>
      <c r="C54" s="1266">
        <v>0.99399999999999999</v>
      </c>
      <c r="D54" s="1267">
        <v>0.316</v>
      </c>
      <c r="E54" s="1266">
        <v>0.51400000000000001</v>
      </c>
      <c r="F54" s="1267">
        <v>1</v>
      </c>
      <c r="G54" s="1266">
        <v>0.80400000000000005</v>
      </c>
      <c r="H54" s="1268">
        <v>0.50600000000000001</v>
      </c>
      <c r="I54" s="886"/>
    </row>
    <row r="55" spans="1:9">
      <c r="A55" s="886"/>
      <c r="B55" s="1265" t="s">
        <v>385</v>
      </c>
      <c r="C55" s="1266">
        <v>6.0000000000000001E-3</v>
      </c>
      <c r="D55" s="1267">
        <v>0.68400000000000005</v>
      </c>
      <c r="E55" s="1266">
        <v>0.48599999999999999</v>
      </c>
      <c r="F55" s="1267" t="s">
        <v>383</v>
      </c>
      <c r="G55" s="1266">
        <v>0.19600000000000001</v>
      </c>
      <c r="H55" s="1268">
        <v>0.49399999999999999</v>
      </c>
      <c r="I55" s="886"/>
    </row>
    <row r="56" spans="1:9">
      <c r="A56" s="886"/>
      <c r="B56" s="1265"/>
      <c r="C56" s="1266"/>
      <c r="D56" s="1267"/>
      <c r="E56" s="1266"/>
      <c r="F56" s="1267"/>
      <c r="G56" s="1266"/>
      <c r="H56" s="1268"/>
      <c r="I56" s="886"/>
    </row>
    <row r="57" spans="1:9">
      <c r="A57" s="886"/>
      <c r="B57" s="1265">
        <v>2002</v>
      </c>
      <c r="C57" s="1272">
        <v>10399.6</v>
      </c>
      <c r="D57" s="1273">
        <v>31971.3</v>
      </c>
      <c r="E57" s="1272">
        <v>86.3</v>
      </c>
      <c r="F57" s="1273">
        <v>176.5</v>
      </c>
      <c r="G57" s="1272">
        <v>2850.3</v>
      </c>
      <c r="H57" s="1274">
        <v>45484</v>
      </c>
      <c r="I57" s="886"/>
    </row>
    <row r="58" spans="1:9">
      <c r="A58" s="886"/>
      <c r="B58" s="1265" t="s">
        <v>384</v>
      </c>
      <c r="C58" s="1266">
        <v>0.99399999999999999</v>
      </c>
      <c r="D58" s="1267">
        <v>0.29799999999999999</v>
      </c>
      <c r="E58" s="1266">
        <v>0.40899999999999997</v>
      </c>
      <c r="F58" s="1267">
        <v>1</v>
      </c>
      <c r="G58" s="1266">
        <v>0.78100000000000003</v>
      </c>
      <c r="H58" s="1268">
        <v>0.49</v>
      </c>
      <c r="I58" s="886"/>
    </row>
    <row r="59" spans="1:9">
      <c r="A59" s="886"/>
      <c r="B59" s="1265" t="s">
        <v>385</v>
      </c>
      <c r="C59" s="1266">
        <v>6.0000000000000001E-3</v>
      </c>
      <c r="D59" s="1267">
        <v>0.70199999999999996</v>
      </c>
      <c r="E59" s="1266">
        <v>0.59099999999999997</v>
      </c>
      <c r="F59" s="1267" t="s">
        <v>383</v>
      </c>
      <c r="G59" s="1266">
        <v>0.219</v>
      </c>
      <c r="H59" s="1268">
        <v>0.51</v>
      </c>
      <c r="I59" s="886"/>
    </row>
    <row r="60" spans="1:9">
      <c r="A60" s="886"/>
      <c r="B60" s="1265"/>
      <c r="C60" s="1269"/>
      <c r="D60" s="1270"/>
      <c r="E60" s="1269"/>
      <c r="F60" s="1270"/>
      <c r="G60" s="1269"/>
      <c r="H60" s="1271"/>
      <c r="I60" s="886"/>
    </row>
    <row r="61" spans="1:9">
      <c r="A61" s="886"/>
      <c r="B61" s="1265">
        <v>2003</v>
      </c>
      <c r="C61" s="1272">
        <v>11424.1</v>
      </c>
      <c r="D61" s="1273">
        <v>33708.1</v>
      </c>
      <c r="E61" s="1272">
        <v>89.3</v>
      </c>
      <c r="F61" s="1273">
        <v>184.5</v>
      </c>
      <c r="G61" s="1272">
        <v>3374</v>
      </c>
      <c r="H61" s="1274">
        <v>48780</v>
      </c>
      <c r="I61" s="886"/>
    </row>
    <row r="62" spans="1:9">
      <c r="A62" s="886"/>
      <c r="B62" s="1265" t="s">
        <v>384</v>
      </c>
      <c r="C62" s="1266">
        <v>0.99399999999999999</v>
      </c>
      <c r="D62" s="1267">
        <v>0.35199999999999998</v>
      </c>
      <c r="E62" s="1266">
        <v>0.15</v>
      </c>
      <c r="F62" s="1267">
        <v>1</v>
      </c>
      <c r="G62" s="1266">
        <v>0.54500000000000004</v>
      </c>
      <c r="H62" s="1268">
        <v>0.53659999999999997</v>
      </c>
      <c r="I62" s="886"/>
    </row>
    <row r="63" spans="1:9">
      <c r="A63" s="886"/>
      <c r="B63" s="1265" t="s">
        <v>385</v>
      </c>
      <c r="C63" s="1266">
        <v>6.0000000000000001E-3</v>
      </c>
      <c r="D63" s="1267">
        <v>0.64800000000000002</v>
      </c>
      <c r="E63" s="1266">
        <v>0.85</v>
      </c>
      <c r="F63" s="1267" t="s">
        <v>383</v>
      </c>
      <c r="G63" s="1266">
        <v>0.45450000000000002</v>
      </c>
      <c r="H63" s="1268">
        <v>0.46300000000000002</v>
      </c>
      <c r="I63" s="886"/>
    </row>
    <row r="64" spans="1:9">
      <c r="A64" s="886"/>
      <c r="B64" s="1265"/>
      <c r="C64" s="1266"/>
      <c r="D64" s="1267"/>
      <c r="E64" s="1266"/>
      <c r="F64" s="1267"/>
      <c r="G64" s="1266"/>
      <c r="H64" s="1268"/>
      <c r="I64" s="886"/>
    </row>
    <row r="65" spans="1:9">
      <c r="A65" s="886"/>
      <c r="B65" s="1265">
        <v>2004</v>
      </c>
      <c r="C65" s="1272">
        <v>12330</v>
      </c>
      <c r="D65" s="1273">
        <v>36344</v>
      </c>
      <c r="E65" s="1272">
        <v>96.9</v>
      </c>
      <c r="F65" s="1273">
        <v>199.3</v>
      </c>
      <c r="G65" s="1272">
        <v>3884.0856407188148</v>
      </c>
      <c r="H65" s="1274">
        <v>52854.285640718808</v>
      </c>
      <c r="I65" s="886"/>
    </row>
    <row r="66" spans="1:9">
      <c r="A66" s="886"/>
      <c r="B66" s="1265" t="s">
        <v>384</v>
      </c>
      <c r="C66" s="1266">
        <v>0.99464720194647205</v>
      </c>
      <c r="D66" s="1267">
        <v>0.42527239709443099</v>
      </c>
      <c r="E66" s="1266">
        <v>0.11455108359133127</v>
      </c>
      <c r="F66" s="1267">
        <v>1</v>
      </c>
      <c r="G66" s="1266">
        <v>0.86005251936221383</v>
      </c>
      <c r="H66" s="1268">
        <v>0.591645828935917</v>
      </c>
      <c r="I66" s="886"/>
    </row>
    <row r="67" spans="1:9">
      <c r="A67" s="886"/>
      <c r="B67" s="1265" t="s">
        <v>385</v>
      </c>
      <c r="C67" s="1266">
        <v>5.3527980535279804E-3</v>
      </c>
      <c r="D67" s="1267">
        <v>0.57472760290556901</v>
      </c>
      <c r="E67" s="1266">
        <v>0.88544891640866874</v>
      </c>
      <c r="F67" s="1267">
        <v>0</v>
      </c>
      <c r="G67" s="1266">
        <v>0.13994748063778625</v>
      </c>
      <c r="H67" s="1268">
        <v>0.408354171064083</v>
      </c>
      <c r="I67" s="886"/>
    </row>
    <row r="68" spans="1:9">
      <c r="A68" s="886"/>
      <c r="B68" s="1265"/>
      <c r="C68" s="1266"/>
      <c r="D68" s="1267"/>
      <c r="E68" s="1266"/>
      <c r="F68" s="1267"/>
      <c r="G68" s="1266"/>
      <c r="H68" s="1268"/>
      <c r="I68" s="886"/>
    </row>
    <row r="69" spans="1:9">
      <c r="A69" s="886"/>
      <c r="B69" s="1265">
        <v>2005</v>
      </c>
      <c r="C69" s="1272">
        <v>12657.3</v>
      </c>
      <c r="D69" s="1273">
        <v>37964.5</v>
      </c>
      <c r="E69" s="1272">
        <v>107.9</v>
      </c>
      <c r="F69" s="1273">
        <v>207.6</v>
      </c>
      <c r="G69" s="1272">
        <v>3545.8309195638667</v>
      </c>
      <c r="H69" s="1274">
        <v>54483.130919563861</v>
      </c>
      <c r="I69" s="886"/>
    </row>
    <row r="70" spans="1:9">
      <c r="A70" s="886"/>
      <c r="B70" s="1265" t="s">
        <v>384</v>
      </c>
      <c r="C70" s="1266">
        <v>0.99525965253253068</v>
      </c>
      <c r="D70" s="1267">
        <v>0.33019004596399265</v>
      </c>
      <c r="E70" s="1266">
        <v>0.13531047265987026</v>
      </c>
      <c r="F70" s="1267">
        <v>1</v>
      </c>
      <c r="G70" s="1266">
        <v>0.84162273590048287</v>
      </c>
      <c r="H70" s="1268">
        <v>0.52014727203182398</v>
      </c>
      <c r="I70" s="886"/>
    </row>
    <row r="71" spans="1:9">
      <c r="A71" s="886"/>
      <c r="B71" s="1265" t="s">
        <v>385</v>
      </c>
      <c r="C71" s="1266">
        <v>4.740347467469366E-3</v>
      </c>
      <c r="D71" s="1267">
        <v>0.66980995403600729</v>
      </c>
      <c r="E71" s="1266">
        <v>0.86468952734012983</v>
      </c>
      <c r="F71" s="1267">
        <v>0</v>
      </c>
      <c r="G71" s="1266">
        <v>0.15837726409951705</v>
      </c>
      <c r="H71" s="1268">
        <v>0.47985272796817602</v>
      </c>
      <c r="I71" s="886"/>
    </row>
    <row r="72" spans="1:9">
      <c r="A72" s="886"/>
      <c r="B72" s="1265"/>
      <c r="C72" s="1266"/>
      <c r="D72" s="1267"/>
      <c r="E72" s="1266"/>
      <c r="F72" s="1267"/>
      <c r="G72" s="1266"/>
      <c r="H72" s="1268"/>
      <c r="I72" s="886"/>
    </row>
    <row r="73" spans="1:9">
      <c r="A73" s="886"/>
      <c r="B73" s="1265">
        <v>2006</v>
      </c>
      <c r="C73" s="1272">
        <v>13236</v>
      </c>
      <c r="D73" s="1273">
        <v>40339.699999999997</v>
      </c>
      <c r="E73" s="1272">
        <v>140.40375700000001</v>
      </c>
      <c r="F73" s="1273">
        <v>224.61317000000003</v>
      </c>
      <c r="G73" s="1272">
        <v>3614.3041980777143</v>
      </c>
      <c r="H73" s="1274">
        <v>57555.021125077707</v>
      </c>
      <c r="I73" s="886"/>
    </row>
    <row r="74" spans="1:9">
      <c r="A74" s="886"/>
      <c r="B74" s="1265" t="s">
        <v>384</v>
      </c>
      <c r="C74" s="1266">
        <v>0.99473405862798425</v>
      </c>
      <c r="D74" s="1267">
        <v>0.30432799450665227</v>
      </c>
      <c r="E74" s="1266">
        <v>0.18023692770557412</v>
      </c>
      <c r="F74" s="1267">
        <v>1</v>
      </c>
      <c r="G74" s="1266">
        <v>0.85101065613503146</v>
      </c>
      <c r="H74" s="1268">
        <v>0.4998439742791228</v>
      </c>
      <c r="I74" s="886"/>
    </row>
    <row r="75" spans="1:9">
      <c r="A75" s="886"/>
      <c r="B75" s="1265" t="s">
        <v>385</v>
      </c>
      <c r="C75" s="1266">
        <v>5.2659413720157148E-3</v>
      </c>
      <c r="D75" s="1267">
        <v>0.69567200549334784</v>
      </c>
      <c r="E75" s="1266">
        <v>0.8197630722944258</v>
      </c>
      <c r="F75" s="1267">
        <v>0</v>
      </c>
      <c r="G75" s="1266">
        <v>0.14898934386496854</v>
      </c>
      <c r="H75" s="1268">
        <v>0.50015602572087725</v>
      </c>
      <c r="I75" s="886"/>
    </row>
    <row r="76" spans="1:9">
      <c r="A76" s="886"/>
      <c r="B76" s="1265"/>
      <c r="C76" s="1266"/>
      <c r="D76" s="1267"/>
      <c r="E76" s="1266"/>
      <c r="F76" s="1267"/>
      <c r="G76" s="1266"/>
      <c r="H76" s="1268"/>
      <c r="I76" s="886"/>
    </row>
    <row r="77" spans="1:9">
      <c r="A77" s="886"/>
      <c r="B77" s="1265">
        <v>2007</v>
      </c>
      <c r="C77" s="1272">
        <v>13928.771609798341</v>
      </c>
      <c r="D77" s="1273">
        <v>42034.989644625493</v>
      </c>
      <c r="E77" s="1272">
        <v>148.75834122099999</v>
      </c>
      <c r="F77" s="1273">
        <v>239.52180479999998</v>
      </c>
      <c r="G77" s="1272">
        <v>3785.5697422122894</v>
      </c>
      <c r="H77" s="1274">
        <v>60137.61114265713</v>
      </c>
      <c r="I77" s="886"/>
    </row>
    <row r="78" spans="1:9">
      <c r="A78" s="886"/>
      <c r="B78" s="1265" t="s">
        <v>384</v>
      </c>
      <c r="C78" s="1266">
        <v>0.99621115188916765</v>
      </c>
      <c r="D78" s="1267">
        <v>0.47342313482341536</v>
      </c>
      <c r="E78" s="1266">
        <v>0.33294865076788099</v>
      </c>
      <c r="F78" s="1267">
        <v>1</v>
      </c>
      <c r="G78" s="1266">
        <v>0.87428513000479491</v>
      </c>
      <c r="H78" s="1268">
        <v>0.62149213275164439</v>
      </c>
      <c r="I78" s="886"/>
    </row>
    <row r="79" spans="1:9">
      <c r="A79" s="886"/>
      <c r="B79" s="1265" t="s">
        <v>385</v>
      </c>
      <c r="C79" s="1266">
        <v>3.7888481108323707E-3</v>
      </c>
      <c r="D79" s="1267">
        <v>0.52657686517658475</v>
      </c>
      <c r="E79" s="1266">
        <v>0.66705134923211906</v>
      </c>
      <c r="F79" s="1267">
        <v>0</v>
      </c>
      <c r="G79" s="1266">
        <v>0.12571486999520509</v>
      </c>
      <c r="H79" s="1268">
        <v>0.37850786724835561</v>
      </c>
      <c r="I79" s="886"/>
    </row>
    <row r="80" spans="1:9">
      <c r="A80" s="886"/>
      <c r="B80" s="1265"/>
      <c r="C80" s="1266"/>
      <c r="D80" s="1267"/>
      <c r="E80" s="1266"/>
      <c r="F80" s="1267"/>
      <c r="G80" s="1266"/>
      <c r="H80" s="1268"/>
      <c r="I80" s="886"/>
    </row>
    <row r="81" spans="1:9">
      <c r="A81" s="886"/>
      <c r="B81" s="1265">
        <v>2008</v>
      </c>
      <c r="C81" s="1272">
        <v>14488.047670999997</v>
      </c>
      <c r="D81" s="1273">
        <v>41971.04847714334</v>
      </c>
      <c r="E81" s="1272">
        <v>139.49852300000001</v>
      </c>
      <c r="F81" s="1273">
        <v>249.23256430000001</v>
      </c>
      <c r="G81" s="1272">
        <v>4010.3780447685504</v>
      </c>
      <c r="H81" s="1274">
        <v>60858.205280211885</v>
      </c>
      <c r="I81" s="886"/>
    </row>
    <row r="82" spans="1:9">
      <c r="A82" s="886"/>
      <c r="B82" s="1265" t="s">
        <v>384</v>
      </c>
      <c r="C82" s="1266">
        <v>0.99530272804553088</v>
      </c>
      <c r="D82" s="1267">
        <v>0.43520759157127303</v>
      </c>
      <c r="E82" s="1266">
        <v>0.24296027134280121</v>
      </c>
      <c r="F82" s="1267">
        <v>1</v>
      </c>
      <c r="G82" s="1266">
        <v>0.89507597730121613</v>
      </c>
      <c r="H82" s="1268">
        <v>0.6007214694747891</v>
      </c>
      <c r="I82" s="886"/>
    </row>
    <row r="83" spans="1:9">
      <c r="A83" s="886"/>
      <c r="B83" s="1265" t="s">
        <v>385</v>
      </c>
      <c r="C83" s="1266">
        <v>4.6972719544691255E-3</v>
      </c>
      <c r="D83" s="1267">
        <v>0.56479240842872691</v>
      </c>
      <c r="E83" s="1266">
        <v>0.75703972865719871</v>
      </c>
      <c r="F83" s="1267">
        <v>0</v>
      </c>
      <c r="G83" s="1266">
        <v>0.1049240226987839</v>
      </c>
      <c r="H83" s="1268">
        <v>0.3992785305252109</v>
      </c>
      <c r="I83" s="886"/>
    </row>
    <row r="84" spans="1:9">
      <c r="A84" s="886"/>
      <c r="B84" s="1265"/>
      <c r="C84" s="1266"/>
      <c r="D84" s="1267"/>
      <c r="E84" s="1266"/>
      <c r="F84" s="1267"/>
      <c r="G84" s="1266"/>
      <c r="H84" s="1268"/>
      <c r="I84" s="886"/>
    </row>
    <row r="85" spans="1:9">
      <c r="A85" s="886"/>
      <c r="B85" s="1265">
        <v>2009</v>
      </c>
      <c r="C85" s="1272">
        <v>14896.286869999998</v>
      </c>
      <c r="D85" s="1273">
        <v>42031.001830529087</v>
      </c>
      <c r="E85" s="1272">
        <v>137.16049648999999</v>
      </c>
      <c r="F85" s="1273">
        <v>256.00942700000002</v>
      </c>
      <c r="G85" s="1272">
        <v>3717.5861757049015</v>
      </c>
      <c r="H85" s="1274">
        <f>SUM(C85:G85)</f>
        <v>61038.044799723983</v>
      </c>
      <c r="I85" s="886"/>
    </row>
    <row r="86" spans="1:9">
      <c r="A86" s="886"/>
      <c r="B86" s="1265" t="s">
        <v>384</v>
      </c>
      <c r="C86" s="1266">
        <v>0.9958345639727868</v>
      </c>
      <c r="D86" s="1267">
        <v>0.41220859210403976</v>
      </c>
      <c r="E86" s="1266">
        <v>0.19207002952136953</v>
      </c>
      <c r="F86" s="1267">
        <v>1</v>
      </c>
      <c r="G86" s="1266">
        <v>0.89900510351214424</v>
      </c>
      <c r="H86" s="1268">
        <f>BALANCE_ELECT!D21</f>
        <v>0.58626157405620938</v>
      </c>
      <c r="I86" s="886"/>
    </row>
    <row r="87" spans="1:9" ht="13.5" thickBot="1">
      <c r="A87" s="886"/>
      <c r="B87" s="1275" t="s">
        <v>385</v>
      </c>
      <c r="C87" s="1276">
        <v>4.165436027213136E-3</v>
      </c>
      <c r="D87" s="1277">
        <v>0.58779140789596018</v>
      </c>
      <c r="E87" s="1276">
        <v>0.80792997047863047</v>
      </c>
      <c r="F87" s="1277">
        <v>0</v>
      </c>
      <c r="G87" s="1276">
        <v>0.10099489648785573</v>
      </c>
      <c r="H87" s="1278">
        <f>BALANCE_ELECT!D26</f>
        <v>0.41373842594379062</v>
      </c>
      <c r="I87" s="886"/>
    </row>
    <row r="88" spans="1:9">
      <c r="A88" s="886"/>
      <c r="B88" s="919" t="s">
        <v>488</v>
      </c>
      <c r="C88" s="1279"/>
      <c r="D88" s="1279"/>
      <c r="E88" s="1279"/>
      <c r="F88" s="1279"/>
      <c r="G88" s="1279"/>
      <c r="H88" s="1279"/>
      <c r="I88" s="886"/>
    </row>
    <row r="89" spans="1:9">
      <c r="A89" s="928"/>
      <c r="B89" s="929" t="s">
        <v>765</v>
      </c>
      <c r="C89" s="920"/>
      <c r="D89" s="920"/>
      <c r="E89" s="920"/>
      <c r="F89" s="1279"/>
      <c r="G89" s="1279"/>
      <c r="H89" s="1279"/>
      <c r="I89" s="886"/>
    </row>
    <row r="90" spans="1:9">
      <c r="A90" s="928"/>
      <c r="B90" s="929" t="s">
        <v>766</v>
      </c>
      <c r="C90" s="920"/>
      <c r="D90" s="920"/>
      <c r="E90" s="920"/>
      <c r="F90" s="1279"/>
      <c r="G90" s="1279"/>
      <c r="H90" s="1279"/>
      <c r="I90" s="886"/>
    </row>
    <row r="91" spans="1:9">
      <c r="A91" s="928"/>
      <c r="B91" s="929" t="s">
        <v>822</v>
      </c>
      <c r="C91" s="920"/>
      <c r="D91" s="920"/>
      <c r="E91" s="920"/>
      <c r="F91" s="1279"/>
      <c r="G91" s="1279"/>
      <c r="H91" s="1279"/>
      <c r="I91" s="886"/>
    </row>
    <row r="92" spans="1:9">
      <c r="A92" s="928"/>
      <c r="B92" s="929" t="s">
        <v>821</v>
      </c>
      <c r="C92" s="920"/>
      <c r="D92" s="920"/>
      <c r="E92" s="920"/>
      <c r="F92" s="1279"/>
      <c r="G92" s="1279"/>
      <c r="H92" s="1279"/>
      <c r="I92" s="886"/>
    </row>
    <row r="93" spans="1:9">
      <c r="A93" s="928"/>
      <c r="B93" s="930"/>
      <c r="C93" s="920"/>
      <c r="D93" s="920"/>
      <c r="E93" s="920"/>
      <c r="F93" s="1279"/>
      <c r="G93" s="1279"/>
      <c r="H93" s="1279"/>
      <c r="I93" s="886"/>
    </row>
    <row r="94" spans="1:9">
      <c r="A94" s="928"/>
      <c r="B94" s="922"/>
      <c r="C94" s="920"/>
      <c r="D94" s="920"/>
      <c r="E94" s="920"/>
      <c r="F94" s="1279"/>
      <c r="G94" s="1279"/>
      <c r="H94" s="1279"/>
      <c r="I94" s="886"/>
    </row>
    <row r="95" spans="1:9">
      <c r="A95" s="886"/>
      <c r="B95" s="922" t="s">
        <v>393</v>
      </c>
      <c r="C95" s="928"/>
      <c r="D95" s="922"/>
      <c r="E95" s="922"/>
      <c r="F95" s="922"/>
      <c r="G95" s="556"/>
      <c r="H95" s="556"/>
      <c r="I95" s="886"/>
    </row>
    <row r="96" spans="1:9">
      <c r="A96" s="886"/>
      <c r="B96" s="922" t="s">
        <v>768</v>
      </c>
      <c r="C96" s="928"/>
      <c r="D96" s="922"/>
      <c r="E96" s="922"/>
      <c r="F96" s="922"/>
      <c r="G96" s="556"/>
      <c r="H96" s="556"/>
      <c r="I96" s="886"/>
    </row>
    <row r="97" spans="1:9">
      <c r="A97" s="886"/>
      <c r="B97" s="922" t="s">
        <v>769</v>
      </c>
      <c r="C97" s="928"/>
      <c r="D97" s="922"/>
      <c r="E97" s="922"/>
      <c r="F97" s="922"/>
      <c r="G97" s="556"/>
      <c r="H97" s="556"/>
      <c r="I97" s="886"/>
    </row>
    <row r="98" spans="1:9">
      <c r="A98" s="886"/>
      <c r="B98" s="922" t="s">
        <v>394</v>
      </c>
      <c r="C98" s="928"/>
      <c r="D98" s="922"/>
      <c r="E98" s="922"/>
      <c r="F98" s="922"/>
      <c r="G98" s="556"/>
      <c r="H98" s="556"/>
      <c r="I98" s="886"/>
    </row>
    <row r="99" spans="1:9">
      <c r="A99" s="886"/>
      <c r="B99" s="556"/>
      <c r="C99" s="886"/>
      <c r="D99" s="556"/>
      <c r="E99" s="556"/>
      <c r="F99" s="556"/>
      <c r="G99" s="556"/>
      <c r="H99" s="556"/>
      <c r="I99" s="886"/>
    </row>
    <row r="100" spans="1:9">
      <c r="A100" s="886"/>
      <c r="B100" s="556"/>
      <c r="C100" s="556"/>
      <c r="D100" s="556"/>
      <c r="E100" s="556"/>
      <c r="F100" s="556"/>
      <c r="G100" s="556"/>
      <c r="H100" s="556"/>
      <c r="I100" s="886"/>
    </row>
    <row r="101" spans="1:9">
      <c r="A101" s="886"/>
      <c r="B101" s="556"/>
      <c r="C101" s="556"/>
      <c r="D101" s="556"/>
      <c r="E101" s="556"/>
      <c r="F101" s="556"/>
      <c r="G101" s="556"/>
      <c r="H101" s="556"/>
      <c r="I101" s="886"/>
    </row>
  </sheetData>
  <phoneticPr fontId="50" type="noConversion"/>
  <hyperlinks>
    <hyperlink ref="H1" location="INDICE!A70" display="VOLVER A INDICE"/>
  </hyperlinks>
  <pageMargins left="0.75" right="0.75" top="1" bottom="1" header="0" footer="0"/>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69"/>
  <sheetViews>
    <sheetView workbookViewId="0">
      <selection activeCell="D25" sqref="D25"/>
    </sheetView>
  </sheetViews>
  <sheetFormatPr baseColWidth="10" defaultRowHeight="12.75"/>
  <cols>
    <col min="1" max="1" width="1.7109375" style="3" customWidth="1"/>
    <col min="2" max="2" width="26.5703125" style="260" customWidth="1"/>
    <col min="3" max="3" width="11.42578125" style="260"/>
    <col min="4" max="4" width="21" style="260" customWidth="1"/>
    <col min="5" max="22" width="11.42578125" style="3"/>
    <col min="23" max="16384" width="11.42578125" style="260"/>
  </cols>
  <sheetData>
    <row r="1" spans="1:6" ht="9" customHeight="1"/>
    <row r="2" spans="1:6">
      <c r="A2" s="227"/>
      <c r="B2" s="228"/>
      <c r="C2" s="229"/>
      <c r="D2" s="230"/>
      <c r="E2" s="227"/>
      <c r="F2" s="252" t="s">
        <v>606</v>
      </c>
    </row>
    <row r="3" spans="1:6">
      <c r="A3" s="227"/>
      <c r="B3" s="235"/>
      <c r="C3" s="226"/>
      <c r="D3" s="236"/>
      <c r="E3" s="227"/>
    </row>
    <row r="4" spans="1:6">
      <c r="A4" s="227"/>
      <c r="B4" s="231"/>
      <c r="C4" s="225" t="s">
        <v>516</v>
      </c>
      <c r="D4" s="232"/>
      <c r="E4" s="227"/>
    </row>
    <row r="5" spans="1:6">
      <c r="A5" s="227"/>
      <c r="B5" s="233"/>
      <c r="C5" s="225" t="s">
        <v>517</v>
      </c>
      <c r="D5" s="234"/>
      <c r="E5" s="227"/>
    </row>
    <row r="6" spans="1:6">
      <c r="A6" s="227"/>
      <c r="B6" s="237"/>
      <c r="C6" s="238"/>
      <c r="D6" s="239"/>
      <c r="E6" s="227"/>
    </row>
    <row r="7" spans="1:6">
      <c r="A7" s="227"/>
      <c r="B7" s="316" t="s">
        <v>518</v>
      </c>
      <c r="C7" s="317" t="s">
        <v>519</v>
      </c>
      <c r="D7" s="318" t="s">
        <v>520</v>
      </c>
      <c r="E7" s="227"/>
    </row>
    <row r="8" spans="1:6">
      <c r="A8" s="227"/>
      <c r="B8" s="316"/>
      <c r="C8" s="317" t="s">
        <v>521</v>
      </c>
      <c r="D8" s="318" t="s">
        <v>522</v>
      </c>
      <c r="E8" s="227"/>
    </row>
    <row r="9" spans="1:6">
      <c r="A9" s="227"/>
      <c r="B9" s="316" t="s">
        <v>523</v>
      </c>
      <c r="C9" s="319">
        <v>0.82450000000000001</v>
      </c>
      <c r="D9" s="320">
        <v>10963</v>
      </c>
      <c r="E9" s="227" t="s">
        <v>472</v>
      </c>
    </row>
    <row r="10" spans="1:6">
      <c r="A10" s="227"/>
      <c r="B10" s="316" t="s">
        <v>524</v>
      </c>
      <c r="C10" s="319">
        <v>0.85499999999999998</v>
      </c>
      <c r="D10" s="320">
        <v>10860</v>
      </c>
      <c r="E10" s="227"/>
    </row>
    <row r="11" spans="1:6">
      <c r="A11" s="227"/>
      <c r="B11" s="316" t="s">
        <v>525</v>
      </c>
      <c r="C11" s="319">
        <v>0.92700000000000005</v>
      </c>
      <c r="D11" s="320">
        <v>10500</v>
      </c>
      <c r="E11" s="227"/>
    </row>
    <row r="12" spans="1:6">
      <c r="A12" s="227"/>
      <c r="B12" s="316" t="s">
        <v>526</v>
      </c>
      <c r="C12" s="319">
        <v>0.93600000000000005</v>
      </c>
      <c r="D12" s="320">
        <v>10500</v>
      </c>
      <c r="E12" s="227"/>
    </row>
    <row r="13" spans="1:6">
      <c r="A13" s="227"/>
      <c r="B13" s="316" t="s">
        <v>527</v>
      </c>
      <c r="C13" s="319">
        <v>0.94499999999999995</v>
      </c>
      <c r="D13" s="320">
        <v>10500</v>
      </c>
      <c r="E13" s="227"/>
    </row>
    <row r="14" spans="1:6">
      <c r="A14" s="227"/>
      <c r="B14" s="316" t="s">
        <v>77</v>
      </c>
      <c r="C14" s="319">
        <v>0.7</v>
      </c>
      <c r="D14" s="320">
        <v>11500</v>
      </c>
      <c r="E14" s="227"/>
    </row>
    <row r="15" spans="1:6">
      <c r="A15" s="227"/>
      <c r="B15" s="316" t="s">
        <v>74</v>
      </c>
      <c r="C15" s="319">
        <v>0.55000000000000004</v>
      </c>
      <c r="D15" s="320">
        <v>12100</v>
      </c>
      <c r="E15" s="227"/>
    </row>
    <row r="16" spans="1:6">
      <c r="A16" s="227"/>
      <c r="B16" s="316" t="s">
        <v>528</v>
      </c>
      <c r="C16" s="319">
        <v>0.73</v>
      </c>
      <c r="D16" s="320">
        <v>11200</v>
      </c>
      <c r="E16" s="227"/>
    </row>
    <row r="17" spans="1:5">
      <c r="A17" s="227"/>
      <c r="B17" s="316" t="s">
        <v>193</v>
      </c>
      <c r="C17" s="319">
        <v>0.7</v>
      </c>
      <c r="D17" s="320">
        <v>11400</v>
      </c>
      <c r="E17" s="227"/>
    </row>
    <row r="18" spans="1:5">
      <c r="A18" s="227"/>
      <c r="B18" s="316" t="s">
        <v>76</v>
      </c>
      <c r="C18" s="319">
        <v>0.81</v>
      </c>
      <c r="D18" s="320">
        <v>11100</v>
      </c>
      <c r="E18" s="227"/>
    </row>
    <row r="19" spans="1:5">
      <c r="A19" s="227"/>
      <c r="B19" s="316" t="s">
        <v>73</v>
      </c>
      <c r="C19" s="319">
        <v>0.81</v>
      </c>
      <c r="D19" s="320">
        <v>11100</v>
      </c>
      <c r="E19" s="227"/>
    </row>
    <row r="20" spans="1:5">
      <c r="A20" s="227"/>
      <c r="B20" s="316" t="s">
        <v>72</v>
      </c>
      <c r="C20" s="319">
        <v>0.84</v>
      </c>
      <c r="D20" s="320">
        <v>10900</v>
      </c>
      <c r="E20" s="227"/>
    </row>
    <row r="21" spans="1:5">
      <c r="A21" s="227"/>
      <c r="B21" s="316" t="s">
        <v>529</v>
      </c>
      <c r="C21" s="321" t="s">
        <v>235</v>
      </c>
      <c r="D21" s="320">
        <v>9341</v>
      </c>
      <c r="E21" s="227" t="s">
        <v>530</v>
      </c>
    </row>
    <row r="22" spans="1:5">
      <c r="A22" s="227"/>
      <c r="B22" s="316" t="s">
        <v>26</v>
      </c>
      <c r="C22" s="321" t="s">
        <v>235</v>
      </c>
      <c r="D22" s="320">
        <v>3500</v>
      </c>
      <c r="E22" s="227"/>
    </row>
    <row r="23" spans="1:5">
      <c r="A23" s="227"/>
      <c r="B23" s="316" t="s">
        <v>24</v>
      </c>
      <c r="C23" s="321" t="s">
        <v>235</v>
      </c>
      <c r="D23" s="320">
        <v>7000</v>
      </c>
      <c r="E23" s="227"/>
    </row>
    <row r="24" spans="1:5">
      <c r="A24" s="227"/>
      <c r="B24" s="316" t="s">
        <v>302</v>
      </c>
      <c r="C24" s="321"/>
      <c r="D24" s="320">
        <v>7000</v>
      </c>
      <c r="E24" s="227"/>
    </row>
    <row r="25" spans="1:5">
      <c r="A25" s="227"/>
      <c r="B25" s="316" t="s">
        <v>27</v>
      </c>
      <c r="C25" s="321" t="s">
        <v>235</v>
      </c>
      <c r="D25" s="320">
        <v>5600</v>
      </c>
      <c r="E25" s="227" t="s">
        <v>530</v>
      </c>
    </row>
    <row r="26" spans="1:5">
      <c r="A26" s="227"/>
      <c r="B26" s="316" t="s">
        <v>531</v>
      </c>
      <c r="C26" s="321" t="s">
        <v>235</v>
      </c>
      <c r="D26" s="320">
        <v>4260</v>
      </c>
      <c r="E26" s="227" t="s">
        <v>532</v>
      </c>
    </row>
    <row r="27" spans="1:5">
      <c r="A27" s="227"/>
      <c r="B27" s="316" t="s">
        <v>35</v>
      </c>
      <c r="C27" s="321" t="s">
        <v>235</v>
      </c>
      <c r="D27" s="320">
        <v>860</v>
      </c>
      <c r="E27" s="227" t="s">
        <v>533</v>
      </c>
    </row>
    <row r="28" spans="1:5">
      <c r="A28" s="227"/>
      <c r="B28" s="322" t="s">
        <v>534</v>
      </c>
      <c r="C28" s="323"/>
      <c r="D28" s="324"/>
      <c r="E28" s="227"/>
    </row>
    <row r="29" spans="1:5">
      <c r="A29" s="227"/>
      <c r="B29" s="322" t="s">
        <v>535</v>
      </c>
      <c r="C29" s="323"/>
      <c r="D29" s="324"/>
      <c r="E29" s="227"/>
    </row>
    <row r="30" spans="1:5">
      <c r="A30" s="227"/>
      <c r="B30" s="322" t="s">
        <v>536</v>
      </c>
      <c r="C30" s="323"/>
      <c r="D30" s="324"/>
      <c r="E30" s="227"/>
    </row>
    <row r="31" spans="1:5">
      <c r="A31" s="227"/>
      <c r="B31" s="322" t="s">
        <v>537</v>
      </c>
      <c r="C31" s="323"/>
      <c r="D31" s="324"/>
      <c r="E31" s="227"/>
    </row>
    <row r="32" spans="1:5">
      <c r="A32" s="227"/>
      <c r="B32" s="325" t="s">
        <v>538</v>
      </c>
      <c r="C32" s="323"/>
      <c r="D32" s="324"/>
      <c r="E32" s="227"/>
    </row>
    <row r="33" spans="1:5">
      <c r="A33" s="227"/>
      <c r="B33" s="326" t="s">
        <v>539</v>
      </c>
      <c r="C33" s="327"/>
      <c r="D33" s="328"/>
      <c r="E33" s="227"/>
    </row>
    <row r="34" spans="1:5">
      <c r="A34" s="227"/>
      <c r="B34" s="227"/>
      <c r="C34" s="227"/>
      <c r="D34" s="227"/>
      <c r="E34" s="227"/>
    </row>
    <row r="35" spans="1:5">
      <c r="B35" s="3"/>
      <c r="C35" s="3"/>
      <c r="D35" s="3"/>
    </row>
    <row r="36" spans="1:5">
      <c r="B36" s="3"/>
      <c r="C36" s="3"/>
      <c r="D36" s="3"/>
    </row>
    <row r="37" spans="1:5">
      <c r="B37" s="3"/>
      <c r="C37" s="3"/>
      <c r="D37" s="3"/>
    </row>
    <row r="38" spans="1:5">
      <c r="B38" s="3"/>
      <c r="C38" s="3"/>
      <c r="D38" s="3"/>
    </row>
    <row r="39" spans="1:5">
      <c r="B39" s="3"/>
      <c r="C39" s="3"/>
      <c r="D39" s="3"/>
    </row>
    <row r="40" spans="1:5">
      <c r="B40" s="3"/>
      <c r="C40" s="3"/>
      <c r="D40" s="3"/>
    </row>
    <row r="41" spans="1:5">
      <c r="B41" s="3"/>
      <c r="C41" s="3"/>
      <c r="D41" s="3"/>
    </row>
    <row r="42" spans="1:5">
      <c r="B42" s="3"/>
      <c r="C42" s="3"/>
      <c r="D42" s="3"/>
    </row>
    <row r="43" spans="1:5">
      <c r="B43" s="3"/>
      <c r="C43" s="3"/>
      <c r="D43" s="3"/>
    </row>
    <row r="44" spans="1:5">
      <c r="B44" s="3"/>
      <c r="C44" s="3"/>
      <c r="D44" s="3"/>
    </row>
    <row r="45" spans="1:5">
      <c r="B45" s="3"/>
      <c r="C45" s="3"/>
      <c r="D45" s="3"/>
    </row>
    <row r="46" spans="1:5">
      <c r="B46" s="3"/>
      <c r="C46" s="3"/>
      <c r="D46" s="3"/>
    </row>
    <row r="47" spans="1:5">
      <c r="B47" s="3"/>
      <c r="C47" s="3"/>
      <c r="D47" s="3"/>
    </row>
    <row r="48" spans="1:5">
      <c r="B48" s="3"/>
      <c r="C48" s="3"/>
      <c r="D48" s="3"/>
    </row>
    <row r="49" spans="2:4">
      <c r="B49" s="3"/>
      <c r="C49" s="3"/>
      <c r="D49" s="3"/>
    </row>
    <row r="50" spans="2:4">
      <c r="B50" s="3"/>
      <c r="C50" s="3"/>
      <c r="D50" s="3"/>
    </row>
    <row r="51" spans="2:4">
      <c r="B51" s="3"/>
      <c r="C51" s="3"/>
      <c r="D51" s="3"/>
    </row>
    <row r="52" spans="2:4">
      <c r="B52" s="3"/>
      <c r="C52" s="3"/>
      <c r="D52" s="3"/>
    </row>
    <row r="53" spans="2:4">
      <c r="B53" s="3"/>
      <c r="C53" s="3"/>
      <c r="D53" s="3"/>
    </row>
    <row r="54" spans="2:4">
      <c r="B54" s="3"/>
      <c r="C54" s="3"/>
      <c r="D54" s="3"/>
    </row>
    <row r="55" spans="2:4">
      <c r="B55" s="3"/>
      <c r="C55" s="3"/>
      <c r="D55" s="3"/>
    </row>
    <row r="56" spans="2:4">
      <c r="B56" s="3"/>
      <c r="C56" s="3"/>
      <c r="D56" s="3"/>
    </row>
    <row r="57" spans="2:4">
      <c r="B57" s="3"/>
      <c r="C57" s="3"/>
      <c r="D57" s="3"/>
    </row>
    <row r="58" spans="2:4">
      <c r="B58" s="3"/>
      <c r="C58" s="3"/>
      <c r="D58" s="3"/>
    </row>
    <row r="59" spans="2:4">
      <c r="B59" s="3"/>
      <c r="C59" s="3"/>
      <c r="D59" s="3"/>
    </row>
    <row r="60" spans="2:4">
      <c r="B60" s="3"/>
      <c r="C60" s="3"/>
      <c r="D60" s="3"/>
    </row>
    <row r="61" spans="2:4">
      <c r="B61" s="3"/>
      <c r="C61" s="3"/>
      <c r="D61" s="3"/>
    </row>
    <row r="62" spans="2:4">
      <c r="B62" s="3"/>
      <c r="C62" s="3"/>
      <c r="D62" s="3"/>
    </row>
    <row r="63" spans="2:4">
      <c r="B63" s="3"/>
      <c r="C63" s="3"/>
      <c r="D63" s="3"/>
    </row>
    <row r="64" spans="2:4">
      <c r="B64" s="3"/>
      <c r="C64" s="3"/>
      <c r="D64" s="3"/>
    </row>
    <row r="65" s="3" customFormat="1"/>
    <row r="66" s="3" customFormat="1"/>
    <row r="67" s="3" customFormat="1"/>
    <row r="68" s="3" customFormat="1"/>
    <row r="69" s="3" customFormat="1"/>
  </sheetData>
  <phoneticPr fontId="0" type="noConversion"/>
  <hyperlinks>
    <hyperlink ref="F2" location="INDICE!A70" display="VOLVER A INDICE"/>
  </hyperlinks>
  <pageMargins left="0.75" right="0.75" top="1" bottom="1" header="0" footer="0"/>
  <headerFooter alignWithMargin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V109"/>
  <sheetViews>
    <sheetView workbookViewId="0">
      <selection activeCell="M34" sqref="M34"/>
    </sheetView>
  </sheetViews>
  <sheetFormatPr baseColWidth="10" defaultRowHeight="12.75"/>
  <cols>
    <col min="1" max="1" width="1.7109375" style="260" customWidth="1"/>
    <col min="2" max="11" width="11.42578125" style="260"/>
    <col min="12" max="22" width="11.42578125" style="3"/>
    <col min="23" max="16384" width="11.42578125" style="260"/>
  </cols>
  <sheetData>
    <row r="1" spans="2:15" ht="5.25" customHeight="1" thickBot="1"/>
    <row r="2" spans="2:15">
      <c r="B2" s="329"/>
      <c r="C2" s="330"/>
      <c r="D2" s="330"/>
      <c r="E2" s="330"/>
      <c r="F2" s="330"/>
      <c r="G2" s="330"/>
      <c r="H2" s="330"/>
      <c r="I2" s="330"/>
      <c r="J2" s="330"/>
      <c r="K2" s="331"/>
      <c r="L2" s="245"/>
      <c r="M2" s="245"/>
      <c r="N2" s="245"/>
      <c r="O2" s="245"/>
    </row>
    <row r="3" spans="2:15">
      <c r="B3" s="332"/>
      <c r="C3" s="242"/>
      <c r="D3" s="243"/>
      <c r="E3" s="243"/>
      <c r="F3" s="243"/>
      <c r="G3" s="243"/>
      <c r="H3" s="243"/>
      <c r="I3" s="242"/>
      <c r="J3" s="242"/>
      <c r="K3" s="333"/>
      <c r="L3" s="254" t="s">
        <v>606</v>
      </c>
      <c r="M3" s="245"/>
      <c r="N3" s="245"/>
      <c r="O3" s="245"/>
    </row>
    <row r="4" spans="2:15">
      <c r="B4" s="334"/>
      <c r="C4" s="240"/>
      <c r="D4" s="241" t="s">
        <v>540</v>
      </c>
      <c r="E4" s="240"/>
      <c r="F4" s="240"/>
      <c r="G4" s="240"/>
      <c r="H4" s="240"/>
      <c r="I4" s="240"/>
      <c r="J4" s="240"/>
      <c r="K4" s="335"/>
      <c r="L4" s="245"/>
      <c r="M4" s="245"/>
      <c r="N4" s="245"/>
      <c r="O4" s="245"/>
    </row>
    <row r="5" spans="2:15">
      <c r="B5" s="334"/>
      <c r="C5" s="240"/>
      <c r="D5" s="240"/>
      <c r="E5" s="240" t="s">
        <v>541</v>
      </c>
      <c r="F5" s="240"/>
      <c r="G5" s="241" t="s">
        <v>542</v>
      </c>
      <c r="H5" s="240"/>
      <c r="I5" s="240"/>
      <c r="J5" s="240"/>
      <c r="K5" s="335"/>
      <c r="L5" s="245"/>
      <c r="M5" s="245"/>
      <c r="N5" s="245"/>
      <c r="O5" s="245"/>
    </row>
    <row r="6" spans="2:15">
      <c r="B6" s="336"/>
      <c r="C6" s="240"/>
      <c r="D6" s="240"/>
      <c r="E6" s="240"/>
      <c r="F6" s="240"/>
      <c r="G6" s="240"/>
      <c r="H6" s="240"/>
      <c r="I6" s="240"/>
      <c r="J6" s="240"/>
      <c r="K6" s="335"/>
      <c r="L6" s="245"/>
      <c r="M6" s="245"/>
      <c r="N6" s="245"/>
      <c r="O6" s="245"/>
    </row>
    <row r="7" spans="2:15">
      <c r="B7" s="337"/>
      <c r="C7" s="244" t="s">
        <v>543</v>
      </c>
      <c r="D7" s="244" t="s">
        <v>544</v>
      </c>
      <c r="E7" s="244" t="s">
        <v>474</v>
      </c>
      <c r="F7" s="244" t="s">
        <v>545</v>
      </c>
      <c r="G7" s="244" t="s">
        <v>546</v>
      </c>
      <c r="H7" s="244" t="s">
        <v>547</v>
      </c>
      <c r="I7" s="244" t="s">
        <v>548</v>
      </c>
      <c r="J7" s="244" t="s">
        <v>549</v>
      </c>
      <c r="K7" s="338" t="s">
        <v>550</v>
      </c>
      <c r="L7" s="245"/>
      <c r="M7" s="245"/>
      <c r="N7" s="245"/>
      <c r="O7" s="245"/>
    </row>
    <row r="8" spans="2:15">
      <c r="B8" s="339" t="s">
        <v>543</v>
      </c>
      <c r="C8" s="263">
        <v>1</v>
      </c>
      <c r="D8" s="263">
        <v>0.13780000000000001</v>
      </c>
      <c r="E8" s="263">
        <v>1.39E-3</v>
      </c>
      <c r="F8" s="263">
        <v>5.8100000000000001E-3</v>
      </c>
      <c r="G8" s="263">
        <v>5524.86</v>
      </c>
      <c r="H8" s="263">
        <v>1.613944</v>
      </c>
      <c r="I8" s="263">
        <v>131.0615</v>
      </c>
      <c r="J8" s="263">
        <v>167.2073</v>
      </c>
      <c r="K8" s="340">
        <v>5917.1597000000002</v>
      </c>
      <c r="L8" s="245"/>
      <c r="M8" s="245"/>
      <c r="N8" s="245"/>
      <c r="O8" s="245"/>
    </row>
    <row r="9" spans="2:15">
      <c r="B9" s="341"/>
      <c r="C9" s="264"/>
      <c r="D9" s="264"/>
      <c r="E9" s="264"/>
      <c r="F9" s="264"/>
      <c r="G9" s="264"/>
      <c r="H9" s="264"/>
      <c r="I9" s="264"/>
      <c r="J9" s="264"/>
      <c r="K9" s="342"/>
      <c r="L9" s="245"/>
      <c r="M9" s="245"/>
      <c r="N9" s="245"/>
      <c r="O9" s="245"/>
    </row>
    <row r="10" spans="2:15">
      <c r="B10" s="343" t="s">
        <v>544</v>
      </c>
      <c r="C10" s="266">
        <v>7.2056490000000002</v>
      </c>
      <c r="D10" s="266">
        <v>1</v>
      </c>
      <c r="E10" s="266">
        <v>0.01</v>
      </c>
      <c r="F10" s="266">
        <v>4.1840000000000002E-2</v>
      </c>
      <c r="G10" s="266">
        <v>39810.22</v>
      </c>
      <c r="H10" s="266">
        <v>11.62951</v>
      </c>
      <c r="I10" s="266">
        <v>944.38379999999995</v>
      </c>
      <c r="J10" s="266">
        <v>1204.837</v>
      </c>
      <c r="K10" s="344">
        <v>42636.976000000002</v>
      </c>
      <c r="L10" s="245"/>
      <c r="M10" s="245"/>
      <c r="N10" s="245"/>
      <c r="O10" s="245"/>
    </row>
    <row r="11" spans="2:15">
      <c r="B11" s="341"/>
      <c r="C11" s="264"/>
      <c r="D11" s="264"/>
      <c r="E11" s="264"/>
      <c r="F11" s="264"/>
      <c r="G11" s="264"/>
      <c r="H11" s="264"/>
      <c r="I11" s="264"/>
      <c r="J11" s="264"/>
      <c r="K11" s="342"/>
      <c r="L11" s="245"/>
      <c r="M11" s="245"/>
      <c r="N11" s="245"/>
      <c r="O11" s="245"/>
    </row>
    <row r="12" spans="2:15">
      <c r="B12" s="343" t="s">
        <v>474</v>
      </c>
      <c r="C12" s="266">
        <v>720.56489999999997</v>
      </c>
      <c r="D12" s="266">
        <v>100</v>
      </c>
      <c r="E12" s="266">
        <v>1</v>
      </c>
      <c r="F12" s="266">
        <v>4.1840000000000002</v>
      </c>
      <c r="G12" s="266">
        <v>3981022</v>
      </c>
      <c r="H12" s="266">
        <v>1162.952</v>
      </c>
      <c r="I12" s="266">
        <v>94438.38</v>
      </c>
      <c r="J12" s="266">
        <v>120483.7</v>
      </c>
      <c r="K12" s="344">
        <v>4263697.5999999996</v>
      </c>
      <c r="L12" s="245"/>
      <c r="M12" s="245"/>
      <c r="N12" s="245"/>
      <c r="O12" s="245"/>
    </row>
    <row r="13" spans="2:15">
      <c r="B13" s="341"/>
      <c r="C13" s="264"/>
      <c r="D13" s="264"/>
      <c r="E13" s="264"/>
      <c r="F13" s="264"/>
      <c r="G13" s="264"/>
      <c r="H13" s="264"/>
      <c r="I13" s="264"/>
      <c r="J13" s="264"/>
      <c r="K13" s="342"/>
      <c r="L13" s="245"/>
      <c r="M13" s="245"/>
      <c r="N13" s="245"/>
      <c r="O13" s="245"/>
    </row>
    <row r="14" spans="2:15">
      <c r="B14" s="343" t="s">
        <v>545</v>
      </c>
      <c r="C14" s="266">
        <v>172.2191</v>
      </c>
      <c r="D14" s="266">
        <v>23.900569999999998</v>
      </c>
      <c r="E14" s="266">
        <v>0.239005</v>
      </c>
      <c r="F14" s="266">
        <v>1</v>
      </c>
      <c r="G14" s="266">
        <v>952380.95238095243</v>
      </c>
      <c r="H14" s="266">
        <v>277.95209999999997</v>
      </c>
      <c r="I14" s="266">
        <v>22571.31</v>
      </c>
      <c r="J14" s="266">
        <v>28796.29</v>
      </c>
      <c r="K14" s="344">
        <v>1019048.1</v>
      </c>
      <c r="L14" s="245"/>
      <c r="M14" s="245"/>
      <c r="N14" s="245"/>
      <c r="O14" s="245"/>
    </row>
    <row r="15" spans="2:15">
      <c r="B15" s="341"/>
      <c r="C15" s="264"/>
      <c r="D15" s="264"/>
      <c r="E15" s="264"/>
      <c r="F15" s="264"/>
      <c r="G15" s="264"/>
      <c r="H15" s="264"/>
      <c r="I15" s="264"/>
      <c r="J15" s="264"/>
      <c r="K15" s="342"/>
      <c r="L15" s="245"/>
      <c r="M15" s="245"/>
      <c r="N15" s="245"/>
      <c r="O15" s="245"/>
    </row>
    <row r="16" spans="2:15">
      <c r="B16" s="343" t="s">
        <v>546</v>
      </c>
      <c r="C16" s="266">
        <v>1.8000000000000001E-4</v>
      </c>
      <c r="D16" s="266">
        <v>2.51E-5</v>
      </c>
      <c r="E16" s="266">
        <v>2.4999999999999999E-7</v>
      </c>
      <c r="F16" s="266">
        <v>1.0499999999999999E-6</v>
      </c>
      <c r="G16" s="266">
        <v>1</v>
      </c>
      <c r="H16" s="266">
        <v>2.9E-4</v>
      </c>
      <c r="I16" s="266">
        <v>2.3720000000000001E-2</v>
      </c>
      <c r="J16" s="266">
        <v>3.0265E-2</v>
      </c>
      <c r="K16" s="344">
        <v>1.07101</v>
      </c>
      <c r="L16" s="245"/>
      <c r="M16" s="245"/>
      <c r="N16" s="245"/>
      <c r="O16" s="245"/>
    </row>
    <row r="17" spans="2:15">
      <c r="B17" s="341"/>
      <c r="C17" s="264"/>
      <c r="D17" s="264"/>
      <c r="E17" s="264"/>
      <c r="F17" s="264"/>
      <c r="G17" s="264"/>
      <c r="H17" s="264"/>
      <c r="I17" s="264"/>
      <c r="J17" s="264"/>
      <c r="K17" s="342"/>
      <c r="L17" s="245"/>
      <c r="M17" s="245"/>
      <c r="N17" s="245"/>
      <c r="O17" s="245"/>
    </row>
    <row r="18" spans="2:15">
      <c r="B18" s="343" t="s">
        <v>547</v>
      </c>
      <c r="C18" s="266">
        <v>0.61960000000000004</v>
      </c>
      <c r="D18" s="266">
        <v>8.5989999999999997E-2</v>
      </c>
      <c r="E18" s="266">
        <v>8.5999999999999998E-4</v>
      </c>
      <c r="F18" s="266">
        <v>3.5999999999999999E-3</v>
      </c>
      <c r="G18" s="266">
        <v>3423.2</v>
      </c>
      <c r="H18" s="266">
        <v>1</v>
      </c>
      <c r="I18" s="266">
        <v>81.205770000000001</v>
      </c>
      <c r="J18" s="266">
        <v>103.6016</v>
      </c>
      <c r="K18" s="344">
        <v>3666.2721000000001</v>
      </c>
      <c r="L18" s="245"/>
      <c r="M18" s="245"/>
      <c r="N18" s="245"/>
      <c r="O18" s="245"/>
    </row>
    <row r="19" spans="2:15">
      <c r="B19" s="341"/>
      <c r="C19" s="264"/>
      <c r="D19" s="264"/>
      <c r="E19" s="264"/>
      <c r="F19" s="264"/>
      <c r="G19" s="264"/>
      <c r="H19" s="264"/>
      <c r="I19" s="264"/>
      <c r="J19" s="264"/>
      <c r="K19" s="342"/>
      <c r="L19" s="245"/>
      <c r="M19" s="245"/>
      <c r="N19" s="245"/>
      <c r="O19" s="245"/>
    </row>
    <row r="20" spans="2:15">
      <c r="B20" s="343" t="s">
        <v>548</v>
      </c>
      <c r="C20" s="266">
        <v>7.6299999999999996E-3</v>
      </c>
      <c r="D20" s="266">
        <v>1.06E-3</v>
      </c>
      <c r="E20" s="266">
        <v>1.06E-5</v>
      </c>
      <c r="F20" s="266">
        <v>4.4299999999999999E-5</v>
      </c>
      <c r="G20" s="266">
        <v>42.154690000000002</v>
      </c>
      <c r="H20" s="266">
        <v>1.2314E-2</v>
      </c>
      <c r="I20" s="266">
        <v>1</v>
      </c>
      <c r="J20" s="266">
        <v>1.2757909999999999</v>
      </c>
      <c r="K20" s="344">
        <v>45.147928</v>
      </c>
      <c r="L20" s="245"/>
      <c r="M20" s="245"/>
      <c r="N20" s="245"/>
      <c r="O20" s="245"/>
    </row>
    <row r="21" spans="2:15">
      <c r="B21" s="341"/>
      <c r="C21" s="264"/>
      <c r="D21" s="264"/>
      <c r="E21" s="264"/>
      <c r="F21" s="264"/>
      <c r="G21" s="264"/>
      <c r="H21" s="264"/>
      <c r="I21" s="264"/>
      <c r="J21" s="264"/>
      <c r="K21" s="342"/>
      <c r="L21" s="245"/>
      <c r="M21" s="245"/>
      <c r="N21" s="245"/>
      <c r="O21" s="245"/>
    </row>
    <row r="22" spans="2:15">
      <c r="B22" s="343" t="s">
        <v>551</v>
      </c>
      <c r="C22" s="266">
        <v>5.9800000000000001E-3</v>
      </c>
      <c r="D22" s="266">
        <v>8.3000000000000001E-4</v>
      </c>
      <c r="E22" s="266">
        <v>8.3000000000000002E-6</v>
      </c>
      <c r="F22" s="266">
        <v>3.4700000000000003E-5</v>
      </c>
      <c r="G22" s="266">
        <v>33.041980000000002</v>
      </c>
      <c r="H22" s="266">
        <v>9.6520000000000009E-3</v>
      </c>
      <c r="I22" s="266">
        <v>0.78382600000000002</v>
      </c>
      <c r="J22" s="266">
        <v>1</v>
      </c>
      <c r="K22" s="344">
        <v>35.388165000000001</v>
      </c>
      <c r="L22" s="245"/>
      <c r="M22" s="245"/>
      <c r="N22" s="245"/>
      <c r="O22" s="245"/>
    </row>
    <row r="23" spans="2:15">
      <c r="B23" s="341"/>
      <c r="C23" s="264"/>
      <c r="D23" s="264"/>
      <c r="E23" s="264"/>
      <c r="F23" s="264"/>
      <c r="G23" s="264"/>
      <c r="H23" s="264"/>
      <c r="I23" s="264"/>
      <c r="J23" s="264"/>
      <c r="K23" s="342"/>
      <c r="L23" s="245"/>
      <c r="M23" s="245"/>
      <c r="N23" s="245"/>
      <c r="O23" s="245"/>
    </row>
    <row r="24" spans="2:15" ht="13.5" thickBot="1">
      <c r="B24" s="345" t="s">
        <v>550</v>
      </c>
      <c r="C24" s="346">
        <v>1.7000000000000001E-4</v>
      </c>
      <c r="D24" s="346">
        <v>2.3499999999999999E-5</v>
      </c>
      <c r="E24" s="346">
        <v>2.35E-7</v>
      </c>
      <c r="F24" s="346">
        <v>9.8100000000000001E-7</v>
      </c>
      <c r="G24" s="346">
        <v>0.933701</v>
      </c>
      <c r="H24" s="346">
        <v>2.72E-4</v>
      </c>
      <c r="I24" s="346">
        <v>2.2148999999999999E-2</v>
      </c>
      <c r="J24" s="346">
        <v>2.8257999999999998E-2</v>
      </c>
      <c r="K24" s="347">
        <v>1</v>
      </c>
      <c r="L24" s="245"/>
      <c r="M24" s="245"/>
      <c r="N24" s="245"/>
      <c r="O24" s="245"/>
    </row>
    <row r="25" spans="2:15">
      <c r="B25" s="246" t="s">
        <v>552</v>
      </c>
      <c r="C25" s="246"/>
      <c r="D25" s="246"/>
      <c r="E25" s="246"/>
      <c r="F25" s="246"/>
      <c r="G25" s="246"/>
      <c r="H25" s="246"/>
      <c r="I25" s="246"/>
      <c r="J25" s="246"/>
      <c r="K25" s="246"/>
      <c r="L25" s="245"/>
      <c r="M25" s="245"/>
      <c r="N25" s="245"/>
      <c r="O25" s="245"/>
    </row>
    <row r="26" spans="2:15">
      <c r="B26" s="246"/>
      <c r="C26" s="246"/>
      <c r="D26" s="246"/>
      <c r="E26" s="246"/>
      <c r="F26" s="246"/>
      <c r="G26" s="246"/>
      <c r="H26" s="246"/>
      <c r="I26" s="246"/>
      <c r="J26" s="246"/>
      <c r="K26" s="246"/>
      <c r="L26" s="245"/>
      <c r="M26" s="245"/>
      <c r="N26" s="245"/>
      <c r="O26" s="245"/>
    </row>
    <row r="27" spans="2:15">
      <c r="B27" s="246"/>
      <c r="C27" s="246"/>
      <c r="D27" s="246"/>
      <c r="E27" s="246"/>
      <c r="F27" s="246"/>
      <c r="G27" s="246"/>
      <c r="H27" s="246"/>
      <c r="I27" s="246"/>
      <c r="J27" s="246"/>
      <c r="K27" s="246"/>
      <c r="L27" s="245"/>
      <c r="M27" s="245"/>
      <c r="N27" s="245"/>
      <c r="O27" s="245"/>
    </row>
    <row r="28" spans="2:15">
      <c r="B28" s="269" t="s">
        <v>553</v>
      </c>
      <c r="C28" s="270"/>
      <c r="D28" s="271"/>
      <c r="E28" s="246"/>
      <c r="F28" s="272" t="s">
        <v>554</v>
      </c>
      <c r="G28" s="271"/>
      <c r="H28" s="246"/>
      <c r="I28" s="272" t="s">
        <v>555</v>
      </c>
      <c r="J28" s="270"/>
      <c r="K28" s="271"/>
      <c r="L28" s="245"/>
      <c r="M28" s="245"/>
      <c r="N28" s="245"/>
      <c r="O28" s="245"/>
    </row>
    <row r="29" spans="2:15">
      <c r="B29" s="273" t="s">
        <v>556</v>
      </c>
      <c r="C29" s="274"/>
      <c r="D29" s="275" t="s">
        <v>557</v>
      </c>
      <c r="E29" s="246"/>
      <c r="F29" s="276" t="s">
        <v>558</v>
      </c>
      <c r="G29" s="277" t="s">
        <v>559</v>
      </c>
      <c r="H29" s="246"/>
      <c r="I29" s="278" t="s">
        <v>560</v>
      </c>
      <c r="J29" s="279" t="s">
        <v>561</v>
      </c>
      <c r="K29" s="280"/>
      <c r="L29" s="245"/>
      <c r="M29" s="245"/>
      <c r="N29" s="245"/>
      <c r="O29" s="245"/>
    </row>
    <row r="30" spans="2:15">
      <c r="B30" s="281" t="s">
        <v>562</v>
      </c>
      <c r="C30" s="282"/>
      <c r="D30" s="283" t="s">
        <v>543</v>
      </c>
      <c r="E30" s="246"/>
      <c r="F30" s="284" t="s">
        <v>563</v>
      </c>
      <c r="G30" s="285" t="s">
        <v>564</v>
      </c>
      <c r="H30" s="246"/>
      <c r="I30" s="286" t="s">
        <v>565</v>
      </c>
      <c r="J30" s="287"/>
      <c r="K30" s="288"/>
      <c r="L30" s="245"/>
      <c r="M30" s="245"/>
      <c r="N30" s="245"/>
      <c r="O30" s="245"/>
    </row>
    <row r="31" spans="2:15">
      <c r="B31" s="289" t="s">
        <v>566</v>
      </c>
      <c r="C31" s="290"/>
      <c r="D31" s="291" t="s">
        <v>544</v>
      </c>
      <c r="E31" s="246"/>
      <c r="F31" s="276" t="s">
        <v>567</v>
      </c>
      <c r="G31" s="277" t="s">
        <v>568</v>
      </c>
      <c r="H31" s="246"/>
      <c r="I31" s="246" t="s">
        <v>569</v>
      </c>
      <c r="J31" s="246"/>
      <c r="K31" s="246"/>
      <c r="L31" s="245"/>
      <c r="M31" s="245"/>
      <c r="N31" s="245"/>
      <c r="O31" s="245"/>
    </row>
    <row r="32" spans="2:15">
      <c r="B32" s="281" t="s">
        <v>570</v>
      </c>
      <c r="C32" s="292"/>
      <c r="D32" s="293" t="s">
        <v>571</v>
      </c>
      <c r="E32" s="246"/>
      <c r="F32" s="286" t="s">
        <v>572</v>
      </c>
      <c r="G32" s="288" t="s">
        <v>573</v>
      </c>
      <c r="H32" s="246"/>
      <c r="I32" s="246"/>
      <c r="J32" s="246"/>
      <c r="K32" s="246"/>
      <c r="L32" s="245"/>
      <c r="M32" s="245"/>
      <c r="N32" s="245"/>
      <c r="O32" s="245"/>
    </row>
    <row r="33" spans="2:15">
      <c r="B33" s="289" t="s">
        <v>574</v>
      </c>
      <c r="C33" s="294"/>
      <c r="D33" s="295" t="s">
        <v>575</v>
      </c>
      <c r="E33" s="246"/>
      <c r="F33" s="246"/>
      <c r="G33" s="246"/>
      <c r="H33" s="246"/>
      <c r="I33" s="246"/>
      <c r="J33" s="246"/>
      <c r="K33" s="246"/>
      <c r="L33" s="245"/>
      <c r="M33" s="245"/>
      <c r="N33" s="245"/>
      <c r="O33" s="245"/>
    </row>
    <row r="34" spans="2:15">
      <c r="B34" s="281" t="s">
        <v>576</v>
      </c>
      <c r="C34" s="282"/>
      <c r="D34" s="283" t="s">
        <v>474</v>
      </c>
      <c r="E34" s="247"/>
      <c r="F34" s="269" t="s">
        <v>577</v>
      </c>
      <c r="G34" s="296"/>
      <c r="H34" s="297"/>
      <c r="I34" s="246"/>
      <c r="J34" s="246"/>
      <c r="K34" s="246"/>
      <c r="L34" s="245"/>
      <c r="M34" s="245"/>
      <c r="N34" s="245"/>
      <c r="O34" s="245"/>
    </row>
    <row r="35" spans="2:15">
      <c r="B35" s="289" t="s">
        <v>578</v>
      </c>
      <c r="C35" s="290"/>
      <c r="D35" s="291" t="s">
        <v>579</v>
      </c>
      <c r="E35" s="246"/>
      <c r="F35" s="298" t="s">
        <v>557</v>
      </c>
      <c r="G35" s="299" t="s">
        <v>580</v>
      </c>
      <c r="H35" s="300" t="s">
        <v>581</v>
      </c>
      <c r="I35" s="246"/>
      <c r="J35" s="246"/>
      <c r="K35" s="246"/>
      <c r="L35" s="245"/>
      <c r="M35" s="245"/>
      <c r="N35" s="245"/>
      <c r="O35" s="245"/>
    </row>
    <row r="36" spans="2:15">
      <c r="B36" s="281" t="s">
        <v>582</v>
      </c>
      <c r="C36" s="282"/>
      <c r="D36" s="283" t="s">
        <v>583</v>
      </c>
      <c r="E36" s="246"/>
      <c r="F36" s="301" t="s">
        <v>584</v>
      </c>
      <c r="G36" s="302" t="s">
        <v>585</v>
      </c>
      <c r="H36" s="267">
        <v>1000</v>
      </c>
      <c r="I36" s="246"/>
      <c r="J36" s="246"/>
      <c r="K36" s="246"/>
      <c r="L36" s="245"/>
      <c r="M36" s="245"/>
      <c r="N36" s="245"/>
      <c r="O36" s="245"/>
    </row>
    <row r="37" spans="2:15">
      <c r="B37" s="289" t="s">
        <v>586</v>
      </c>
      <c r="C37" s="303"/>
      <c r="D37" s="291" t="s">
        <v>587</v>
      </c>
      <c r="E37" s="246"/>
      <c r="F37" s="304" t="s">
        <v>327</v>
      </c>
      <c r="G37" s="305" t="s">
        <v>588</v>
      </c>
      <c r="H37" s="265">
        <v>1000000</v>
      </c>
      <c r="I37" s="246"/>
      <c r="J37" s="246"/>
      <c r="K37" s="246"/>
      <c r="L37" s="245"/>
      <c r="M37" s="245"/>
      <c r="N37" s="245"/>
      <c r="O37" s="245"/>
    </row>
    <row r="38" spans="2:15">
      <c r="B38" s="281" t="s">
        <v>589</v>
      </c>
      <c r="C38" s="282"/>
      <c r="D38" s="283" t="s">
        <v>590</v>
      </c>
      <c r="E38" s="248"/>
      <c r="F38" s="301" t="s">
        <v>591</v>
      </c>
      <c r="G38" s="302" t="s">
        <v>592</v>
      </c>
      <c r="H38" s="267">
        <v>1000000000</v>
      </c>
      <c r="I38" s="246"/>
      <c r="J38" s="246"/>
      <c r="K38" s="246"/>
      <c r="L38" s="245"/>
      <c r="M38" s="245"/>
      <c r="N38" s="245"/>
      <c r="O38" s="245"/>
    </row>
    <row r="39" spans="2:15">
      <c r="B39" s="289" t="s">
        <v>593</v>
      </c>
      <c r="C39" s="303"/>
      <c r="D39" s="291" t="s">
        <v>594</v>
      </c>
      <c r="E39" s="246"/>
      <c r="F39" s="304" t="s">
        <v>317</v>
      </c>
      <c r="G39" s="305" t="s">
        <v>595</v>
      </c>
      <c r="H39" s="265">
        <v>1000000000000</v>
      </c>
      <c r="I39" s="246"/>
      <c r="J39" s="246"/>
      <c r="K39" s="246"/>
      <c r="L39" s="245"/>
      <c r="M39" s="245"/>
      <c r="N39" s="245"/>
      <c r="O39" s="245"/>
    </row>
    <row r="40" spans="2:15">
      <c r="B40" s="306" t="s">
        <v>596</v>
      </c>
      <c r="C40" s="307"/>
      <c r="D40" s="308" t="s">
        <v>547</v>
      </c>
      <c r="E40" s="246"/>
      <c r="F40" s="309" t="s">
        <v>597</v>
      </c>
      <c r="G40" s="310" t="s">
        <v>598</v>
      </c>
      <c r="H40" s="268">
        <v>1000000000000000</v>
      </c>
      <c r="I40" s="246"/>
      <c r="J40" s="246"/>
      <c r="K40" s="246"/>
      <c r="L40" s="245"/>
      <c r="M40" s="245"/>
      <c r="N40" s="245"/>
      <c r="O40" s="245"/>
    </row>
    <row r="41" spans="2:15">
      <c r="B41" s="245"/>
      <c r="C41" s="245"/>
      <c r="D41" s="245"/>
      <c r="E41" s="245"/>
      <c r="F41" s="245"/>
      <c r="G41" s="245"/>
      <c r="H41" s="245"/>
      <c r="I41" s="245"/>
      <c r="J41" s="245"/>
      <c r="K41" s="245"/>
      <c r="L41" s="245"/>
      <c r="M41" s="245"/>
      <c r="N41" s="245"/>
      <c r="O41" s="245"/>
    </row>
    <row r="42" spans="2:15">
      <c r="B42" s="245"/>
      <c r="C42" s="245"/>
      <c r="D42" s="245"/>
      <c r="E42" s="245"/>
      <c r="F42" s="245"/>
      <c r="G42" s="245"/>
      <c r="H42" s="245"/>
      <c r="I42" s="245"/>
      <c r="J42" s="245"/>
      <c r="K42" s="245"/>
      <c r="L42" s="245"/>
      <c r="M42" s="245"/>
      <c r="N42" s="245"/>
      <c r="O42" s="245"/>
    </row>
    <row r="43" spans="2:15">
      <c r="B43" s="245"/>
      <c r="C43" s="245"/>
      <c r="D43" s="245"/>
      <c r="E43" s="245"/>
      <c r="F43" s="245"/>
      <c r="G43" s="245"/>
      <c r="H43" s="245"/>
      <c r="I43" s="245"/>
      <c r="J43" s="245"/>
      <c r="K43" s="245"/>
      <c r="L43" s="245"/>
      <c r="M43" s="245"/>
      <c r="N43" s="245"/>
      <c r="O43" s="245"/>
    </row>
    <row r="44" spans="2:15">
      <c r="B44" s="245" t="s">
        <v>599</v>
      </c>
      <c r="C44" s="245"/>
      <c r="D44" s="245"/>
      <c r="E44" s="245"/>
      <c r="F44" s="245"/>
      <c r="G44" s="245"/>
      <c r="H44" s="245"/>
      <c r="I44" s="245"/>
      <c r="J44" s="245"/>
      <c r="K44" s="245"/>
      <c r="L44" s="245"/>
      <c r="M44" s="245"/>
      <c r="N44" s="245"/>
      <c r="O44" s="245"/>
    </row>
    <row r="45" spans="2:15">
      <c r="B45" s="245" t="s">
        <v>600</v>
      </c>
      <c r="C45" s="245"/>
      <c r="D45" s="245"/>
      <c r="E45" s="245"/>
      <c r="F45" s="245"/>
      <c r="G45" s="245"/>
      <c r="H45" s="245"/>
      <c r="I45" s="245"/>
      <c r="J45" s="245"/>
      <c r="K45" s="245"/>
      <c r="L45" s="245"/>
      <c r="M45" s="245"/>
      <c r="N45" s="245"/>
      <c r="O45" s="245"/>
    </row>
    <row r="46" spans="2:15">
      <c r="B46" s="245"/>
      <c r="C46" s="245"/>
      <c r="D46" s="245"/>
      <c r="E46" s="245"/>
      <c r="F46" s="245"/>
      <c r="G46" s="245"/>
      <c r="H46" s="245"/>
      <c r="I46" s="245"/>
      <c r="J46" s="245"/>
      <c r="K46" s="245"/>
      <c r="L46" s="245"/>
      <c r="M46" s="245"/>
      <c r="N46" s="245"/>
      <c r="O46" s="245"/>
    </row>
    <row r="47" spans="2:15">
      <c r="B47" s="245"/>
      <c r="C47" s="245"/>
      <c r="D47" s="245"/>
      <c r="E47" s="245"/>
      <c r="F47" s="245"/>
      <c r="G47" s="245"/>
      <c r="H47" s="245"/>
      <c r="I47" s="245"/>
      <c r="J47" s="245"/>
      <c r="K47" s="245"/>
      <c r="L47" s="245"/>
      <c r="M47" s="245"/>
      <c r="N47" s="245"/>
      <c r="O47" s="245"/>
    </row>
    <row r="48" spans="2:15">
      <c r="B48" s="245"/>
      <c r="C48" s="245"/>
      <c r="D48" s="245"/>
      <c r="E48" s="245"/>
      <c r="F48" s="245"/>
      <c r="G48" s="245"/>
      <c r="H48" s="245"/>
      <c r="I48" s="245"/>
      <c r="J48" s="245"/>
      <c r="K48" s="245"/>
      <c r="L48" s="245"/>
      <c r="M48" s="245"/>
      <c r="N48" s="245"/>
      <c r="O48" s="245"/>
    </row>
    <row r="49" spans="2:15">
      <c r="B49" s="245"/>
      <c r="C49" s="245"/>
      <c r="D49" s="245"/>
      <c r="E49" s="245"/>
      <c r="F49" s="245"/>
      <c r="G49" s="245"/>
      <c r="H49" s="245"/>
      <c r="I49" s="245"/>
      <c r="J49" s="245"/>
      <c r="K49" s="245"/>
      <c r="L49" s="245"/>
      <c r="M49" s="245"/>
      <c r="N49" s="245"/>
      <c r="O49" s="245"/>
    </row>
    <row r="50" spans="2:15">
      <c r="B50" s="245"/>
      <c r="C50" s="245"/>
      <c r="D50" s="245"/>
      <c r="E50" s="245"/>
      <c r="F50" s="245"/>
      <c r="G50" s="245"/>
      <c r="H50" s="245"/>
      <c r="I50" s="245"/>
      <c r="J50" s="245"/>
      <c r="K50" s="245"/>
      <c r="L50" s="245"/>
      <c r="M50" s="245"/>
      <c r="N50" s="245"/>
      <c r="O50" s="245"/>
    </row>
    <row r="51" spans="2:15">
      <c r="B51" s="245"/>
      <c r="C51" s="245"/>
      <c r="D51" s="245"/>
      <c r="E51" s="245"/>
      <c r="F51" s="245"/>
      <c r="G51" s="245"/>
      <c r="H51" s="245"/>
      <c r="I51" s="245"/>
      <c r="J51" s="245"/>
      <c r="K51" s="245"/>
      <c r="L51" s="245"/>
      <c r="M51" s="245"/>
      <c r="N51" s="245"/>
      <c r="O51" s="245"/>
    </row>
    <row r="52" spans="2:15">
      <c r="B52" s="245"/>
      <c r="C52" s="245"/>
      <c r="D52" s="245"/>
      <c r="E52" s="245"/>
      <c r="F52" s="245"/>
      <c r="G52" s="245"/>
      <c r="H52" s="245"/>
      <c r="I52" s="245"/>
      <c r="J52" s="245"/>
      <c r="K52" s="245"/>
      <c r="L52" s="245"/>
      <c r="M52" s="245"/>
      <c r="N52" s="245"/>
      <c r="O52" s="245"/>
    </row>
    <row r="53" spans="2:15">
      <c r="B53" s="3"/>
      <c r="C53" s="3"/>
      <c r="D53" s="3"/>
      <c r="E53" s="3"/>
      <c r="F53" s="3"/>
      <c r="G53" s="3"/>
      <c r="H53" s="3"/>
      <c r="I53" s="3"/>
      <c r="J53" s="3"/>
      <c r="K53" s="3"/>
    </row>
    <row r="54" spans="2:15">
      <c r="B54" s="3"/>
      <c r="C54" s="3"/>
      <c r="D54" s="3"/>
      <c r="E54" s="3"/>
      <c r="F54" s="3"/>
      <c r="G54" s="3"/>
      <c r="H54" s="3"/>
      <c r="I54" s="3"/>
      <c r="J54" s="3"/>
      <c r="K54" s="3"/>
    </row>
    <row r="55" spans="2:15">
      <c r="B55" s="3"/>
      <c r="C55" s="3"/>
      <c r="D55" s="3"/>
      <c r="E55" s="3"/>
      <c r="F55" s="3"/>
      <c r="G55" s="3"/>
      <c r="H55" s="3"/>
      <c r="I55" s="3"/>
      <c r="J55" s="3"/>
      <c r="K55" s="3"/>
    </row>
    <row r="56" spans="2:15">
      <c r="B56" s="3"/>
      <c r="C56" s="3"/>
      <c r="D56" s="3"/>
      <c r="E56" s="3"/>
      <c r="F56" s="3"/>
      <c r="G56" s="3"/>
      <c r="H56" s="3"/>
      <c r="I56" s="3"/>
      <c r="J56" s="3"/>
      <c r="K56" s="3"/>
    </row>
    <row r="57" spans="2:15">
      <c r="B57" s="3"/>
      <c r="C57" s="3"/>
      <c r="D57" s="3"/>
      <c r="E57" s="3"/>
      <c r="F57" s="3"/>
      <c r="G57" s="3"/>
      <c r="H57" s="3"/>
      <c r="I57" s="3"/>
      <c r="J57" s="3"/>
      <c r="K57" s="3"/>
    </row>
    <row r="58" spans="2:15">
      <c r="B58" s="3"/>
      <c r="C58" s="3"/>
      <c r="D58" s="3"/>
      <c r="E58" s="3"/>
      <c r="F58" s="3"/>
      <c r="G58" s="3"/>
      <c r="H58" s="3"/>
      <c r="I58" s="3"/>
      <c r="J58" s="3"/>
      <c r="K58" s="3"/>
    </row>
    <row r="59" spans="2:15">
      <c r="B59" s="3"/>
      <c r="C59" s="3"/>
      <c r="D59" s="3"/>
      <c r="E59" s="3"/>
      <c r="F59" s="3"/>
      <c r="G59" s="3"/>
      <c r="H59" s="3"/>
      <c r="I59" s="3"/>
      <c r="J59" s="3"/>
      <c r="K59" s="3"/>
    </row>
    <row r="60" spans="2:15">
      <c r="B60" s="3"/>
      <c r="C60" s="3"/>
      <c r="D60" s="3"/>
      <c r="E60" s="3"/>
      <c r="F60" s="3"/>
      <c r="G60" s="3"/>
      <c r="H60" s="3"/>
      <c r="I60" s="3"/>
      <c r="J60" s="3"/>
      <c r="K60" s="3"/>
    </row>
    <row r="61" spans="2:15">
      <c r="B61" s="3"/>
      <c r="C61" s="3"/>
      <c r="D61" s="3"/>
      <c r="E61" s="3"/>
      <c r="F61" s="3"/>
      <c r="G61" s="3"/>
      <c r="H61" s="3"/>
      <c r="I61" s="3"/>
      <c r="J61" s="3"/>
      <c r="K61" s="3"/>
    </row>
    <row r="62" spans="2:15">
      <c r="B62" s="3"/>
      <c r="C62" s="3"/>
      <c r="D62" s="3"/>
      <c r="E62" s="3"/>
      <c r="F62" s="3"/>
      <c r="G62" s="3"/>
      <c r="H62" s="3"/>
      <c r="I62" s="3"/>
      <c r="J62" s="3"/>
      <c r="K62" s="3"/>
    </row>
    <row r="63" spans="2:15">
      <c r="B63" s="3"/>
      <c r="C63" s="3"/>
      <c r="D63" s="3"/>
      <c r="E63" s="3"/>
      <c r="F63" s="3"/>
      <c r="G63" s="3"/>
      <c r="H63" s="3"/>
      <c r="I63" s="3"/>
      <c r="J63" s="3"/>
      <c r="K63" s="3"/>
    </row>
    <row r="64" spans="2:15">
      <c r="B64" s="3"/>
      <c r="C64" s="3"/>
      <c r="D64" s="3"/>
      <c r="E64" s="3"/>
      <c r="F64" s="3"/>
      <c r="G64" s="3"/>
      <c r="H64" s="3"/>
      <c r="I64" s="3"/>
      <c r="J64" s="3"/>
      <c r="K64" s="3"/>
    </row>
    <row r="65" spans="2:11">
      <c r="B65" s="3"/>
      <c r="C65" s="3"/>
      <c r="D65" s="3"/>
      <c r="E65" s="3"/>
      <c r="F65" s="3"/>
      <c r="G65" s="3"/>
      <c r="H65" s="3"/>
      <c r="I65" s="3"/>
      <c r="J65" s="3"/>
      <c r="K65" s="3"/>
    </row>
    <row r="66" spans="2:11" s="3" customFormat="1"/>
    <row r="67" spans="2:11" s="3" customFormat="1"/>
    <row r="68" spans="2:11" s="3" customFormat="1"/>
    <row r="69" spans="2:11" s="3" customFormat="1"/>
    <row r="70" spans="2:11" s="3" customFormat="1"/>
    <row r="71" spans="2:11" s="3" customFormat="1"/>
    <row r="72" spans="2:11" s="3" customFormat="1"/>
    <row r="73" spans="2:11" s="3" customFormat="1"/>
    <row r="74" spans="2:11" s="3" customFormat="1"/>
    <row r="75" spans="2:11" s="3" customFormat="1"/>
    <row r="76" spans="2:11" s="3" customFormat="1"/>
    <row r="77" spans="2:11" s="3" customFormat="1"/>
    <row r="78" spans="2:11" s="3" customFormat="1"/>
    <row r="79" spans="2:11" s="3" customFormat="1"/>
    <row r="80" spans="2:11" s="3" customFormat="1"/>
    <row r="81" s="3" customFormat="1"/>
    <row r="82" s="3" customFormat="1"/>
    <row r="83" s="3" customFormat="1"/>
    <row r="84" s="3" customFormat="1"/>
    <row r="85" s="3" customFormat="1"/>
    <row r="86" s="3" customFormat="1"/>
    <row r="87" s="3" customFormat="1"/>
    <row r="88" s="3" customFormat="1"/>
    <row r="89" s="3" customFormat="1"/>
    <row r="90" s="3" customFormat="1"/>
    <row r="91" s="3" customFormat="1"/>
    <row r="92" s="3" customFormat="1"/>
    <row r="93" s="3" customFormat="1"/>
    <row r="94" s="3" customFormat="1"/>
    <row r="95" s="3" customFormat="1"/>
    <row r="96" s="3" customFormat="1"/>
    <row r="97" s="3" customFormat="1"/>
    <row r="98" s="3" customFormat="1"/>
    <row r="99" s="3" customFormat="1"/>
    <row r="100" s="3" customFormat="1"/>
    <row r="101" s="3" customFormat="1"/>
    <row r="102" s="3" customFormat="1"/>
    <row r="103" s="3" customFormat="1"/>
    <row r="104" s="3" customFormat="1"/>
    <row r="105" s="3" customFormat="1"/>
    <row r="106" s="3" customFormat="1"/>
    <row r="107" s="3" customFormat="1"/>
    <row r="108" s="3" customFormat="1"/>
    <row r="109" s="3" customFormat="1"/>
  </sheetData>
  <phoneticPr fontId="0" type="noConversion"/>
  <hyperlinks>
    <hyperlink ref="L3" location="INDICE!A70" display="VOLVER A INDICE"/>
  </hyperlinks>
  <pageMargins left="0.75" right="0.75" top="1" bottom="1" header="0" footer="0"/>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38</vt:i4>
      </vt:variant>
      <vt:variant>
        <vt:lpstr>Rangos con nombre</vt:lpstr>
      </vt:variant>
      <vt:variant>
        <vt:i4>9</vt:i4>
      </vt:variant>
    </vt:vector>
  </HeadingPairs>
  <TitlesOfParts>
    <vt:vector size="47" baseType="lpstr">
      <vt:lpstr>TAPA</vt:lpstr>
      <vt:lpstr>INTRO</vt:lpstr>
      <vt:lpstr>INDICE</vt:lpstr>
      <vt:lpstr>CUADRO1</vt:lpstr>
      <vt:lpstr>CUADRO2</vt:lpstr>
      <vt:lpstr>CUADRO3</vt:lpstr>
      <vt:lpstr>CUADRO4</vt:lpstr>
      <vt:lpstr>CUADRO5</vt:lpstr>
      <vt:lpstr>CUADRO6</vt:lpstr>
      <vt:lpstr>CUADRO7</vt:lpstr>
      <vt:lpstr>CUADRO8</vt:lpstr>
      <vt:lpstr>CUADRO9</vt:lpstr>
      <vt:lpstr>CUADRO10</vt:lpstr>
      <vt:lpstr>CUADRO11</vt:lpstr>
      <vt:lpstr>CONS_TERAC</vt:lpstr>
      <vt:lpstr>BALANCE</vt:lpstr>
      <vt:lpstr>DIAGRAMA</vt:lpstr>
      <vt:lpstr>CUADRO12</vt:lpstr>
      <vt:lpstr>CUADRO13</vt:lpstr>
      <vt:lpstr>CUADRO14</vt:lpstr>
      <vt:lpstr>CUADRO15</vt:lpstr>
      <vt:lpstr>CUADRO16</vt:lpstr>
      <vt:lpstr>CUADRO17</vt:lpstr>
      <vt:lpstr>CUADRO18</vt:lpstr>
      <vt:lpstr>CUADRO19</vt:lpstr>
      <vt:lpstr>CUADRO20</vt:lpstr>
      <vt:lpstr>CONS_U.FIS</vt:lpstr>
      <vt:lpstr>CUADRO21</vt:lpstr>
      <vt:lpstr>DEP</vt:lpstr>
      <vt:lpstr>CUADRO22</vt:lpstr>
      <vt:lpstr>BAL-OLADE</vt:lpstr>
      <vt:lpstr>BAL-APEC</vt:lpstr>
      <vt:lpstr>BAL-MERCOSUR</vt:lpstr>
      <vt:lpstr>BALANCE_ELECT</vt:lpstr>
      <vt:lpstr>CAPACIDADES</vt:lpstr>
      <vt:lpstr>GENERACION EE</vt:lpstr>
      <vt:lpstr>CUADROA2</vt:lpstr>
      <vt:lpstr>CUADROA3</vt:lpstr>
      <vt:lpstr>CONS_TERAC!Área_de_impresión</vt:lpstr>
      <vt:lpstr>CUADRO1!Área_de_impresión</vt:lpstr>
      <vt:lpstr>CUADRO12!Área_de_impresión</vt:lpstr>
      <vt:lpstr>CUADRO13!Área_de_impresión</vt:lpstr>
      <vt:lpstr>CUADRO2!Área_de_impresión</vt:lpstr>
      <vt:lpstr>CUADRO21!Área_de_impresión</vt:lpstr>
      <vt:lpstr>CUADRO3!Área_de_impresión</vt:lpstr>
      <vt:lpstr>CUADRO4!Área_de_impresión</vt:lpstr>
      <vt:lpstr>INTRO!Área_de_impresión</vt:lpstr>
    </vt:vector>
  </TitlesOfParts>
  <Company>GOBIERNO DE CHILE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SEPULVEDA-H</dc:creator>
  <cp:lastModifiedBy>Kiumarz Goharriz Chahin</cp:lastModifiedBy>
  <cp:lastPrinted>2010-11-03T13:50:17Z</cp:lastPrinted>
  <dcterms:created xsi:type="dcterms:W3CDTF">2006-01-08T23:20:55Z</dcterms:created>
  <dcterms:modified xsi:type="dcterms:W3CDTF">2019-04-15T17:18:35Z</dcterms:modified>
</cp:coreProperties>
</file>