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ThisWorkbook"/>
  <mc:AlternateContent xmlns:mc="http://schemas.openxmlformats.org/markup-compatibility/2006">
    <mc:Choice Requires="x15">
      <x15ac:absPath xmlns:x15ac="http://schemas.microsoft.com/office/spreadsheetml/2010/11/ac" url="\\natura\Unidad de Informacion y Estadisticas\13 Estadísticas CNE\BNE Balances Energéticos\INPUT\2008-present\"/>
    </mc:Choice>
  </mc:AlternateContent>
  <bookViews>
    <workbookView xWindow="22470" yWindow="300" windowWidth="18900" windowHeight="7980" tabRatio="895" firstSheet="5" activeTab="17"/>
  </bookViews>
  <sheets>
    <sheet name="Portada" sheetId="44" r:id="rId1"/>
    <sheet name="Introducción" sheetId="35" r:id="rId2"/>
    <sheet name="Descripción" sheetId="47" r:id="rId3"/>
    <sheet name="Índice" sheetId="36" r:id="rId4"/>
    <sheet name="CUADRO 1" sheetId="1" r:id="rId5"/>
    <sheet name="CUADRO2" sheetId="2" r:id="rId6"/>
    <sheet name="CUADRO3" sheetId="3" r:id="rId7"/>
    <sheet name="CUADRO4" sheetId="5" r:id="rId8"/>
    <sheet name="CUADRO5" sheetId="6" r:id="rId9"/>
    <sheet name="CUADRO6" sheetId="7" r:id="rId10"/>
    <sheet name="CUADRO7" sheetId="8" r:id="rId11"/>
    <sheet name="CUADRO8" sheetId="9" r:id="rId12"/>
    <sheet name="CUADRO9" sheetId="37" r:id="rId13"/>
    <sheet name="CUADRO10" sheetId="10" r:id="rId14"/>
    <sheet name="CUADRO11" sheetId="11" r:id="rId15"/>
    <sheet name="Producción Bruta (tcal)" sheetId="52" r:id="rId16"/>
    <sheet name="Cuadro Consumo (tcal)" sheetId="49" r:id="rId17"/>
    <sheet name="Balance de energía" sheetId="43" r:id="rId18"/>
    <sheet name="Balance Energético (u.físicas)" sheetId="48" r:id="rId19"/>
    <sheet name="Cuadro Consumo (u.físicas)" sheetId="50" r:id="rId20"/>
    <sheet name="Producción Bruta (u.físicas)" sheetId="54" r:id="rId21"/>
    <sheet name="CUADRO12" sheetId="12" r:id="rId22"/>
    <sheet name="CUADRO13" sheetId="13" r:id="rId23"/>
    <sheet name="CUADRO14" sheetId="14" r:id="rId24"/>
    <sheet name="CUADRO15" sheetId="15" r:id="rId25"/>
    <sheet name="CUADRO16" sheetId="16" r:id="rId26"/>
    <sheet name="CUADRO17" sheetId="17" r:id="rId27"/>
    <sheet name="CUADRO18" sheetId="38" r:id="rId28"/>
    <sheet name="CUADRO19" sheetId="18" r:id="rId29"/>
    <sheet name="CUADRO20" sheetId="19" r:id="rId30"/>
    <sheet name="CUADRO21" sheetId="27" r:id="rId31"/>
    <sheet name="DEP" sheetId="4" state="hidden" r:id="rId32"/>
    <sheet name="BAL-OLADE" sheetId="23" state="hidden" r:id="rId33"/>
    <sheet name="BAL-APEC" sheetId="29" state="hidden" r:id="rId34"/>
    <sheet name="BAL-MERCOSUR" sheetId="31" state="hidden" r:id="rId35"/>
    <sheet name="Diagrama" sheetId="45" r:id="rId36"/>
    <sheet name="CUADROA2" sheetId="33" r:id="rId37"/>
    <sheet name="CUADROA3" sheetId="34" r:id="rId38"/>
    <sheet name="Glosario" sheetId="55" r:id="rId39"/>
  </sheets>
  <definedNames>
    <definedName name="\a">#REF!</definedName>
    <definedName name="\b">#REF!</definedName>
    <definedName name="\c">#REF!</definedName>
    <definedName name="\d">#REF!</definedName>
    <definedName name="\e">#REF!</definedName>
    <definedName name="\f">#REF!</definedName>
    <definedName name="_xlnm._FilterDatabase" localSheetId="8" hidden="1">CUADRO5!$B$19:$I$20</definedName>
    <definedName name="_ftn1" localSheetId="1">Introducción!$A$37</definedName>
    <definedName name="_ftnref1" localSheetId="1">Introducción!$A$18</definedName>
    <definedName name="a">#REF!</definedName>
    <definedName name="_xlnm.Print_Area" localSheetId="4">'CUADRO 1'!$A$1:$H$22</definedName>
    <definedName name="_xlnm.Print_Area" localSheetId="21">CUADRO12!$A$1:$I$22</definedName>
    <definedName name="_xlnm.Print_Area" localSheetId="22">CUADRO13!$B$2:$J$31</definedName>
    <definedName name="_xlnm.Print_Area" localSheetId="5">CUADRO2!$A$1:$H$27</definedName>
    <definedName name="_xlnm.Print_Area" localSheetId="30">CUADRO21!$B$1:$L$19</definedName>
    <definedName name="_xlnm.Print_Area" localSheetId="6">CUADRO3!$A$1:$H$23</definedName>
    <definedName name="_xlnm.Print_Area" localSheetId="7">CUADRO4!$A$1:$I$40</definedName>
    <definedName name="_xlnm.Print_Area" localSheetId="1">Introducción!$A$1:$H$75</definedName>
    <definedName name="Balance_Energético">'Balance de energía'!#REF!</definedName>
    <definedName name="Banco_dados_IM">#REF!</definedName>
    <definedName name="_xlnm.Database">#REF!</definedName>
    <definedName name="Glosario">Índice!$P$13:$Q$13</definedName>
    <definedName name="OLE_LINK1" localSheetId="1">Introducción!$A$1</definedName>
    <definedName name="OLE_LINK5" localSheetId="1">Introducción!$A$20</definedName>
    <definedName name="ºººº">#REF!</definedName>
    <definedName name="Producción_Bruta">'Producción Bruta (tcal)'!$A$1</definedName>
    <definedName name="Q">#REF!</definedName>
    <definedName name="s">#REF!</definedName>
  </definedNames>
  <calcPr calcId="162913"/>
</workbook>
</file>

<file path=xl/calcChain.xml><?xml version="1.0" encoding="utf-8"?>
<calcChain xmlns="http://schemas.openxmlformats.org/spreadsheetml/2006/main">
  <c r="M18" i="34" l="1"/>
  <c r="C18" i="2" l="1"/>
  <c r="K19" i="18" l="1"/>
  <c r="J19" i="18"/>
  <c r="I19" i="18"/>
  <c r="H19" i="18"/>
  <c r="G19" i="18"/>
  <c r="F19" i="18"/>
  <c r="E19" i="18"/>
  <c r="D19" i="18"/>
  <c r="E26" i="18"/>
  <c r="F26" i="18"/>
  <c r="G26" i="18"/>
  <c r="H26" i="18"/>
  <c r="I26" i="18"/>
  <c r="J26" i="18"/>
  <c r="K26" i="18"/>
  <c r="D26" i="18"/>
  <c r="E25" i="18"/>
  <c r="F25" i="18"/>
  <c r="G25" i="18"/>
  <c r="H25" i="18"/>
  <c r="I25" i="18"/>
  <c r="J25" i="18"/>
  <c r="K25" i="18"/>
  <c r="D25" i="18"/>
  <c r="E24" i="18"/>
  <c r="F24" i="18"/>
  <c r="G24" i="18"/>
  <c r="H24" i="18"/>
  <c r="I24" i="18"/>
  <c r="J24" i="18"/>
  <c r="K24" i="18"/>
  <c r="D24" i="18"/>
  <c r="E23" i="18"/>
  <c r="F23" i="18"/>
  <c r="G23" i="18"/>
  <c r="H23" i="18"/>
  <c r="I23" i="18"/>
  <c r="J23" i="18"/>
  <c r="K23" i="18"/>
  <c r="D23" i="18"/>
  <c r="E22" i="18"/>
  <c r="F22" i="18"/>
  <c r="G22" i="18"/>
  <c r="H22" i="18"/>
  <c r="I22" i="18"/>
  <c r="J22" i="18"/>
  <c r="K22" i="18"/>
  <c r="D22" i="18"/>
  <c r="E21" i="18"/>
  <c r="F21" i="18"/>
  <c r="G21" i="18"/>
  <c r="H21" i="18"/>
  <c r="I21" i="18"/>
  <c r="J21" i="18"/>
  <c r="K21" i="18"/>
  <c r="D21" i="18"/>
  <c r="G18" i="18"/>
  <c r="H18" i="18"/>
  <c r="I18" i="18"/>
  <c r="J18" i="18"/>
  <c r="K18" i="18"/>
  <c r="E18" i="18"/>
  <c r="F18" i="18"/>
  <c r="D18" i="18"/>
  <c r="E17" i="18"/>
  <c r="F17" i="18"/>
  <c r="G17" i="18"/>
  <c r="H17" i="18"/>
  <c r="I17" i="18"/>
  <c r="J17" i="18"/>
  <c r="K17" i="18"/>
  <c r="D17" i="18"/>
  <c r="E16" i="18"/>
  <c r="F16" i="18"/>
  <c r="G16" i="18"/>
  <c r="H16" i="18"/>
  <c r="I16" i="18"/>
  <c r="J16" i="18"/>
  <c r="K16" i="18"/>
  <c r="D16" i="18"/>
  <c r="G15" i="18"/>
  <c r="H15" i="18"/>
  <c r="I15" i="18"/>
  <c r="J15" i="18"/>
  <c r="K15" i="18"/>
  <c r="E15" i="18"/>
  <c r="F15" i="18"/>
  <c r="D15" i="18"/>
  <c r="E14" i="18"/>
  <c r="F14" i="18"/>
  <c r="G14" i="18"/>
  <c r="H14" i="18"/>
  <c r="I14" i="18"/>
  <c r="J14" i="18"/>
  <c r="K14" i="18"/>
  <c r="D14" i="18"/>
  <c r="G13" i="18"/>
  <c r="H13" i="18"/>
  <c r="I13" i="18"/>
  <c r="J13" i="18"/>
  <c r="K13" i="18"/>
  <c r="E13" i="18"/>
  <c r="F13" i="18"/>
  <c r="D13" i="18"/>
  <c r="K12" i="18"/>
  <c r="E12" i="18"/>
  <c r="F12" i="18"/>
  <c r="G12" i="18"/>
  <c r="H12" i="18"/>
  <c r="I12" i="18"/>
  <c r="J12" i="18"/>
  <c r="D12" i="18"/>
  <c r="E11" i="18"/>
  <c r="F11" i="18"/>
  <c r="G11" i="18"/>
  <c r="H11" i="18"/>
  <c r="I11" i="18"/>
  <c r="J11" i="18"/>
  <c r="K11" i="18"/>
  <c r="D11" i="18"/>
  <c r="K10" i="18"/>
  <c r="G10" i="18"/>
  <c r="H10" i="18"/>
  <c r="I10" i="18"/>
  <c r="J10" i="18"/>
  <c r="F10" i="18"/>
  <c r="E10" i="18"/>
  <c r="D10" i="18"/>
  <c r="G9" i="18"/>
  <c r="H9" i="18"/>
  <c r="I9" i="18"/>
  <c r="J9" i="18"/>
  <c r="K9" i="18"/>
  <c r="F9" i="18"/>
  <c r="E9" i="18"/>
  <c r="D9" i="18"/>
  <c r="J30" i="18"/>
  <c r="K30" i="18"/>
  <c r="F30" i="18"/>
  <c r="G30" i="18"/>
  <c r="H30" i="18"/>
  <c r="I30" i="18"/>
  <c r="E30" i="18"/>
  <c r="D30" i="18"/>
  <c r="G29" i="18"/>
  <c r="H29" i="18"/>
  <c r="I29" i="18"/>
  <c r="J29" i="18"/>
  <c r="K29" i="18"/>
  <c r="F29" i="18"/>
  <c r="E29" i="18"/>
  <c r="D29" i="18"/>
  <c r="H28" i="18"/>
  <c r="I28" i="18"/>
  <c r="J28" i="18"/>
  <c r="K28" i="18"/>
  <c r="F28" i="18"/>
  <c r="G28" i="18"/>
  <c r="E28" i="18"/>
  <c r="D28" i="18"/>
  <c r="K27" i="18" l="1"/>
  <c r="J27" i="18"/>
  <c r="I27" i="18"/>
  <c r="H27" i="18"/>
  <c r="G27" i="18"/>
  <c r="F27" i="18"/>
  <c r="E27" i="18"/>
  <c r="D27" i="18"/>
  <c r="D25" i="13" l="1"/>
  <c r="D24" i="13"/>
  <c r="D23" i="13" l="1"/>
  <c r="D22" i="13"/>
  <c r="D21" i="13"/>
  <c r="D20" i="13"/>
  <c r="D17" i="13"/>
  <c r="D16" i="13"/>
  <c r="D15" i="13"/>
  <c r="D14" i="13"/>
  <c r="D13" i="13"/>
  <c r="D12" i="13"/>
  <c r="D11" i="13"/>
  <c r="D10" i="13"/>
  <c r="D18" i="13" l="1"/>
  <c r="C5" i="19"/>
  <c r="D26" i="10"/>
  <c r="E26" i="10"/>
  <c r="F26" i="10"/>
  <c r="G26" i="10"/>
  <c r="H26" i="10"/>
  <c r="I26" i="10"/>
  <c r="J26" i="10"/>
  <c r="C26" i="10"/>
  <c r="D25" i="10"/>
  <c r="E25" i="10"/>
  <c r="F25" i="10"/>
  <c r="G25" i="10"/>
  <c r="H25" i="10"/>
  <c r="I25" i="10"/>
  <c r="J25" i="10"/>
  <c r="C25" i="10"/>
  <c r="D24" i="10"/>
  <c r="E24" i="10"/>
  <c r="F24" i="10"/>
  <c r="G24" i="10"/>
  <c r="H24" i="10"/>
  <c r="I24" i="10"/>
  <c r="J24" i="10"/>
  <c r="C24" i="10"/>
  <c r="D23" i="10"/>
  <c r="E23" i="10"/>
  <c r="F23" i="10"/>
  <c r="G23" i="10"/>
  <c r="H23" i="10"/>
  <c r="I23" i="10"/>
  <c r="J23" i="10"/>
  <c r="C23" i="10"/>
  <c r="D22" i="10"/>
  <c r="E22" i="10"/>
  <c r="F22" i="10"/>
  <c r="G22" i="10"/>
  <c r="H22" i="10"/>
  <c r="I22" i="10"/>
  <c r="J22" i="10"/>
  <c r="C22" i="10"/>
  <c r="D21" i="10"/>
  <c r="E21" i="10"/>
  <c r="F21" i="10"/>
  <c r="G21" i="10"/>
  <c r="H21" i="10"/>
  <c r="I21" i="10"/>
  <c r="J21" i="10"/>
  <c r="C21" i="10"/>
  <c r="D18" i="10"/>
  <c r="E18" i="10"/>
  <c r="F18" i="10"/>
  <c r="G18" i="10"/>
  <c r="H18" i="10"/>
  <c r="I18" i="10"/>
  <c r="J18" i="10"/>
  <c r="C18" i="10"/>
  <c r="D17" i="10"/>
  <c r="E17" i="10"/>
  <c r="F17" i="10"/>
  <c r="G17" i="10"/>
  <c r="H17" i="10"/>
  <c r="I17" i="10"/>
  <c r="J17" i="10"/>
  <c r="C17" i="10"/>
  <c r="D16" i="10"/>
  <c r="E16" i="10"/>
  <c r="F16" i="10"/>
  <c r="G16" i="10"/>
  <c r="H16" i="10"/>
  <c r="I16" i="10"/>
  <c r="J16" i="10"/>
  <c r="C16" i="10"/>
  <c r="D15" i="10"/>
  <c r="E15" i="10"/>
  <c r="F15" i="10"/>
  <c r="G15" i="10"/>
  <c r="H15" i="10"/>
  <c r="I15" i="10"/>
  <c r="J15" i="10"/>
  <c r="C15" i="10"/>
  <c r="D14" i="10"/>
  <c r="E14" i="10"/>
  <c r="F14" i="10"/>
  <c r="G14" i="10"/>
  <c r="H14" i="10"/>
  <c r="I14" i="10"/>
  <c r="J14" i="10"/>
  <c r="C14" i="10"/>
  <c r="E13" i="10"/>
  <c r="F13" i="10"/>
  <c r="G13" i="10"/>
  <c r="H13" i="10"/>
  <c r="I13" i="10"/>
  <c r="J13" i="10"/>
  <c r="D13" i="10"/>
  <c r="C13" i="10"/>
  <c r="D12" i="10"/>
  <c r="E12" i="10"/>
  <c r="F12" i="10"/>
  <c r="G12" i="10"/>
  <c r="H12" i="10"/>
  <c r="I12" i="10"/>
  <c r="J12" i="10"/>
  <c r="C12" i="10"/>
  <c r="D11" i="10"/>
  <c r="E11" i="10"/>
  <c r="F11" i="10"/>
  <c r="G11" i="10"/>
  <c r="H11" i="10"/>
  <c r="I11" i="10"/>
  <c r="J11" i="10"/>
  <c r="C11" i="10"/>
  <c r="G10" i="10"/>
  <c r="H10" i="10"/>
  <c r="I10" i="10"/>
  <c r="J10" i="10"/>
  <c r="F10" i="10"/>
  <c r="E10" i="10"/>
  <c r="D10" i="10"/>
  <c r="C10" i="10"/>
  <c r="J9" i="10"/>
  <c r="I9" i="10"/>
  <c r="H9" i="10"/>
  <c r="G9" i="10"/>
  <c r="F9" i="10"/>
  <c r="E9" i="10"/>
  <c r="D9" i="10"/>
  <c r="C9" i="10"/>
  <c r="C12" i="19" l="1"/>
  <c r="D27" i="10" l="1"/>
  <c r="I27" i="10"/>
  <c r="G27" i="10"/>
  <c r="E27" i="10"/>
  <c r="C27" i="10"/>
  <c r="E8" i="49"/>
  <c r="G45" i="43"/>
  <c r="H45" i="43"/>
  <c r="I45" i="43"/>
  <c r="U45" i="43"/>
  <c r="V48" i="48" s="1"/>
  <c r="G40" i="43"/>
  <c r="H40" i="43"/>
  <c r="I40" i="43"/>
  <c r="U40" i="43"/>
  <c r="V43" i="48" s="1"/>
  <c r="G28" i="43"/>
  <c r="H28" i="43"/>
  <c r="I28" i="43"/>
  <c r="U28" i="43"/>
  <c r="V31" i="48" s="1"/>
  <c r="G20" i="43"/>
  <c r="H20" i="43"/>
  <c r="I20" i="43"/>
  <c r="I19" i="43" s="1"/>
  <c r="H26" i="5" l="1"/>
  <c r="H26" i="6"/>
  <c r="H19" i="43"/>
  <c r="G19" i="43"/>
  <c r="T52" i="48" l="1"/>
  <c r="S52" i="48"/>
  <c r="S20" i="48"/>
  <c r="E15" i="9"/>
  <c r="N46" i="23" s="1"/>
  <c r="E15" i="7"/>
  <c r="S33" i="48"/>
  <c r="S28" i="50" s="1"/>
  <c r="E16" i="8"/>
  <c r="H16" i="8"/>
  <c r="I16" i="8"/>
  <c r="S39" i="48"/>
  <c r="S41" i="48"/>
  <c r="M16" i="16" s="1"/>
  <c r="M16" i="8"/>
  <c r="S26" i="48"/>
  <c r="S21" i="50" s="1"/>
  <c r="S27" i="48"/>
  <c r="I16" i="37"/>
  <c r="S15" i="48"/>
  <c r="S16" i="48"/>
  <c r="S17" i="48"/>
  <c r="S18" i="48"/>
  <c r="S19" i="48"/>
  <c r="S21" i="48"/>
  <c r="S8" i="48"/>
  <c r="S12" i="48"/>
  <c r="S10" i="48"/>
  <c r="S11" i="48"/>
  <c r="V14" i="48"/>
  <c r="V15" i="48"/>
  <c r="V16" i="48"/>
  <c r="V17" i="48"/>
  <c r="V18" i="48"/>
  <c r="V19" i="48"/>
  <c r="V51" i="48"/>
  <c r="V46" i="50" s="1"/>
  <c r="V50" i="48"/>
  <c r="V45" i="50" s="1"/>
  <c r="V49" i="48"/>
  <c r="D18" i="17" s="1"/>
  <c r="V47" i="48"/>
  <c r="V42" i="50" s="1"/>
  <c r="V45" i="48"/>
  <c r="V40" i="50" s="1"/>
  <c r="V46" i="48"/>
  <c r="F18" i="15" s="1"/>
  <c r="V44" i="48"/>
  <c r="V39" i="50" s="1"/>
  <c r="V33" i="48"/>
  <c r="V28" i="50" s="1"/>
  <c r="V34" i="48"/>
  <c r="V29" i="50" s="1"/>
  <c r="V35" i="48"/>
  <c r="V30" i="50" s="1"/>
  <c r="V36" i="48"/>
  <c r="H19" i="16" s="1"/>
  <c r="V37" i="48"/>
  <c r="V32" i="50" s="1"/>
  <c r="V38" i="48"/>
  <c r="J19" i="16" s="1"/>
  <c r="V39" i="48"/>
  <c r="K19" i="16" s="1"/>
  <c r="V40" i="48"/>
  <c r="L19" i="16" s="1"/>
  <c r="V41" i="48"/>
  <c r="V36" i="50" s="1"/>
  <c r="V42" i="48"/>
  <c r="V37" i="50" s="1"/>
  <c r="V32" i="48"/>
  <c r="V27" i="50" s="1"/>
  <c r="V24" i="48"/>
  <c r="D19" i="38" s="1"/>
  <c r="V25" i="48"/>
  <c r="V20" i="50" s="1"/>
  <c r="V26" i="48"/>
  <c r="F19" i="38" s="1"/>
  <c r="V27" i="48"/>
  <c r="V22" i="50" s="1"/>
  <c r="V28" i="48"/>
  <c r="V23" i="50" s="1"/>
  <c r="V30" i="48"/>
  <c r="V25" i="50" s="1"/>
  <c r="V21" i="48"/>
  <c r="C7" i="19"/>
  <c r="C6" i="19"/>
  <c r="C18" i="5"/>
  <c r="E26" i="29"/>
  <c r="N26" i="29" s="1"/>
  <c r="D9" i="13"/>
  <c r="E12" i="9"/>
  <c r="P50" i="48"/>
  <c r="F12" i="7"/>
  <c r="E12" i="7"/>
  <c r="P45" i="48"/>
  <c r="L13" i="8"/>
  <c r="P35" i="49"/>
  <c r="J13" i="8"/>
  <c r="P37" i="48"/>
  <c r="P36" i="48"/>
  <c r="P30" i="49"/>
  <c r="D13" i="8"/>
  <c r="P27" i="49"/>
  <c r="P30" i="48"/>
  <c r="H13" i="37"/>
  <c r="P27" i="48"/>
  <c r="P22" i="50" s="1"/>
  <c r="P26" i="48"/>
  <c r="C13" i="37"/>
  <c r="P21" i="48"/>
  <c r="P20" i="48"/>
  <c r="P19" i="48"/>
  <c r="P18" i="48"/>
  <c r="P17" i="48"/>
  <c r="P16" i="48"/>
  <c r="P15" i="48"/>
  <c r="P14" i="48"/>
  <c r="P12" i="48"/>
  <c r="P11" i="48"/>
  <c r="C12" i="5"/>
  <c r="N8" i="31" s="1"/>
  <c r="C13" i="5"/>
  <c r="D8" i="13"/>
  <c r="C10" i="5"/>
  <c r="R28" i="31"/>
  <c r="C15" i="5"/>
  <c r="E11" i="9"/>
  <c r="C11" i="9"/>
  <c r="O47" i="48"/>
  <c r="O42" i="50" s="1"/>
  <c r="O37" i="49"/>
  <c r="L12" i="8"/>
  <c r="O38" i="48"/>
  <c r="O33" i="50" s="1"/>
  <c r="O37" i="48"/>
  <c r="O32" i="50" s="1"/>
  <c r="F12" i="8"/>
  <c r="O34" i="48"/>
  <c r="O29" i="50" s="1"/>
  <c r="D12" i="8"/>
  <c r="I12" i="37"/>
  <c r="O29" i="48"/>
  <c r="O24" i="50" s="1"/>
  <c r="O27" i="48"/>
  <c r="E12" i="37"/>
  <c r="O25" i="48"/>
  <c r="O20" i="50" s="1"/>
  <c r="O21" i="48"/>
  <c r="O19" i="48"/>
  <c r="O18" i="48"/>
  <c r="O17" i="48"/>
  <c r="O16" i="48"/>
  <c r="O15" i="48"/>
  <c r="O14" i="48"/>
  <c r="O12" i="48"/>
  <c r="O11" i="48"/>
  <c r="O10" i="48"/>
  <c r="O8" i="48"/>
  <c r="F11" i="13" s="1"/>
  <c r="C11" i="5"/>
  <c r="D16" i="9"/>
  <c r="F16" i="7"/>
  <c r="T45" i="48"/>
  <c r="T40" i="50" s="1"/>
  <c r="T40" i="48"/>
  <c r="L17" i="16" s="1"/>
  <c r="T39" i="48"/>
  <c r="K17" i="16" s="1"/>
  <c r="H17" i="8"/>
  <c r="T36" i="48"/>
  <c r="T31" i="50" s="1"/>
  <c r="T35" i="48"/>
  <c r="G17" i="16" s="1"/>
  <c r="C17" i="8"/>
  <c r="T25" i="49"/>
  <c r="T28" i="48"/>
  <c r="T27" i="48"/>
  <c r="T22" i="50" s="1"/>
  <c r="E17" i="37"/>
  <c r="T21" i="48"/>
  <c r="T20" i="48"/>
  <c r="T19" i="48"/>
  <c r="T18" i="48"/>
  <c r="T17" i="48"/>
  <c r="T16" i="48"/>
  <c r="T15" i="48"/>
  <c r="T14" i="48"/>
  <c r="T12" i="48"/>
  <c r="T11" i="48"/>
  <c r="T8" i="48"/>
  <c r="F16" i="13" s="1"/>
  <c r="N20" i="23"/>
  <c r="N30" i="23"/>
  <c r="C16" i="5"/>
  <c r="U51" i="48"/>
  <c r="U45" i="49"/>
  <c r="U47" i="48"/>
  <c r="U42" i="50" s="1"/>
  <c r="U46" i="48"/>
  <c r="U41" i="50" s="1"/>
  <c r="U40" i="49"/>
  <c r="M18" i="8"/>
  <c r="U36" i="49"/>
  <c r="U35" i="49"/>
  <c r="J18" i="8"/>
  <c r="U37" i="48"/>
  <c r="U32" i="50" s="1"/>
  <c r="F18" i="8"/>
  <c r="U34" i="48"/>
  <c r="U29" i="50" s="1"/>
  <c r="U33" i="48"/>
  <c r="U28" i="50" s="1"/>
  <c r="H18" i="37"/>
  <c r="U28" i="48"/>
  <c r="H18" i="38" s="1"/>
  <c r="F18" i="37"/>
  <c r="D18" i="37"/>
  <c r="U21" i="48"/>
  <c r="U20" i="48"/>
  <c r="U19" i="48"/>
  <c r="U18" i="48"/>
  <c r="U17" i="48"/>
  <c r="U16" i="48"/>
  <c r="U15" i="48"/>
  <c r="U14" i="48"/>
  <c r="U12" i="48"/>
  <c r="U11" i="48"/>
  <c r="C17" i="5"/>
  <c r="E41" i="49"/>
  <c r="E40" i="49"/>
  <c r="E39" i="49"/>
  <c r="E25" i="49"/>
  <c r="E23" i="49"/>
  <c r="D27" i="37"/>
  <c r="E19" i="49"/>
  <c r="E20" i="48"/>
  <c r="E18" i="48"/>
  <c r="E17" i="48"/>
  <c r="E14" i="48"/>
  <c r="E12" i="48"/>
  <c r="E11" i="48"/>
  <c r="E8" i="48"/>
  <c r="E7" i="48"/>
  <c r="C10" i="52"/>
  <c r="J27" i="10"/>
  <c r="H27" i="10"/>
  <c r="F27" i="10"/>
  <c r="D44" i="49"/>
  <c r="D47" i="48"/>
  <c r="D42" i="50" s="1"/>
  <c r="D41" i="49"/>
  <c r="D45" i="48"/>
  <c r="D40" i="50" s="1"/>
  <c r="D44" i="48"/>
  <c r="D39" i="50" s="1"/>
  <c r="D42" i="48"/>
  <c r="D37" i="50" s="1"/>
  <c r="D41" i="48"/>
  <c r="D36" i="50" s="1"/>
  <c r="D39" i="48"/>
  <c r="D34" i="50" s="1"/>
  <c r="D38" i="48"/>
  <c r="D33" i="50" s="1"/>
  <c r="D37" i="48"/>
  <c r="D32" i="50" s="1"/>
  <c r="D35" i="48"/>
  <c r="D30" i="50" s="1"/>
  <c r="D34" i="48"/>
  <c r="D29" i="50" s="1"/>
  <c r="D28" i="49"/>
  <c r="D25" i="49"/>
  <c r="D24" i="49"/>
  <c r="D21" i="49"/>
  <c r="D25" i="48"/>
  <c r="D20" i="50" s="1"/>
  <c r="D24" i="48"/>
  <c r="D19" i="50" s="1"/>
  <c r="D21" i="48"/>
  <c r="D20" i="48"/>
  <c r="D19" i="48"/>
  <c r="D18" i="48"/>
  <c r="D17" i="48"/>
  <c r="D16" i="48"/>
  <c r="D15" i="48"/>
  <c r="D14" i="48"/>
  <c r="D11" i="48"/>
  <c r="AC51" i="48"/>
  <c r="D25" i="9"/>
  <c r="AC42" i="49"/>
  <c r="AC46" i="48"/>
  <c r="F25" i="15" s="1"/>
  <c r="D25" i="7"/>
  <c r="AC41" i="48"/>
  <c r="AC36" i="50" s="1"/>
  <c r="AC35" i="49"/>
  <c r="J26" i="8"/>
  <c r="I26" i="8"/>
  <c r="AC37" i="48"/>
  <c r="AC31" i="49"/>
  <c r="AC34" i="48"/>
  <c r="AC33" i="48"/>
  <c r="AC28" i="48"/>
  <c r="F26" i="37"/>
  <c r="AC26" i="48"/>
  <c r="AC21" i="48"/>
  <c r="AC20" i="48"/>
  <c r="AC19" i="48"/>
  <c r="AC18" i="48"/>
  <c r="AC17" i="48"/>
  <c r="AC16" i="48"/>
  <c r="AC15" i="48"/>
  <c r="AC14" i="48"/>
  <c r="AC12" i="48"/>
  <c r="AC11" i="48"/>
  <c r="E25" i="5"/>
  <c r="AC7" i="48"/>
  <c r="E25" i="13" s="1"/>
  <c r="C25" i="5"/>
  <c r="E24" i="9"/>
  <c r="D24" i="9"/>
  <c r="AB47" i="48"/>
  <c r="AB42" i="50" s="1"/>
  <c r="D24" i="7"/>
  <c r="AB42" i="48"/>
  <c r="N25" i="16" s="1"/>
  <c r="L25" i="8"/>
  <c r="K25" i="8"/>
  <c r="AB39" i="48"/>
  <c r="AB34" i="50" s="1"/>
  <c r="AB38" i="48"/>
  <c r="H25" i="8"/>
  <c r="G25" i="8"/>
  <c r="AB35" i="48"/>
  <c r="AB30" i="50" s="1"/>
  <c r="AB34" i="48"/>
  <c r="AB29" i="50" s="1"/>
  <c r="AB28" i="49"/>
  <c r="AB30" i="48"/>
  <c r="AB25" i="50" s="1"/>
  <c r="AB29" i="48"/>
  <c r="AB24" i="50" s="1"/>
  <c r="G25" i="37"/>
  <c r="AB21" i="49"/>
  <c r="AB25" i="48"/>
  <c r="AB20" i="50" s="1"/>
  <c r="AB21" i="48"/>
  <c r="AB20" i="48"/>
  <c r="AB18" i="48"/>
  <c r="AB17" i="48"/>
  <c r="AB16" i="48"/>
  <c r="AB15" i="48"/>
  <c r="AB14" i="48"/>
  <c r="AB12" i="48"/>
  <c r="AB11" i="48"/>
  <c r="E24" i="5"/>
  <c r="G8" i="29" s="1"/>
  <c r="AB7" i="48"/>
  <c r="E24" i="13" s="1"/>
  <c r="E40" i="31"/>
  <c r="L40" i="31" s="1"/>
  <c r="C24" i="5"/>
  <c r="G6" i="29" s="1"/>
  <c r="E23" i="9"/>
  <c r="AA50" i="48"/>
  <c r="AA45" i="50" s="1"/>
  <c r="AA46" i="48"/>
  <c r="AA41" i="50" s="1"/>
  <c r="AA45" i="48"/>
  <c r="AA40" i="50" s="1"/>
  <c r="L24" i="8"/>
  <c r="AA40" i="48"/>
  <c r="AA35" i="50" s="1"/>
  <c r="AA39" i="48"/>
  <c r="AA34" i="50" s="1"/>
  <c r="I24" i="8"/>
  <c r="AA37" i="48"/>
  <c r="AA32" i="50" s="1"/>
  <c r="AA36" i="48"/>
  <c r="AA35" i="48"/>
  <c r="AA33" i="48"/>
  <c r="AA28" i="50" s="1"/>
  <c r="AA30" i="48"/>
  <c r="AA25" i="50" s="1"/>
  <c r="AA28" i="48"/>
  <c r="AA27" i="48"/>
  <c r="AA22" i="50" s="1"/>
  <c r="AA26" i="48"/>
  <c r="C24" i="37"/>
  <c r="AA21" i="48"/>
  <c r="AA20" i="48"/>
  <c r="AA19" i="48"/>
  <c r="AA18" i="48"/>
  <c r="AA17" i="48"/>
  <c r="AA16" i="48"/>
  <c r="AA15" i="48"/>
  <c r="AA14" i="48"/>
  <c r="AA12" i="48"/>
  <c r="AA11" i="48"/>
  <c r="AA10" i="48"/>
  <c r="E23" i="5"/>
  <c r="C23" i="5"/>
  <c r="Y45" i="49"/>
  <c r="Y44" i="49"/>
  <c r="Y47" i="48"/>
  <c r="Y42" i="50" s="1"/>
  <c r="E21" i="7"/>
  <c r="Y45" i="48"/>
  <c r="Y39" i="49"/>
  <c r="Y42" i="48"/>
  <c r="J22" i="8"/>
  <c r="Y38" i="48"/>
  <c r="Y36" i="48"/>
  <c r="Y35" i="48"/>
  <c r="Y34" i="48"/>
  <c r="Y29" i="50" s="1"/>
  <c r="Y30" i="48"/>
  <c r="Y24" i="49"/>
  <c r="Y26" i="48"/>
  <c r="Y25" i="48"/>
  <c r="Y20" i="50" s="1"/>
  <c r="Y21" i="48"/>
  <c r="Y20" i="48"/>
  <c r="Y19" i="48"/>
  <c r="Y18" i="48"/>
  <c r="Y17" i="48"/>
  <c r="Y16" i="48"/>
  <c r="Y15" i="48"/>
  <c r="Y14" i="48"/>
  <c r="Y12" i="48"/>
  <c r="Y11" i="48"/>
  <c r="E21" i="5"/>
  <c r="D21" i="5"/>
  <c r="C21" i="5"/>
  <c r="X51" i="48"/>
  <c r="X50" i="48"/>
  <c r="X41" i="49"/>
  <c r="X45" i="48"/>
  <c r="M21" i="8"/>
  <c r="X41" i="48"/>
  <c r="X36" i="50" s="1"/>
  <c r="X40" i="48"/>
  <c r="X34" i="49"/>
  <c r="H21" i="8"/>
  <c r="X36" i="48"/>
  <c r="X30" i="49"/>
  <c r="X33" i="48"/>
  <c r="H21" i="37"/>
  <c r="X28" i="48"/>
  <c r="X23" i="50" s="1"/>
  <c r="X27" i="48"/>
  <c r="X19" i="49"/>
  <c r="X21" i="48"/>
  <c r="X20" i="48"/>
  <c r="X19" i="48"/>
  <c r="X16" i="48"/>
  <c r="X15" i="48"/>
  <c r="X14" i="48"/>
  <c r="X12" i="48"/>
  <c r="X11" i="48"/>
  <c r="X7" i="48"/>
  <c r="E20" i="13" s="1"/>
  <c r="C20" i="5"/>
  <c r="S8" i="23" s="1"/>
  <c r="U20" i="43"/>
  <c r="E18" i="5"/>
  <c r="C6" i="11"/>
  <c r="F42" i="49"/>
  <c r="F46" i="48"/>
  <c r="F41" i="50" s="1"/>
  <c r="F45" i="48"/>
  <c r="F24" i="49"/>
  <c r="F28" i="48"/>
  <c r="F23" i="50" s="1"/>
  <c r="F27" i="48"/>
  <c r="F21" i="49"/>
  <c r="D28" i="37"/>
  <c r="F21" i="48"/>
  <c r="F20" i="48"/>
  <c r="F19" i="48"/>
  <c r="F18" i="48"/>
  <c r="F16" i="48"/>
  <c r="F15" i="48"/>
  <c r="F14" i="48"/>
  <c r="F12" i="48"/>
  <c r="F11" i="48"/>
  <c r="F8" i="48"/>
  <c r="F27" i="13" s="1"/>
  <c r="G47" i="48"/>
  <c r="G46" i="48"/>
  <c r="G39" i="49"/>
  <c r="F29" i="8"/>
  <c r="G25" i="49"/>
  <c r="G29" i="48"/>
  <c r="G28" i="48"/>
  <c r="G23" i="50" s="1"/>
  <c r="G27" i="48"/>
  <c r="E29" i="37"/>
  <c r="G25" i="48"/>
  <c r="G21" i="48"/>
  <c r="G20" i="48"/>
  <c r="G19" i="48"/>
  <c r="G18" i="48"/>
  <c r="G17" i="48"/>
  <c r="G16" i="48"/>
  <c r="G15" i="48"/>
  <c r="G14" i="48"/>
  <c r="G12" i="48"/>
  <c r="G11" i="48"/>
  <c r="G8" i="48"/>
  <c r="G7" i="48"/>
  <c r="C12" i="52"/>
  <c r="H11" i="37"/>
  <c r="H9" i="37"/>
  <c r="F29" i="7"/>
  <c r="E29" i="7"/>
  <c r="K45" i="48"/>
  <c r="K30" i="48"/>
  <c r="H30" i="37"/>
  <c r="G30" i="37"/>
  <c r="K27" i="48"/>
  <c r="K26" i="48"/>
  <c r="D30" i="37"/>
  <c r="K21" i="48"/>
  <c r="K20" i="48"/>
  <c r="K19" i="48"/>
  <c r="K18" i="48"/>
  <c r="K17" i="48"/>
  <c r="K16" i="48"/>
  <c r="K15" i="48"/>
  <c r="K14" i="48"/>
  <c r="K12" i="48"/>
  <c r="K11" i="48"/>
  <c r="K8" i="48"/>
  <c r="K7" i="48"/>
  <c r="C16" i="52"/>
  <c r="Z51" i="48"/>
  <c r="Z46" i="50" s="1"/>
  <c r="Z45" i="49"/>
  <c r="Z44" i="49"/>
  <c r="F22" i="7"/>
  <c r="Z41" i="49"/>
  <c r="Z40" i="49"/>
  <c r="Z42" i="48"/>
  <c r="Z37" i="50" s="1"/>
  <c r="Z41" i="48"/>
  <c r="Z36" i="50" s="1"/>
  <c r="Z40" i="48"/>
  <c r="Z38" i="48"/>
  <c r="Z37" i="48"/>
  <c r="G23" i="8"/>
  <c r="Z34" i="48"/>
  <c r="Z29" i="50" s="1"/>
  <c r="Z33" i="48"/>
  <c r="I23" i="37"/>
  <c r="H23" i="37"/>
  <c r="Z28" i="48"/>
  <c r="Z25" i="48"/>
  <c r="Z21" i="48"/>
  <c r="Z20" i="48"/>
  <c r="Z19" i="48"/>
  <c r="Z18" i="48"/>
  <c r="Z17" i="48"/>
  <c r="Z16" i="48"/>
  <c r="Z15" i="48"/>
  <c r="Z14" i="48"/>
  <c r="Z12" i="48"/>
  <c r="Z11" i="48"/>
  <c r="D22" i="5"/>
  <c r="C22" i="5"/>
  <c r="D11" i="3"/>
  <c r="F10" i="23" s="1"/>
  <c r="D12" i="3"/>
  <c r="D13" i="3"/>
  <c r="E11" i="3"/>
  <c r="F12" i="23" s="1"/>
  <c r="E12" i="3"/>
  <c r="E13" i="3"/>
  <c r="E18" i="6"/>
  <c r="D18" i="6"/>
  <c r="C10" i="19"/>
  <c r="V8" i="50"/>
  <c r="F18" i="6"/>
  <c r="V21" i="50"/>
  <c r="J24" i="48"/>
  <c r="J19" i="50" s="1"/>
  <c r="J25" i="48"/>
  <c r="J20" i="50" s="1"/>
  <c r="J26" i="48"/>
  <c r="J21" i="50" s="1"/>
  <c r="J27" i="48"/>
  <c r="J22" i="50" s="1"/>
  <c r="J28" i="48"/>
  <c r="J23" i="50" s="1"/>
  <c r="J29" i="48"/>
  <c r="J24" i="50" s="1"/>
  <c r="J30" i="48"/>
  <c r="J25" i="50" s="1"/>
  <c r="J32" i="48"/>
  <c r="J27" i="50" s="1"/>
  <c r="J33" i="48"/>
  <c r="J28" i="50" s="1"/>
  <c r="J34" i="48"/>
  <c r="J29" i="50" s="1"/>
  <c r="J35" i="48"/>
  <c r="J30" i="50" s="1"/>
  <c r="J36" i="48"/>
  <c r="J31" i="50" s="1"/>
  <c r="J37" i="48"/>
  <c r="J32" i="50" s="1"/>
  <c r="J38" i="48"/>
  <c r="J33" i="50" s="1"/>
  <c r="J39" i="48"/>
  <c r="J34" i="50" s="1"/>
  <c r="J40" i="48"/>
  <c r="J35" i="50" s="1"/>
  <c r="J41" i="48"/>
  <c r="J36" i="50" s="1"/>
  <c r="J42" i="48"/>
  <c r="J37" i="50" s="1"/>
  <c r="J44" i="48"/>
  <c r="J39" i="50" s="1"/>
  <c r="J45" i="48"/>
  <c r="J40" i="50" s="1"/>
  <c r="J46" i="48"/>
  <c r="J41" i="50" s="1"/>
  <c r="J47" i="48"/>
  <c r="J42" i="50" s="1"/>
  <c r="J49" i="48"/>
  <c r="J44" i="50" s="1"/>
  <c r="J50" i="48"/>
  <c r="J45" i="50" s="1"/>
  <c r="J51" i="48"/>
  <c r="J46" i="50" s="1"/>
  <c r="I24" i="48"/>
  <c r="I19" i="50" s="1"/>
  <c r="I25" i="48"/>
  <c r="I20" i="50" s="1"/>
  <c r="I26" i="48"/>
  <c r="I21" i="50" s="1"/>
  <c r="I27" i="48"/>
  <c r="I22" i="50" s="1"/>
  <c r="I28" i="48"/>
  <c r="I23" i="50" s="1"/>
  <c r="I29" i="48"/>
  <c r="I24" i="50" s="1"/>
  <c r="I30" i="48"/>
  <c r="I25" i="50" s="1"/>
  <c r="I32" i="48"/>
  <c r="I27" i="50" s="1"/>
  <c r="I33" i="48"/>
  <c r="I28" i="50" s="1"/>
  <c r="I34" i="48"/>
  <c r="I29" i="50" s="1"/>
  <c r="I35" i="48"/>
  <c r="I30" i="50" s="1"/>
  <c r="I36" i="48"/>
  <c r="I31" i="50" s="1"/>
  <c r="I37" i="48"/>
  <c r="I32" i="50" s="1"/>
  <c r="I38" i="48"/>
  <c r="I33" i="50" s="1"/>
  <c r="I39" i="48"/>
  <c r="I34" i="50" s="1"/>
  <c r="I40" i="48"/>
  <c r="I35" i="50" s="1"/>
  <c r="I41" i="48"/>
  <c r="I36" i="50" s="1"/>
  <c r="I42" i="48"/>
  <c r="I37" i="50" s="1"/>
  <c r="I44" i="48"/>
  <c r="I39" i="50" s="1"/>
  <c r="I45" i="48"/>
  <c r="I40" i="50" s="1"/>
  <c r="I46" i="48"/>
  <c r="I41" i="50" s="1"/>
  <c r="I47" i="48"/>
  <c r="I42" i="50" s="1"/>
  <c r="I49" i="48"/>
  <c r="I44" i="50" s="1"/>
  <c r="I50" i="48"/>
  <c r="I45" i="50" s="1"/>
  <c r="I51" i="48"/>
  <c r="I46" i="50" s="1"/>
  <c r="H24" i="48"/>
  <c r="H19" i="50" s="1"/>
  <c r="H25" i="48"/>
  <c r="H20" i="50" s="1"/>
  <c r="H26" i="48"/>
  <c r="H21" i="50" s="1"/>
  <c r="H27" i="48"/>
  <c r="H22" i="50" s="1"/>
  <c r="H28" i="48"/>
  <c r="H23" i="50" s="1"/>
  <c r="H29" i="48"/>
  <c r="H24" i="50" s="1"/>
  <c r="H30" i="48"/>
  <c r="H25" i="50" s="1"/>
  <c r="H32" i="48"/>
  <c r="H27" i="50" s="1"/>
  <c r="H33" i="48"/>
  <c r="H28" i="50" s="1"/>
  <c r="H34" i="48"/>
  <c r="H29" i="50" s="1"/>
  <c r="H35" i="48"/>
  <c r="H30" i="50" s="1"/>
  <c r="H36" i="48"/>
  <c r="H31" i="50" s="1"/>
  <c r="H37" i="48"/>
  <c r="H32" i="50" s="1"/>
  <c r="H38" i="48"/>
  <c r="H33" i="50" s="1"/>
  <c r="H39" i="48"/>
  <c r="H34" i="50" s="1"/>
  <c r="H40" i="48"/>
  <c r="H35" i="50" s="1"/>
  <c r="H41" i="48"/>
  <c r="H36" i="50" s="1"/>
  <c r="H42" i="48"/>
  <c r="H37" i="50" s="1"/>
  <c r="H44" i="48"/>
  <c r="H39" i="50" s="1"/>
  <c r="H45" i="48"/>
  <c r="H40" i="50" s="1"/>
  <c r="H46" i="48"/>
  <c r="H41" i="50" s="1"/>
  <c r="H47" i="48"/>
  <c r="H42" i="50" s="1"/>
  <c r="H49" i="48"/>
  <c r="H44" i="50" s="1"/>
  <c r="H50" i="48"/>
  <c r="H45" i="50" s="1"/>
  <c r="H51" i="48"/>
  <c r="H46" i="50" s="1"/>
  <c r="V19" i="49"/>
  <c r="V20" i="49"/>
  <c r="V21" i="49"/>
  <c r="V22" i="49"/>
  <c r="V23" i="49"/>
  <c r="V25" i="49"/>
  <c r="V27" i="49"/>
  <c r="V28" i="49"/>
  <c r="V29" i="49"/>
  <c r="V30" i="49"/>
  <c r="V31" i="49"/>
  <c r="V32" i="49"/>
  <c r="V33" i="49"/>
  <c r="V34" i="49"/>
  <c r="V35" i="49"/>
  <c r="V36" i="49"/>
  <c r="V37" i="49"/>
  <c r="V39" i="49"/>
  <c r="V40" i="49"/>
  <c r="V41" i="49"/>
  <c r="V42" i="49"/>
  <c r="V44" i="49"/>
  <c r="V45" i="49"/>
  <c r="V46" i="49"/>
  <c r="F18" i="14"/>
  <c r="E18" i="14"/>
  <c r="D18" i="14"/>
  <c r="J9" i="48"/>
  <c r="G13" i="12" s="1"/>
  <c r="I9" i="48"/>
  <c r="G12" i="12" s="1"/>
  <c r="H9" i="48"/>
  <c r="G11" i="12" s="1"/>
  <c r="F13" i="12"/>
  <c r="E13" i="12"/>
  <c r="F12" i="12"/>
  <c r="E12" i="12"/>
  <c r="F11" i="12"/>
  <c r="E11" i="12"/>
  <c r="H44" i="49"/>
  <c r="I44" i="49"/>
  <c r="J44" i="49"/>
  <c r="H45" i="49"/>
  <c r="I45" i="49"/>
  <c r="J45" i="49"/>
  <c r="H46" i="49"/>
  <c r="I46" i="49"/>
  <c r="J46" i="49"/>
  <c r="H39" i="49"/>
  <c r="I39" i="49"/>
  <c r="J39" i="49"/>
  <c r="H40" i="49"/>
  <c r="I40" i="49"/>
  <c r="J40" i="49"/>
  <c r="H41" i="49"/>
  <c r="I41" i="49"/>
  <c r="J41" i="49"/>
  <c r="H42" i="49"/>
  <c r="I42" i="49"/>
  <c r="J42" i="49"/>
  <c r="H27" i="49"/>
  <c r="I27" i="49"/>
  <c r="J27" i="49"/>
  <c r="H28" i="49"/>
  <c r="I28" i="49"/>
  <c r="J28" i="49"/>
  <c r="H29" i="49"/>
  <c r="I29" i="49"/>
  <c r="J29" i="49"/>
  <c r="H30" i="49"/>
  <c r="I30" i="49"/>
  <c r="J30" i="49"/>
  <c r="H31" i="49"/>
  <c r="I31" i="49"/>
  <c r="J31" i="49"/>
  <c r="H32" i="49"/>
  <c r="I32" i="49"/>
  <c r="J32" i="49"/>
  <c r="H33" i="49"/>
  <c r="I33" i="49"/>
  <c r="J33" i="49"/>
  <c r="H34" i="49"/>
  <c r="I34" i="49"/>
  <c r="J34" i="49"/>
  <c r="H35" i="49"/>
  <c r="I35" i="49"/>
  <c r="J35" i="49"/>
  <c r="H36" i="49"/>
  <c r="I36" i="49"/>
  <c r="J36" i="49"/>
  <c r="H37" i="49"/>
  <c r="I37" i="49"/>
  <c r="J37" i="49"/>
  <c r="H19" i="49"/>
  <c r="I19" i="49"/>
  <c r="J19" i="49"/>
  <c r="H20" i="49"/>
  <c r="I20" i="49"/>
  <c r="J20" i="49"/>
  <c r="H21" i="49"/>
  <c r="I21" i="49"/>
  <c r="J21" i="49"/>
  <c r="H22" i="49"/>
  <c r="I22" i="49"/>
  <c r="J22" i="49"/>
  <c r="H23" i="49"/>
  <c r="I23" i="49"/>
  <c r="J23" i="49"/>
  <c r="H24" i="49"/>
  <c r="I24" i="49"/>
  <c r="J24" i="49"/>
  <c r="H25" i="49"/>
  <c r="I25" i="49"/>
  <c r="J25" i="49"/>
  <c r="H14" i="48"/>
  <c r="I14" i="48"/>
  <c r="J14" i="48"/>
  <c r="H17" i="48"/>
  <c r="I17" i="48"/>
  <c r="J17" i="48"/>
  <c r="H18" i="48"/>
  <c r="I18" i="48"/>
  <c r="J18" i="48"/>
  <c r="H19" i="48"/>
  <c r="I19" i="48"/>
  <c r="J19" i="48"/>
  <c r="H20" i="48"/>
  <c r="I20" i="48"/>
  <c r="J20" i="48"/>
  <c r="H21" i="48"/>
  <c r="I21" i="48"/>
  <c r="J21" i="48"/>
  <c r="H23" i="48"/>
  <c r="H31" i="48"/>
  <c r="H43" i="48"/>
  <c r="H48" i="48"/>
  <c r="I23" i="48"/>
  <c r="I31" i="48"/>
  <c r="I43" i="48"/>
  <c r="I48" i="48"/>
  <c r="J23" i="48"/>
  <c r="J31" i="48"/>
  <c r="J43" i="48"/>
  <c r="J48" i="48"/>
  <c r="D52" i="48"/>
  <c r="E52" i="48"/>
  <c r="F52" i="48"/>
  <c r="G52" i="48"/>
  <c r="H52" i="48"/>
  <c r="I52" i="48"/>
  <c r="J52" i="48"/>
  <c r="K52" i="48"/>
  <c r="L52" i="48"/>
  <c r="M52" i="48"/>
  <c r="N52" i="48"/>
  <c r="O52" i="48"/>
  <c r="P52" i="48"/>
  <c r="Q52" i="48"/>
  <c r="R52" i="48"/>
  <c r="U52" i="48"/>
  <c r="W52" i="48"/>
  <c r="X52" i="48"/>
  <c r="Y52" i="48"/>
  <c r="Z52" i="48"/>
  <c r="AA52" i="48"/>
  <c r="AB52" i="48"/>
  <c r="AC52" i="48"/>
  <c r="C19" i="8"/>
  <c r="I19" i="37"/>
  <c r="G19" i="37"/>
  <c r="F19" i="37"/>
  <c r="E19" i="37"/>
  <c r="D19" i="37"/>
  <c r="C19" i="37"/>
  <c r="C18" i="9"/>
  <c r="E18" i="9"/>
  <c r="D18" i="9"/>
  <c r="V48" i="23" s="1"/>
  <c r="C18" i="7"/>
  <c r="D18" i="7"/>
  <c r="E18" i="7"/>
  <c r="F18" i="7"/>
  <c r="M19" i="8"/>
  <c r="L19" i="8"/>
  <c r="K19" i="8"/>
  <c r="J19" i="8"/>
  <c r="I19" i="8"/>
  <c r="H19" i="8"/>
  <c r="G19" i="8"/>
  <c r="F19" i="8"/>
  <c r="E19" i="8"/>
  <c r="D19" i="8"/>
  <c r="F13" i="3"/>
  <c r="F12" i="3"/>
  <c r="F11" i="3"/>
  <c r="F16" i="23" s="1"/>
  <c r="L16" i="23" s="1"/>
  <c r="R19" i="27"/>
  <c r="Q19" i="27"/>
  <c r="P19" i="27"/>
  <c r="O19" i="27"/>
  <c r="AG9" i="27"/>
  <c r="AH8" i="27" s="1"/>
  <c r="AH6" i="27"/>
  <c r="AE9" i="27"/>
  <c r="AF8" i="27" s="1"/>
  <c r="AF6" i="27"/>
  <c r="AC9" i="27"/>
  <c r="AD7" i="27" s="1"/>
  <c r="AD8" i="27"/>
  <c r="AD6" i="27"/>
  <c r="AA9" i="27"/>
  <c r="AB8" i="27" s="1"/>
  <c r="AB6" i="27"/>
  <c r="Y9" i="27"/>
  <c r="Z7" i="27" s="1"/>
  <c r="Z8" i="27"/>
  <c r="Z6" i="27"/>
  <c r="W9" i="27"/>
  <c r="X8" i="27" s="1"/>
  <c r="X6" i="27"/>
  <c r="M19" i="27"/>
  <c r="N19" i="27"/>
  <c r="L19" i="27"/>
  <c r="K19" i="27"/>
  <c r="J19" i="27"/>
  <c r="I19" i="27"/>
  <c r="H19" i="27"/>
  <c r="G19" i="27"/>
  <c r="F19" i="27"/>
  <c r="E19" i="27"/>
  <c r="D19" i="27"/>
  <c r="C19" i="27"/>
  <c r="S5" i="4"/>
  <c r="U5" i="4" s="1"/>
  <c r="O14" i="4"/>
  <c r="O13" i="4"/>
  <c r="O12" i="4"/>
  <c r="O11" i="4"/>
  <c r="O10" i="4"/>
  <c r="O9" i="4"/>
  <c r="O8" i="4"/>
  <c r="Q8" i="4" s="1"/>
  <c r="O7" i="4"/>
  <c r="P7" i="4"/>
  <c r="O6" i="4"/>
  <c r="O5" i="4"/>
  <c r="S14" i="4"/>
  <c r="U14" i="4" s="1"/>
  <c r="S13" i="4"/>
  <c r="U13" i="4" s="1"/>
  <c r="S12" i="4"/>
  <c r="U12" i="4" s="1"/>
  <c r="S11" i="4"/>
  <c r="U11" i="4" s="1"/>
  <c r="S10" i="4"/>
  <c r="U10" i="4" s="1"/>
  <c r="S9" i="4"/>
  <c r="U9" i="4" s="1"/>
  <c r="S8" i="4"/>
  <c r="U8" i="4" s="1"/>
  <c r="S7" i="4"/>
  <c r="U7" i="4" s="1"/>
  <c r="S6" i="4"/>
  <c r="U6" i="4" s="1"/>
  <c r="P14" i="4"/>
  <c r="Q14" i="4" s="1"/>
  <c r="P13" i="4"/>
  <c r="Q13" i="4" s="1"/>
  <c r="P12" i="4"/>
  <c r="Q12" i="4" s="1"/>
  <c r="P11" i="4"/>
  <c r="Q11" i="4" s="1"/>
  <c r="P10" i="4"/>
  <c r="Q10" i="4" s="1"/>
  <c r="P9" i="4"/>
  <c r="Q9" i="4" s="1"/>
  <c r="P8" i="4"/>
  <c r="P6" i="4"/>
  <c r="Q6" i="4" s="1"/>
  <c r="P5" i="4"/>
  <c r="Q5" i="4" s="1"/>
  <c r="U9" i="27"/>
  <c r="S9" i="27"/>
  <c r="G9" i="27"/>
  <c r="Q9" i="27"/>
  <c r="O9" i="27"/>
  <c r="M9" i="27"/>
  <c r="N8" i="27" s="1"/>
  <c r="K9" i="27"/>
  <c r="L7" i="27" s="1"/>
  <c r="I9" i="27"/>
  <c r="E9" i="27"/>
  <c r="C9" i="27"/>
  <c r="C14" i="1"/>
  <c r="N50" i="31"/>
  <c r="M48" i="31"/>
  <c r="N30" i="31"/>
  <c r="N34" i="31" s="1"/>
  <c r="X34" i="31" s="1"/>
  <c r="N36" i="31"/>
  <c r="O58" i="31"/>
  <c r="Q30" i="31"/>
  <c r="Q34" i="31" s="1"/>
  <c r="Q48" i="31" s="1"/>
  <c r="Q36" i="31"/>
  <c r="R30" i="31"/>
  <c r="R34" i="31" s="1"/>
  <c r="R36" i="31"/>
  <c r="S36" i="31"/>
  <c r="T26" i="31"/>
  <c r="E30" i="31"/>
  <c r="E34" i="31"/>
  <c r="E36" i="31"/>
  <c r="I30" i="31"/>
  <c r="I34" i="31" s="1"/>
  <c r="I48" i="31" s="1"/>
  <c r="I36" i="31"/>
  <c r="D36" i="31"/>
  <c r="L36" i="31" s="1"/>
  <c r="W66" i="31"/>
  <c r="T66" i="31"/>
  <c r="K66" i="31"/>
  <c r="K70" i="31" s="1"/>
  <c r="K34" i="31"/>
  <c r="K48" i="31" s="1"/>
  <c r="J66" i="31"/>
  <c r="J70" i="31" s="1"/>
  <c r="H66" i="31"/>
  <c r="H70" i="31"/>
  <c r="G66" i="31"/>
  <c r="F66" i="31"/>
  <c r="F70" i="31" s="1"/>
  <c r="F32" i="31"/>
  <c r="F48" i="31" s="1"/>
  <c r="N22" i="23"/>
  <c r="N24" i="23"/>
  <c r="N38" i="23"/>
  <c r="O46" i="23"/>
  <c r="Q22" i="23"/>
  <c r="Q36" i="23" s="1"/>
  <c r="Q24" i="23"/>
  <c r="R22" i="23"/>
  <c r="R24" i="23"/>
  <c r="S22" i="23"/>
  <c r="T18" i="23"/>
  <c r="C36" i="23"/>
  <c r="E22" i="23"/>
  <c r="E24" i="23"/>
  <c r="I22" i="23"/>
  <c r="I24" i="23"/>
  <c r="X39" i="23"/>
  <c r="G70" i="31"/>
  <c r="T70" i="31"/>
  <c r="X46" i="31"/>
  <c r="X32" i="31"/>
  <c r="Y32" i="31" s="1"/>
  <c r="J58" i="23"/>
  <c r="H58" i="23"/>
  <c r="H40" i="23"/>
  <c r="G58" i="23"/>
  <c r="F58" i="23"/>
  <c r="G25" i="29"/>
  <c r="B25" i="29"/>
  <c r="N23" i="29"/>
  <c r="O23" i="29" s="1"/>
  <c r="N18" i="29"/>
  <c r="O18" i="29" s="1"/>
  <c r="N17" i="29"/>
  <c r="O17" i="29" s="1"/>
  <c r="M9" i="29"/>
  <c r="N9" i="29" s="1"/>
  <c r="O9" i="29" s="1"/>
  <c r="D27" i="29"/>
  <c r="E15" i="29"/>
  <c r="G13" i="29"/>
  <c r="K13" i="29"/>
  <c r="M13" i="29"/>
  <c r="B13" i="29"/>
  <c r="C14" i="29"/>
  <c r="G14" i="29"/>
  <c r="M14" i="29"/>
  <c r="B14" i="29"/>
  <c r="C15" i="29"/>
  <c r="G15" i="29"/>
  <c r="M15" i="29"/>
  <c r="B15" i="29"/>
  <c r="C16" i="29"/>
  <c r="F16" i="29"/>
  <c r="M16" i="29"/>
  <c r="F22" i="29"/>
  <c r="F20" i="29" s="1"/>
  <c r="F27" i="29" s="1"/>
  <c r="G22" i="29"/>
  <c r="G20" i="29" s="1"/>
  <c r="G27" i="29" s="1"/>
  <c r="K22" i="29"/>
  <c r="M22" i="29"/>
  <c r="M21" i="29"/>
  <c r="B12" i="29"/>
  <c r="C12" i="29"/>
  <c r="F12" i="29"/>
  <c r="G12" i="29"/>
  <c r="G19" i="29" s="1"/>
  <c r="K12" i="29"/>
  <c r="K19" i="29" s="1"/>
  <c r="M12" i="29"/>
  <c r="L19" i="29"/>
  <c r="N3" i="31"/>
  <c r="S20" i="31"/>
  <c r="L20" i="31"/>
  <c r="L18" i="31"/>
  <c r="P12" i="31"/>
  <c r="W34" i="31"/>
  <c r="W48" i="31" s="1"/>
  <c r="T34" i="31"/>
  <c r="T48" i="31" s="1"/>
  <c r="T71" i="31" s="1"/>
  <c r="O34" i="31"/>
  <c r="O48" i="31"/>
  <c r="J34" i="31"/>
  <c r="J48" i="31"/>
  <c r="H34" i="31"/>
  <c r="H48" i="31" s="1"/>
  <c r="G34" i="31"/>
  <c r="G48" i="31" s="1"/>
  <c r="V34" i="31"/>
  <c r="V48" i="31" s="1"/>
  <c r="P34" i="31"/>
  <c r="P48" i="31" s="1"/>
  <c r="C34" i="31"/>
  <c r="X62" i="31"/>
  <c r="X64" i="31"/>
  <c r="L62" i="31"/>
  <c r="L64" i="31"/>
  <c r="Y64" i="31" s="1"/>
  <c r="X38" i="31"/>
  <c r="Y38" i="31" s="1"/>
  <c r="L38" i="31"/>
  <c r="X44" i="31"/>
  <c r="Y44" i="31" s="1"/>
  <c r="L44" i="31"/>
  <c r="C48" i="31"/>
  <c r="C71" i="31" s="1"/>
  <c r="Y62" i="31"/>
  <c r="X24" i="31"/>
  <c r="K26" i="31"/>
  <c r="X40" i="31"/>
  <c r="X32" i="23"/>
  <c r="X26" i="23"/>
  <c r="X16" i="23"/>
  <c r="L26" i="23"/>
  <c r="Y26" i="23" s="1"/>
  <c r="L32" i="23"/>
  <c r="Y32" i="23" s="1"/>
  <c r="T54" i="23"/>
  <c r="T58" i="23" s="1"/>
  <c r="T59" i="23" s="1"/>
  <c r="T36" i="23"/>
  <c r="J36" i="23"/>
  <c r="K36" i="23"/>
  <c r="K54" i="23"/>
  <c r="K58" i="23" s="1"/>
  <c r="K59" i="23" s="1"/>
  <c r="H59" i="23"/>
  <c r="C59" i="23"/>
  <c r="W36" i="23"/>
  <c r="O36" i="23"/>
  <c r="K18" i="23"/>
  <c r="X50" i="23"/>
  <c r="X52" i="23"/>
  <c r="L50" i="23"/>
  <c r="L52" i="23"/>
  <c r="Y52" i="23" s="1"/>
  <c r="F36" i="23"/>
  <c r="F59" i="23" s="1"/>
  <c r="X28" i="23"/>
  <c r="X34" i="23"/>
  <c r="V36" i="23"/>
  <c r="P36" i="23"/>
  <c r="M36" i="23"/>
  <c r="L24" i="29"/>
  <c r="M50" i="31"/>
  <c r="L21" i="29"/>
  <c r="D51" i="31"/>
  <c r="L51" i="31" s="1"/>
  <c r="L22" i="29"/>
  <c r="E13" i="29"/>
  <c r="U36" i="31"/>
  <c r="U24" i="23"/>
  <c r="U30" i="31"/>
  <c r="U34" i="31" s="1"/>
  <c r="U48" i="31" s="1"/>
  <c r="U22" i="23"/>
  <c r="X22" i="23"/>
  <c r="G24" i="29"/>
  <c r="T7" i="4"/>
  <c r="T9" i="4"/>
  <c r="V9" i="4" s="1"/>
  <c r="T13" i="4"/>
  <c r="V13" i="4" s="1"/>
  <c r="F24" i="29"/>
  <c r="F13" i="29"/>
  <c r="D50" i="31"/>
  <c r="D24" i="23"/>
  <c r="L24" i="23" s="1"/>
  <c r="Y24" i="23" s="1"/>
  <c r="F15" i="29"/>
  <c r="F19" i="29"/>
  <c r="D30" i="31"/>
  <c r="D34" i="31"/>
  <c r="D22" i="23"/>
  <c r="L22" i="23" s="1"/>
  <c r="I36" i="23"/>
  <c r="D39" i="23"/>
  <c r="L39" i="23" s="1"/>
  <c r="Y39" i="23" s="1"/>
  <c r="F25" i="29"/>
  <c r="M24" i="29"/>
  <c r="Q38" i="23"/>
  <c r="E12" i="29"/>
  <c r="D38" i="23"/>
  <c r="U36" i="23"/>
  <c r="J59" i="23"/>
  <c r="J40" i="23"/>
  <c r="G40" i="23"/>
  <c r="G59" i="23"/>
  <c r="T8" i="4"/>
  <c r="T12" i="4"/>
  <c r="T5" i="4"/>
  <c r="V5" i="4" s="1"/>
  <c r="D7" i="27"/>
  <c r="D8" i="27"/>
  <c r="D6" i="27"/>
  <c r="J8" i="27"/>
  <c r="J6" i="27"/>
  <c r="J7" i="27"/>
  <c r="R8" i="27"/>
  <c r="R6" i="27"/>
  <c r="R7" i="27"/>
  <c r="T7" i="27"/>
  <c r="T8" i="27"/>
  <c r="T6" i="27"/>
  <c r="F8" i="27"/>
  <c r="F6" i="27"/>
  <c r="F7" i="27"/>
  <c r="P7" i="27"/>
  <c r="P8" i="27"/>
  <c r="P6" i="27"/>
  <c r="H7" i="27"/>
  <c r="H8" i="27"/>
  <c r="H6" i="27"/>
  <c r="V8" i="27"/>
  <c r="V6" i="27"/>
  <c r="V7" i="27"/>
  <c r="F21" i="29"/>
  <c r="L25" i="29"/>
  <c r="M38" i="23"/>
  <c r="Q50" i="31"/>
  <c r="M19" i="29"/>
  <c r="K21" i="29"/>
  <c r="L30" i="31"/>
  <c r="L34" i="31" s="1"/>
  <c r="E25" i="29"/>
  <c r="X36" i="31"/>
  <c r="E21" i="29"/>
  <c r="E16" i="29"/>
  <c r="N16" i="29"/>
  <c r="O16" i="29" s="1"/>
  <c r="E22" i="29"/>
  <c r="E20" i="29" s="1"/>
  <c r="E27" i="29" s="1"/>
  <c r="E28" i="29" s="1"/>
  <c r="E24" i="29"/>
  <c r="L20" i="29"/>
  <c r="L27" i="29" s="1"/>
  <c r="L28" i="29" s="1"/>
  <c r="C22" i="29"/>
  <c r="S30" i="31"/>
  <c r="P50" i="31"/>
  <c r="P38" i="23"/>
  <c r="E14" i="29"/>
  <c r="E19" i="29"/>
  <c r="S34" i="31"/>
  <c r="S48" i="31" s="1"/>
  <c r="C13" i="29"/>
  <c r="C19" i="29"/>
  <c r="S24" i="23"/>
  <c r="X24" i="23"/>
  <c r="N14" i="29"/>
  <c r="O14" i="29" s="1"/>
  <c r="N13" i="29"/>
  <c r="O13" i="29" s="1"/>
  <c r="N12" i="29"/>
  <c r="B19" i="29"/>
  <c r="B22" i="29"/>
  <c r="N22" i="29"/>
  <c r="O22" i="29" s="1"/>
  <c r="G21" i="29"/>
  <c r="K24" i="29"/>
  <c r="K20" i="29"/>
  <c r="U50" i="31"/>
  <c r="U38" i="23"/>
  <c r="K25" i="29"/>
  <c r="N25" i="29"/>
  <c r="O25" i="29" s="1"/>
  <c r="S36" i="23"/>
  <c r="V38" i="23"/>
  <c r="V50" i="31"/>
  <c r="R38" i="23"/>
  <c r="R50" i="31"/>
  <c r="B24" i="29"/>
  <c r="N24" i="29" s="1"/>
  <c r="O24" i="29" s="1"/>
  <c r="C21" i="29"/>
  <c r="C20" i="29"/>
  <c r="C27" i="29" s="1"/>
  <c r="C28" i="29" s="1"/>
  <c r="C24" i="29"/>
  <c r="M20" i="29"/>
  <c r="M27" i="29" s="1"/>
  <c r="M28" i="29" s="1"/>
  <c r="B21" i="29"/>
  <c r="N21" i="29"/>
  <c r="O21" i="29" s="1"/>
  <c r="E48" i="31"/>
  <c r="O12" i="29"/>
  <c r="O19" i="29" s="1"/>
  <c r="N19" i="29"/>
  <c r="E38" i="23"/>
  <c r="L38" i="23"/>
  <c r="E50" i="31"/>
  <c r="L50" i="31"/>
  <c r="B20" i="29"/>
  <c r="B27" i="29" s="1"/>
  <c r="B28" i="29" s="1"/>
  <c r="E36" i="23"/>
  <c r="K27" i="29"/>
  <c r="X38" i="23"/>
  <c r="Y38" i="23" s="1"/>
  <c r="X50" i="31"/>
  <c r="N15" i="29"/>
  <c r="X30" i="31" l="1"/>
  <c r="Y30" i="31" s="1"/>
  <c r="F28" i="29"/>
  <c r="AH7" i="27"/>
  <c r="N7" i="27"/>
  <c r="J52" i="31"/>
  <c r="N6" i="27"/>
  <c r="Y22" i="23"/>
  <c r="Y50" i="31"/>
  <c r="K28" i="29"/>
  <c r="K71" i="31"/>
  <c r="X7" i="27"/>
  <c r="AB7" i="27"/>
  <c r="AF7" i="27"/>
  <c r="Y36" i="31"/>
  <c r="Y50" i="23"/>
  <c r="Q7" i="4"/>
  <c r="N20" i="29"/>
  <c r="W13" i="4"/>
  <c r="H71" i="31"/>
  <c r="H52" i="31"/>
  <c r="K52" i="31"/>
  <c r="V12" i="4"/>
  <c r="W12" i="4" s="1"/>
  <c r="G71" i="31"/>
  <c r="G52" i="31"/>
  <c r="K40" i="23"/>
  <c r="G28" i="29"/>
  <c r="V8" i="4"/>
  <c r="W8" i="4" s="1"/>
  <c r="V7" i="4"/>
  <c r="W7" i="4" s="1"/>
  <c r="F71" i="31"/>
  <c r="W9" i="4"/>
  <c r="Y34" i="31"/>
  <c r="W5" i="4"/>
  <c r="T11" i="4"/>
  <c r="V11" i="4" s="1"/>
  <c r="W11" i="4" s="1"/>
  <c r="T6" i="4"/>
  <c r="V6" i="4" s="1"/>
  <c r="W6" i="4" s="1"/>
  <c r="R48" i="31"/>
  <c r="T40" i="23"/>
  <c r="T10" i="4"/>
  <c r="V10" i="4" s="1"/>
  <c r="W10" i="4" s="1"/>
  <c r="L6" i="27"/>
  <c r="J71" i="31"/>
  <c r="Y40" i="31"/>
  <c r="L8" i="27"/>
  <c r="T52" i="31"/>
  <c r="T14" i="4"/>
  <c r="V14" i="4" s="1"/>
  <c r="W14" i="4" s="1"/>
  <c r="Y16" i="23"/>
  <c r="E16" i="48"/>
  <c r="E21" i="48"/>
  <c r="X17" i="48"/>
  <c r="F17" i="48"/>
  <c r="X18" i="48"/>
  <c r="AB19" i="48"/>
  <c r="E19" i="48"/>
  <c r="O20" i="48"/>
  <c r="S7" i="48"/>
  <c r="E15" i="13" s="1"/>
  <c r="H16" i="37"/>
  <c r="S29" i="48"/>
  <c r="D12" i="48"/>
  <c r="D30" i="10"/>
  <c r="F30" i="10"/>
  <c r="H30" i="10"/>
  <c r="J30" i="10"/>
  <c r="K27" i="49"/>
  <c r="K36" i="48"/>
  <c r="K31" i="50" s="1"/>
  <c r="K40" i="48"/>
  <c r="K35" i="50" s="1"/>
  <c r="K50" i="48"/>
  <c r="E29" i="17" s="1"/>
  <c r="C29" i="10"/>
  <c r="E29" i="10"/>
  <c r="G29" i="10"/>
  <c r="I29" i="10"/>
  <c r="G33" i="48"/>
  <c r="G28" i="50" s="1"/>
  <c r="G37" i="48"/>
  <c r="G32" i="50" s="1"/>
  <c r="G41" i="48"/>
  <c r="G36" i="50" s="1"/>
  <c r="G51" i="48"/>
  <c r="F28" i="17" s="1"/>
  <c r="D28" i="10"/>
  <c r="F28" i="10"/>
  <c r="H28" i="10"/>
  <c r="J28" i="10"/>
  <c r="F36" i="48"/>
  <c r="F31" i="50" s="1"/>
  <c r="I28" i="8"/>
  <c r="F40" i="48"/>
  <c r="F35" i="50" s="1"/>
  <c r="F50" i="48"/>
  <c r="F45" i="50" s="1"/>
  <c r="E7" i="3"/>
  <c r="C16" i="31" s="1"/>
  <c r="E34" i="49"/>
  <c r="E44" i="49"/>
  <c r="C19" i="10"/>
  <c r="I19" i="10"/>
  <c r="G19" i="10"/>
  <c r="E19" i="10"/>
  <c r="C30" i="10"/>
  <c r="E30" i="10"/>
  <c r="G30" i="10"/>
  <c r="I30" i="10"/>
  <c r="K28" i="49"/>
  <c r="K35" i="48"/>
  <c r="K30" i="50" s="1"/>
  <c r="K39" i="48"/>
  <c r="K30" i="16" s="1"/>
  <c r="E29" i="9"/>
  <c r="I46" i="23" s="1"/>
  <c r="D29" i="10"/>
  <c r="F29" i="10"/>
  <c r="H29" i="10"/>
  <c r="J29" i="10"/>
  <c r="G34" i="48"/>
  <c r="F29" i="16" s="1"/>
  <c r="G36" i="48"/>
  <c r="G31" i="50" s="1"/>
  <c r="G38" i="48"/>
  <c r="J29" i="16" s="1"/>
  <c r="G40" i="48"/>
  <c r="G35" i="50" s="1"/>
  <c r="G42" i="48"/>
  <c r="N29" i="16" s="1"/>
  <c r="C28" i="10"/>
  <c r="G28" i="10"/>
  <c r="D46" i="31" s="1"/>
  <c r="L46" i="31" s="1"/>
  <c r="Y46" i="31" s="1"/>
  <c r="I28" i="10"/>
  <c r="F28" i="49"/>
  <c r="F32" i="49"/>
  <c r="F41" i="48"/>
  <c r="M28" i="16" s="1"/>
  <c r="F46" i="49"/>
  <c r="D7" i="3"/>
  <c r="D7" i="29" s="1"/>
  <c r="E27" i="49"/>
  <c r="E31" i="49"/>
  <c r="E35" i="49"/>
  <c r="E45" i="49"/>
  <c r="J19" i="10"/>
  <c r="H19" i="10"/>
  <c r="F19" i="10"/>
  <c r="D19" i="10"/>
  <c r="I18" i="14"/>
  <c r="I18" i="13"/>
  <c r="C28" i="5"/>
  <c r="M6" i="29" s="1"/>
  <c r="C10" i="3"/>
  <c r="C14" i="3"/>
  <c r="C29" i="5"/>
  <c r="C26" i="5"/>
  <c r="C8" i="3"/>
  <c r="V31" i="50"/>
  <c r="V19" i="50"/>
  <c r="C11" i="52"/>
  <c r="C9" i="52"/>
  <c r="L19" i="18"/>
  <c r="C11" i="11"/>
  <c r="D29" i="37"/>
  <c r="E18" i="17"/>
  <c r="V34" i="50"/>
  <c r="D19" i="16"/>
  <c r="N19" i="8"/>
  <c r="G19" i="38"/>
  <c r="O33" i="49"/>
  <c r="J12" i="16"/>
  <c r="L21" i="8"/>
  <c r="E11" i="5"/>
  <c r="E12" i="38"/>
  <c r="O42" i="48"/>
  <c r="O37" i="50" s="1"/>
  <c r="F11" i="7"/>
  <c r="AC47" i="48"/>
  <c r="AC42" i="50" s="1"/>
  <c r="O8" i="31"/>
  <c r="P40" i="48"/>
  <c r="P35" i="50" s="1"/>
  <c r="AC23" i="49"/>
  <c r="G21" i="8"/>
  <c r="F36" i="49"/>
  <c r="AB34" i="49"/>
  <c r="P45" i="49"/>
  <c r="F24" i="37"/>
  <c r="F22" i="50"/>
  <c r="C8" i="5"/>
  <c r="R8" i="23" s="1"/>
  <c r="C9" i="5"/>
  <c r="Q8" i="31" s="1"/>
  <c r="P32" i="48"/>
  <c r="P27" i="50" s="1"/>
  <c r="G21" i="37"/>
  <c r="K22" i="50"/>
  <c r="N19" i="16"/>
  <c r="F18" i="17"/>
  <c r="E18" i="15"/>
  <c r="F19" i="16"/>
  <c r="V33" i="50"/>
  <c r="E27" i="9"/>
  <c r="U58" i="31" s="1"/>
  <c r="F23" i="49"/>
  <c r="U41" i="48"/>
  <c r="U36" i="50" s="1"/>
  <c r="E23" i="8"/>
  <c r="G18" i="7"/>
  <c r="F18" i="9"/>
  <c r="AA46" i="49"/>
  <c r="U41" i="49"/>
  <c r="F37" i="48"/>
  <c r="I28" i="16" s="1"/>
  <c r="V44" i="50"/>
  <c r="V43" i="50" s="1"/>
  <c r="C21" i="7"/>
  <c r="F30" i="37"/>
  <c r="D26" i="48"/>
  <c r="D21" i="50" s="1"/>
  <c r="V35" i="50"/>
  <c r="F16" i="31"/>
  <c r="E29" i="8"/>
  <c r="F27" i="7"/>
  <c r="G24" i="37"/>
  <c r="Y39" i="48"/>
  <c r="Y34" i="50" s="1"/>
  <c r="G30" i="8"/>
  <c r="G23" i="37"/>
  <c r="F6" i="48"/>
  <c r="X36" i="49"/>
  <c r="AA51" i="48"/>
  <c r="AA46" i="50" s="1"/>
  <c r="E33" i="48"/>
  <c r="E28" i="50" s="1"/>
  <c r="E28" i="49"/>
  <c r="E37" i="48"/>
  <c r="E32" i="50" s="1"/>
  <c r="E32" i="49"/>
  <c r="E41" i="48"/>
  <c r="E36" i="50" s="1"/>
  <c r="E36" i="49"/>
  <c r="E51" i="48"/>
  <c r="E46" i="50" s="1"/>
  <c r="E46" i="49"/>
  <c r="K13" i="8"/>
  <c r="H24" i="8"/>
  <c r="I29" i="8"/>
  <c r="F13" i="37"/>
  <c r="G20" i="49"/>
  <c r="G33" i="49"/>
  <c r="D42" i="49"/>
  <c r="E16" i="15"/>
  <c r="Z33" i="49"/>
  <c r="X32" i="49"/>
  <c r="T35" i="49"/>
  <c r="D29" i="48"/>
  <c r="D24" i="50" s="1"/>
  <c r="F45" i="43"/>
  <c r="E25" i="48"/>
  <c r="E27" i="38" s="1"/>
  <c r="E20" i="49"/>
  <c r="E29" i="48"/>
  <c r="I27" i="38" s="1"/>
  <c r="E24" i="49"/>
  <c r="E34" i="48"/>
  <c r="E29" i="50" s="1"/>
  <c r="E29" i="49"/>
  <c r="E38" i="48"/>
  <c r="E33" i="50" s="1"/>
  <c r="E33" i="49"/>
  <c r="E42" i="48"/>
  <c r="N27" i="16" s="1"/>
  <c r="E37" i="49"/>
  <c r="E47" i="48"/>
  <c r="G26" i="15" s="1"/>
  <c r="E42" i="49"/>
  <c r="E38" i="49" s="1"/>
  <c r="V52" i="48"/>
  <c r="V47" i="50" s="1"/>
  <c r="V47" i="49"/>
  <c r="AD47" i="49" s="1"/>
  <c r="E26" i="48"/>
  <c r="E21" i="50" s="1"/>
  <c r="E21" i="49"/>
  <c r="F27" i="8"/>
  <c r="E30" i="49"/>
  <c r="W8" i="31"/>
  <c r="W26" i="31" s="1"/>
  <c r="W68" i="31" s="1"/>
  <c r="W70" i="31" s="1"/>
  <c r="W71" i="31" s="1"/>
  <c r="AA28" i="49"/>
  <c r="Y31" i="49"/>
  <c r="F27" i="37"/>
  <c r="E22" i="49"/>
  <c r="U6" i="43"/>
  <c r="F18" i="5" s="1"/>
  <c r="G17" i="8"/>
  <c r="C21" i="9"/>
  <c r="E22" i="37"/>
  <c r="D49" i="48"/>
  <c r="D44" i="50" s="1"/>
  <c r="Y28" i="43"/>
  <c r="E20" i="9"/>
  <c r="Z7" i="48"/>
  <c r="E22" i="13" s="1"/>
  <c r="Y25" i="49"/>
  <c r="D30" i="48"/>
  <c r="D25" i="50" s="1"/>
  <c r="X46" i="48"/>
  <c r="X41" i="50" s="1"/>
  <c r="X20" i="43"/>
  <c r="K8" i="29"/>
  <c r="K17" i="8"/>
  <c r="L26" i="8"/>
  <c r="E17" i="9"/>
  <c r="F17" i="37"/>
  <c r="D39" i="49"/>
  <c r="K40" i="49"/>
  <c r="AC41" i="49"/>
  <c r="Y40" i="49"/>
  <c r="X46" i="49"/>
  <c r="U23" i="49"/>
  <c r="T35" i="50"/>
  <c r="X37" i="48"/>
  <c r="X32" i="50" s="1"/>
  <c r="AB45" i="43"/>
  <c r="N6" i="43"/>
  <c r="F11" i="5" s="1"/>
  <c r="Z10" i="48"/>
  <c r="Y6" i="43"/>
  <c r="Y10" i="43" s="1"/>
  <c r="Z13" i="48" s="1"/>
  <c r="J20" i="43"/>
  <c r="G6" i="48"/>
  <c r="C12" i="54" s="1"/>
  <c r="D28" i="13" s="1"/>
  <c r="C29" i="37"/>
  <c r="F20" i="43"/>
  <c r="F32" i="48"/>
  <c r="F27" i="50" s="1"/>
  <c r="E28" i="43"/>
  <c r="X32" i="48"/>
  <c r="D21" i="16" s="1"/>
  <c r="W28" i="43"/>
  <c r="Y44" i="48"/>
  <c r="Y39" i="50" s="1"/>
  <c r="X40" i="43"/>
  <c r="X45" i="43"/>
  <c r="AA24" i="48"/>
  <c r="D24" i="38" s="1"/>
  <c r="Z20" i="43"/>
  <c r="AB44" i="48"/>
  <c r="AA40" i="43"/>
  <c r="AB49" i="48"/>
  <c r="AB44" i="50" s="1"/>
  <c r="AA45" i="43"/>
  <c r="AC24" i="48"/>
  <c r="D26" i="38" s="1"/>
  <c r="AB20" i="43"/>
  <c r="C25" i="6" s="1"/>
  <c r="E10" i="48"/>
  <c r="D6" i="43"/>
  <c r="F8" i="3" s="1"/>
  <c r="U24" i="48"/>
  <c r="T20" i="43"/>
  <c r="T10" i="48"/>
  <c r="S6" i="43"/>
  <c r="T9" i="48" s="1"/>
  <c r="G16" i="13" s="1"/>
  <c r="N28" i="43"/>
  <c r="P7" i="48"/>
  <c r="E12" i="13" s="1"/>
  <c r="P44" i="48"/>
  <c r="P39" i="50" s="1"/>
  <c r="O40" i="43"/>
  <c r="P49" i="48"/>
  <c r="P44" i="50" s="1"/>
  <c r="O45" i="43"/>
  <c r="C16" i="8"/>
  <c r="R28" i="43"/>
  <c r="M12" i="8"/>
  <c r="M23" i="8"/>
  <c r="J25" i="8"/>
  <c r="M27" i="8"/>
  <c r="D16" i="7"/>
  <c r="E23" i="7"/>
  <c r="H12" i="37"/>
  <c r="G18" i="37"/>
  <c r="C26" i="37"/>
  <c r="I22" i="37"/>
  <c r="D34" i="49"/>
  <c r="O7" i="48"/>
  <c r="E11" i="13" s="1"/>
  <c r="K25" i="16"/>
  <c r="F16" i="38"/>
  <c r="AB44" i="49"/>
  <c r="AA36" i="49"/>
  <c r="Z42" i="49"/>
  <c r="X27" i="49"/>
  <c r="T45" i="49"/>
  <c r="O24" i="49"/>
  <c r="Y49" i="48"/>
  <c r="Y44" i="50" s="1"/>
  <c r="AA41" i="48"/>
  <c r="AA36" i="50" s="1"/>
  <c r="Y40" i="43"/>
  <c r="Z43" i="48" s="1"/>
  <c r="D22" i="14" s="1"/>
  <c r="Y45" i="43"/>
  <c r="K6" i="48"/>
  <c r="C16" i="54" s="1"/>
  <c r="D29" i="13" s="1"/>
  <c r="K10" i="48"/>
  <c r="J6" i="43"/>
  <c r="J10" i="43" s="1"/>
  <c r="G10" i="48"/>
  <c r="F6" i="43"/>
  <c r="F28" i="5" s="1"/>
  <c r="M10" i="29" s="1"/>
  <c r="F24" i="48"/>
  <c r="F19" i="50" s="1"/>
  <c r="E20" i="43"/>
  <c r="X24" i="48"/>
  <c r="W20" i="43"/>
  <c r="Y32" i="48"/>
  <c r="Y27" i="50" s="1"/>
  <c r="X28" i="43"/>
  <c r="AA7" i="48"/>
  <c r="E23" i="13" s="1"/>
  <c r="Z6" i="43"/>
  <c r="C25" i="8"/>
  <c r="AA28" i="43"/>
  <c r="AC10" i="48"/>
  <c r="AB6" i="43"/>
  <c r="D40" i="43"/>
  <c r="E49" i="48"/>
  <c r="D26" i="17" s="1"/>
  <c r="D45" i="43"/>
  <c r="U7" i="48"/>
  <c r="E17" i="13" s="1"/>
  <c r="U10" i="48"/>
  <c r="T6" i="43"/>
  <c r="T10" i="43" s="1"/>
  <c r="U13" i="48" s="1"/>
  <c r="C16" i="7"/>
  <c r="S40" i="43"/>
  <c r="S45" i="43"/>
  <c r="N20" i="43"/>
  <c r="C13" i="8"/>
  <c r="O28" i="43"/>
  <c r="R6" i="43"/>
  <c r="S9" i="48" s="1"/>
  <c r="C16" i="37"/>
  <c r="R20" i="43"/>
  <c r="S23" i="48" s="1"/>
  <c r="K39" i="49"/>
  <c r="J40" i="43"/>
  <c r="K49" i="48"/>
  <c r="K44" i="50" s="1"/>
  <c r="J45" i="43"/>
  <c r="G44" i="48"/>
  <c r="G39" i="50" s="1"/>
  <c r="F40" i="43"/>
  <c r="F10" i="48"/>
  <c r="E6" i="43"/>
  <c r="F9" i="3" s="1"/>
  <c r="X10" i="48"/>
  <c r="W6" i="43"/>
  <c r="AA39" i="49"/>
  <c r="Z40" i="43"/>
  <c r="AA44" i="49"/>
  <c r="Z45" i="43"/>
  <c r="C25" i="37"/>
  <c r="AA20" i="43"/>
  <c r="AC39" i="49"/>
  <c r="AB40" i="43"/>
  <c r="C27" i="8"/>
  <c r="D28" i="43"/>
  <c r="C17" i="7"/>
  <c r="T40" i="43"/>
  <c r="U44" i="49"/>
  <c r="T45" i="43"/>
  <c r="T32" i="48"/>
  <c r="T27" i="50" s="1"/>
  <c r="S28" i="43"/>
  <c r="P24" i="48"/>
  <c r="D13" i="38" s="1"/>
  <c r="O20" i="43"/>
  <c r="H18" i="8"/>
  <c r="F22" i="8"/>
  <c r="F25" i="8"/>
  <c r="D26" i="8"/>
  <c r="D20" i="7"/>
  <c r="F26" i="7"/>
  <c r="D12" i="37"/>
  <c r="D8" i="48"/>
  <c r="F7" i="12" s="1"/>
  <c r="F18" i="13"/>
  <c r="AC32" i="49"/>
  <c r="AB25" i="49"/>
  <c r="AA19" i="49"/>
  <c r="Z24" i="49"/>
  <c r="X35" i="49"/>
  <c r="U32" i="49"/>
  <c r="T27" i="49"/>
  <c r="O42" i="49"/>
  <c r="Z29" i="48"/>
  <c r="Z24" i="50" s="1"/>
  <c r="AB26" i="48"/>
  <c r="AB21" i="50" s="1"/>
  <c r="Z24" i="48"/>
  <c r="Z19" i="50" s="1"/>
  <c r="Y20" i="43"/>
  <c r="C30" i="8"/>
  <c r="J28" i="43"/>
  <c r="G27" i="49"/>
  <c r="F28" i="43"/>
  <c r="F44" i="48"/>
  <c r="F39" i="50" s="1"/>
  <c r="E40" i="43"/>
  <c r="C27" i="9"/>
  <c r="E45" i="43"/>
  <c r="U19" i="43"/>
  <c r="W40" i="43"/>
  <c r="E20" i="6" s="1"/>
  <c r="X44" i="49"/>
  <c r="W45" i="43"/>
  <c r="Y10" i="48"/>
  <c r="X6" i="43"/>
  <c r="X10" i="43" s="1"/>
  <c r="Y13" i="48" s="1"/>
  <c r="AA32" i="48"/>
  <c r="AA27" i="50" s="1"/>
  <c r="Z28" i="43"/>
  <c r="AB10" i="48"/>
  <c r="AA6" i="43"/>
  <c r="AB9" i="48" s="1"/>
  <c r="G24" i="13" s="1"/>
  <c r="AC27" i="49"/>
  <c r="AB28" i="43"/>
  <c r="D10" i="48"/>
  <c r="C6" i="43"/>
  <c r="D20" i="43"/>
  <c r="T28" i="43"/>
  <c r="S20" i="43"/>
  <c r="C11" i="7"/>
  <c r="N40" i="43"/>
  <c r="N45" i="43"/>
  <c r="P10" i="48"/>
  <c r="O6" i="43"/>
  <c r="O10" i="43" s="1"/>
  <c r="P13" i="48" s="1"/>
  <c r="R40" i="43"/>
  <c r="R45" i="43"/>
  <c r="G18" i="15"/>
  <c r="V60" i="31"/>
  <c r="H19" i="38"/>
  <c r="H38" i="50"/>
  <c r="F10" i="31"/>
  <c r="D18" i="15"/>
  <c r="E16" i="16"/>
  <c r="G19" i="16"/>
  <c r="F23" i="16"/>
  <c r="U23" i="50"/>
  <c r="V41" i="50"/>
  <c r="V38" i="50" s="1"/>
  <c r="H18" i="50"/>
  <c r="I18" i="50"/>
  <c r="M19" i="16"/>
  <c r="I19" i="16"/>
  <c r="E19" i="16"/>
  <c r="AC41" i="50"/>
  <c r="E13" i="5"/>
  <c r="Q29" i="48"/>
  <c r="R7" i="48"/>
  <c r="E14" i="13" s="1"/>
  <c r="G15" i="37"/>
  <c r="L30" i="49"/>
  <c r="M30" i="49"/>
  <c r="F11" i="8"/>
  <c r="Q30" i="49"/>
  <c r="L16" i="48"/>
  <c r="M16" i="48"/>
  <c r="C9" i="7"/>
  <c r="N16" i="48"/>
  <c r="Q16" i="48"/>
  <c r="Q39" i="49"/>
  <c r="R15" i="48"/>
  <c r="M15" i="8"/>
  <c r="E15" i="8"/>
  <c r="L21" i="49"/>
  <c r="F8" i="7"/>
  <c r="M42" i="49"/>
  <c r="E11" i="37"/>
  <c r="N42" i="49"/>
  <c r="Q21" i="49"/>
  <c r="Q47" i="48"/>
  <c r="D15" i="37"/>
  <c r="X28" i="50"/>
  <c r="E21" i="16"/>
  <c r="Z47" i="48"/>
  <c r="Z42" i="50" s="1"/>
  <c r="W8" i="23"/>
  <c r="W18" i="23" s="1"/>
  <c r="W56" i="23" s="1"/>
  <c r="I12" i="8"/>
  <c r="D18" i="8"/>
  <c r="D21" i="8"/>
  <c r="I23" i="8"/>
  <c r="E27" i="8"/>
  <c r="G29" i="8"/>
  <c r="D12" i="7"/>
  <c r="E20" i="7"/>
  <c r="C24" i="7"/>
  <c r="E27" i="7"/>
  <c r="D12" i="9"/>
  <c r="C24" i="9"/>
  <c r="F24" i="9" s="1"/>
  <c r="C18" i="37"/>
  <c r="E25" i="37"/>
  <c r="G28" i="37"/>
  <c r="I25" i="37"/>
  <c r="G24" i="49"/>
  <c r="D30" i="49"/>
  <c r="G37" i="49"/>
  <c r="G29" i="49"/>
  <c r="Y8" i="48"/>
  <c r="F21" i="13" s="1"/>
  <c r="E18" i="16"/>
  <c r="G25" i="16"/>
  <c r="G17" i="38"/>
  <c r="H21" i="38"/>
  <c r="AC36" i="49"/>
  <c r="AC19" i="49"/>
  <c r="AB30" i="49"/>
  <c r="AA41" i="49"/>
  <c r="AA23" i="49"/>
  <c r="Z37" i="49"/>
  <c r="Z20" i="49"/>
  <c r="Y34" i="49"/>
  <c r="Y21" i="49"/>
  <c r="X23" i="49"/>
  <c r="U46" i="49"/>
  <c r="U28" i="49"/>
  <c r="T40" i="49"/>
  <c r="T22" i="49"/>
  <c r="P31" i="49"/>
  <c r="O20" i="49"/>
  <c r="K32" i="48"/>
  <c r="D30" i="16" s="1"/>
  <c r="E12" i="8"/>
  <c r="G13" i="8"/>
  <c r="L18" i="8"/>
  <c r="D24" i="8"/>
  <c r="H26" i="8"/>
  <c r="D28" i="8"/>
  <c r="M29" i="8"/>
  <c r="E17" i="7"/>
  <c r="E25" i="7"/>
  <c r="F28" i="7"/>
  <c r="E25" i="9"/>
  <c r="M58" i="31" s="1"/>
  <c r="C21" i="37"/>
  <c r="D23" i="37"/>
  <c r="G26" i="37"/>
  <c r="H29" i="37"/>
  <c r="G42" i="49"/>
  <c r="AB8" i="48"/>
  <c r="F24" i="13" s="1"/>
  <c r="F17" i="15"/>
  <c r="G11" i="15"/>
  <c r="H17" i="16"/>
  <c r="E24" i="16"/>
  <c r="I12" i="38"/>
  <c r="H28" i="38"/>
  <c r="AC46" i="49"/>
  <c r="AC28" i="49"/>
  <c r="AB39" i="49"/>
  <c r="AA32" i="49"/>
  <c r="Z29" i="49"/>
  <c r="Y30" i="49"/>
  <c r="X28" i="49"/>
  <c r="U19" i="49"/>
  <c r="T31" i="49"/>
  <c r="P40" i="49"/>
  <c r="P22" i="49"/>
  <c r="O29" i="49"/>
  <c r="G24" i="48"/>
  <c r="G19" i="50" s="1"/>
  <c r="E16" i="37"/>
  <c r="C24" i="8"/>
  <c r="G46" i="49"/>
  <c r="F45" i="49"/>
  <c r="D7" i="48"/>
  <c r="E7" i="12" s="1"/>
  <c r="AB33" i="49"/>
  <c r="AB20" i="49"/>
  <c r="AA34" i="49"/>
  <c r="AA21" i="49"/>
  <c r="Y29" i="49"/>
  <c r="X45" i="49"/>
  <c r="Y29" i="48"/>
  <c r="Y24" i="50" s="1"/>
  <c r="D32" i="49"/>
  <c r="M22" i="8"/>
  <c r="E24" i="37"/>
  <c r="H25" i="37"/>
  <c r="C28" i="8"/>
  <c r="D37" i="49"/>
  <c r="G35" i="49"/>
  <c r="J25" i="38"/>
  <c r="Z19" i="49"/>
  <c r="T34" i="49"/>
  <c r="S28" i="49"/>
  <c r="F24" i="31"/>
  <c r="F29" i="37"/>
  <c r="AC8" i="48"/>
  <c r="F25" i="13" s="1"/>
  <c r="S22" i="49"/>
  <c r="D16" i="8"/>
  <c r="K29" i="8"/>
  <c r="F16" i="37"/>
  <c r="K25" i="49"/>
  <c r="D36" i="49"/>
  <c r="D29" i="49"/>
  <c r="G31" i="49"/>
  <c r="F40" i="49"/>
  <c r="AB37" i="49"/>
  <c r="X40" i="49"/>
  <c r="X31" i="49"/>
  <c r="X22" i="49"/>
  <c r="S21" i="49"/>
  <c r="K21" i="8"/>
  <c r="I22" i="8"/>
  <c r="E22" i="9"/>
  <c r="D27" i="9"/>
  <c r="C23" i="37"/>
  <c r="D25" i="37"/>
  <c r="E26" i="37"/>
  <c r="I13" i="37"/>
  <c r="F31" i="49"/>
  <c r="F27" i="49"/>
  <c r="F39" i="49"/>
  <c r="E18" i="8"/>
  <c r="G22" i="8"/>
  <c r="D23" i="8"/>
  <c r="L23" i="8"/>
  <c r="C12" i="7"/>
  <c r="D21" i="7"/>
  <c r="D23" i="7"/>
  <c r="C29" i="7"/>
  <c r="D23" i="9"/>
  <c r="C26" i="9"/>
  <c r="F22" i="49"/>
  <c r="G19" i="49"/>
  <c r="D33" i="49"/>
  <c r="D40" i="49"/>
  <c r="E18" i="13"/>
  <c r="F12" i="16"/>
  <c r="I25" i="38"/>
  <c r="Y33" i="49"/>
  <c r="T23" i="49"/>
  <c r="P39" i="49"/>
  <c r="P25" i="49"/>
  <c r="S36" i="50"/>
  <c r="AC36" i="48"/>
  <c r="AC31" i="50" s="1"/>
  <c r="F23" i="15"/>
  <c r="M26" i="16"/>
  <c r="Z23" i="49"/>
  <c r="M35" i="48"/>
  <c r="M30" i="50" s="1"/>
  <c r="L16" i="8"/>
  <c r="E22" i="8"/>
  <c r="H23" i="8"/>
  <c r="E22" i="7"/>
  <c r="F25" i="7"/>
  <c r="C28" i="7"/>
  <c r="D21" i="9"/>
  <c r="C12" i="9"/>
  <c r="G17" i="37"/>
  <c r="C21" i="8"/>
  <c r="F35" i="49"/>
  <c r="Y7" i="48"/>
  <c r="E21" i="13" s="1"/>
  <c r="F22" i="17"/>
  <c r="E22" i="38"/>
  <c r="U29" i="49"/>
  <c r="S36" i="49"/>
  <c r="P19" i="49"/>
  <c r="O32" i="49"/>
  <c r="K44" i="48"/>
  <c r="K39" i="50" s="1"/>
  <c r="Y50" i="48"/>
  <c r="Y45" i="50" s="1"/>
  <c r="Z46" i="48"/>
  <c r="Z41" i="50" s="1"/>
  <c r="K30" i="8"/>
  <c r="K35" i="49"/>
  <c r="K31" i="49"/>
  <c r="K45" i="49"/>
  <c r="K22" i="49"/>
  <c r="D29" i="7"/>
  <c r="D29" i="9"/>
  <c r="G32" i="49"/>
  <c r="G36" i="49"/>
  <c r="G28" i="49"/>
  <c r="F33" i="48"/>
  <c r="E28" i="16" s="1"/>
  <c r="L28" i="8"/>
  <c r="H28" i="8"/>
  <c r="F51" i="48"/>
  <c r="F27" i="17" s="1"/>
  <c r="C28" i="37"/>
  <c r="F19" i="49"/>
  <c r="F41" i="49"/>
  <c r="N28" i="31"/>
  <c r="N48" i="31" s="1"/>
  <c r="J26" i="49"/>
  <c r="N42" i="31"/>
  <c r="H43" i="49"/>
  <c r="V26" i="49"/>
  <c r="I38" i="49"/>
  <c r="I43" i="49"/>
  <c r="E46" i="48"/>
  <c r="E41" i="50" s="1"/>
  <c r="I27" i="8"/>
  <c r="H27" i="37"/>
  <c r="H26" i="49"/>
  <c r="V38" i="49"/>
  <c r="J18" i="49"/>
  <c r="J43" i="49"/>
  <c r="I18" i="49"/>
  <c r="H38" i="49"/>
  <c r="V43" i="49"/>
  <c r="J38" i="49"/>
  <c r="AC29" i="50"/>
  <c r="F26" i="16"/>
  <c r="I16" i="38"/>
  <c r="S24" i="49"/>
  <c r="S40" i="48"/>
  <c r="S35" i="49"/>
  <c r="K16" i="8"/>
  <c r="S36" i="48"/>
  <c r="S31" i="49"/>
  <c r="S49" i="48"/>
  <c r="D15" i="17" s="1"/>
  <c r="S44" i="49"/>
  <c r="C15" i="9"/>
  <c r="Z35" i="48"/>
  <c r="Z30" i="49"/>
  <c r="F23" i="8"/>
  <c r="Z39" i="48"/>
  <c r="J23" i="8"/>
  <c r="Z34" i="49"/>
  <c r="Z49" i="48"/>
  <c r="Z44" i="50" s="1"/>
  <c r="C22" i="9"/>
  <c r="K8" i="49"/>
  <c r="K24" i="48"/>
  <c r="K19" i="50" s="1"/>
  <c r="C30" i="37"/>
  <c r="K19" i="49"/>
  <c r="K33" i="48"/>
  <c r="D30" i="8"/>
  <c r="K41" i="48"/>
  <c r="K36" i="49"/>
  <c r="L30" i="8"/>
  <c r="K46" i="48"/>
  <c r="F29" i="15" s="1"/>
  <c r="K41" i="49"/>
  <c r="K51" i="48"/>
  <c r="K46" i="50" s="1"/>
  <c r="K46" i="49"/>
  <c r="G26" i="48"/>
  <c r="G21" i="50" s="1"/>
  <c r="G21" i="49"/>
  <c r="G30" i="48"/>
  <c r="I29" i="37"/>
  <c r="G35" i="48"/>
  <c r="G30" i="50" s="1"/>
  <c r="G30" i="49"/>
  <c r="G39" i="48"/>
  <c r="G34" i="50" s="1"/>
  <c r="G34" i="49"/>
  <c r="J29" i="8"/>
  <c r="G49" i="48"/>
  <c r="D28" i="17" s="1"/>
  <c r="G44" i="49"/>
  <c r="C28" i="9"/>
  <c r="D27" i="5"/>
  <c r="F7" i="48"/>
  <c r="E27" i="13" s="1"/>
  <c r="F20" i="49"/>
  <c r="F25" i="48"/>
  <c r="F29" i="48"/>
  <c r="I28" i="38" s="1"/>
  <c r="H28" i="37"/>
  <c r="F34" i="48"/>
  <c r="F29" i="50" s="1"/>
  <c r="F29" i="49"/>
  <c r="E28" i="8"/>
  <c r="F33" i="49"/>
  <c r="F38" i="48"/>
  <c r="F33" i="50" s="1"/>
  <c r="F42" i="48"/>
  <c r="F37" i="49"/>
  <c r="M28" i="8"/>
  <c r="X25" i="48"/>
  <c r="X20" i="50" s="1"/>
  <c r="X20" i="49"/>
  <c r="D21" i="37"/>
  <c r="X29" i="48"/>
  <c r="I21" i="38" s="1"/>
  <c r="X24" i="49"/>
  <c r="X34" i="48"/>
  <c r="X29" i="49"/>
  <c r="E21" i="8"/>
  <c r="X38" i="48"/>
  <c r="J21" i="16" s="1"/>
  <c r="X33" i="49"/>
  <c r="I21" i="8"/>
  <c r="X42" i="48"/>
  <c r="X37" i="50" s="1"/>
  <c r="X37" i="49"/>
  <c r="X42" i="49"/>
  <c r="X47" i="48"/>
  <c r="F20" i="7"/>
  <c r="Y27" i="48"/>
  <c r="Y22" i="49"/>
  <c r="F22" i="37"/>
  <c r="C22" i="8"/>
  <c r="Y27" i="49"/>
  <c r="Y31" i="50"/>
  <c r="H22" i="16"/>
  <c r="Y40" i="48"/>
  <c r="Y35" i="49"/>
  <c r="K22" i="8"/>
  <c r="Y40" i="50"/>
  <c r="E21" i="15"/>
  <c r="D24" i="37"/>
  <c r="AA20" i="49"/>
  <c r="AA29" i="48"/>
  <c r="AA24" i="49"/>
  <c r="H24" i="37"/>
  <c r="AA34" i="48"/>
  <c r="AA29" i="49"/>
  <c r="E24" i="8"/>
  <c r="AA38" i="48"/>
  <c r="AA33" i="50" s="1"/>
  <c r="AA33" i="49"/>
  <c r="AA42" i="48"/>
  <c r="AA37" i="49"/>
  <c r="M24" i="8"/>
  <c r="AA47" i="48"/>
  <c r="F23" i="7"/>
  <c r="AA42" i="49"/>
  <c r="AB27" i="48"/>
  <c r="F25" i="37"/>
  <c r="AB22" i="49"/>
  <c r="AB32" i="48"/>
  <c r="D25" i="16" s="1"/>
  <c r="AB27" i="49"/>
  <c r="AB31" i="49"/>
  <c r="AB36" i="48"/>
  <c r="H25" i="16" s="1"/>
  <c r="AB40" i="48"/>
  <c r="L25" i="16" s="1"/>
  <c r="AB35" i="49"/>
  <c r="AB40" i="49"/>
  <c r="AB45" i="48"/>
  <c r="AB50" i="48"/>
  <c r="E24" i="17" s="1"/>
  <c r="AB45" i="49"/>
  <c r="AC25" i="48"/>
  <c r="AC20" i="49"/>
  <c r="D26" i="37"/>
  <c r="AC29" i="48"/>
  <c r="H26" i="37"/>
  <c r="AC29" i="49"/>
  <c r="E26" i="8"/>
  <c r="AC38" i="48"/>
  <c r="J26" i="16" s="1"/>
  <c r="AC33" i="49"/>
  <c r="AC42" i="48"/>
  <c r="AC37" i="50" s="1"/>
  <c r="AC37" i="49"/>
  <c r="M26" i="8"/>
  <c r="D27" i="48"/>
  <c r="D22" i="50" s="1"/>
  <c r="D22" i="49"/>
  <c r="D32" i="48"/>
  <c r="D27" i="50" s="1"/>
  <c r="D27" i="49"/>
  <c r="D36" i="48"/>
  <c r="D31" i="50" s="1"/>
  <c r="D31" i="49"/>
  <c r="D40" i="48"/>
  <c r="D35" i="50" s="1"/>
  <c r="D35" i="49"/>
  <c r="D50" i="48"/>
  <c r="D45" i="50" s="1"/>
  <c r="D45" i="49"/>
  <c r="C45" i="43"/>
  <c r="D48" i="48" s="1"/>
  <c r="E30" i="48"/>
  <c r="I27" i="37"/>
  <c r="E35" i="48"/>
  <c r="G27" i="16" s="1"/>
  <c r="E39" i="48"/>
  <c r="K27" i="16" s="1"/>
  <c r="J27" i="8"/>
  <c r="U29" i="48"/>
  <c r="U24" i="49"/>
  <c r="U38" i="48"/>
  <c r="U33" i="49"/>
  <c r="I18" i="8"/>
  <c r="U42" i="48"/>
  <c r="U37" i="49"/>
  <c r="U42" i="49"/>
  <c r="F17" i="7"/>
  <c r="C17" i="37"/>
  <c r="T19" i="49"/>
  <c r="T23" i="50"/>
  <c r="H17" i="38"/>
  <c r="T33" i="48"/>
  <c r="T28" i="49"/>
  <c r="D17" i="8"/>
  <c r="T37" i="48"/>
  <c r="T32" i="49"/>
  <c r="T41" i="48"/>
  <c r="T36" i="49"/>
  <c r="L17" i="8"/>
  <c r="T46" i="48"/>
  <c r="E16" i="7"/>
  <c r="T41" i="49"/>
  <c r="T51" i="48"/>
  <c r="T46" i="49"/>
  <c r="E16" i="9"/>
  <c r="O34" i="49"/>
  <c r="O39" i="48"/>
  <c r="K12" i="16" s="1"/>
  <c r="J12" i="8"/>
  <c r="O39" i="49"/>
  <c r="O44" i="48"/>
  <c r="O39" i="50" s="1"/>
  <c r="O44" i="49"/>
  <c r="O49" i="48"/>
  <c r="O44" i="50" s="1"/>
  <c r="P28" i="48"/>
  <c r="P23" i="49"/>
  <c r="G13" i="37"/>
  <c r="P33" i="48"/>
  <c r="P28" i="49"/>
  <c r="P32" i="49"/>
  <c r="H13" i="8"/>
  <c r="P41" i="48"/>
  <c r="M13" i="16" s="1"/>
  <c r="P36" i="49"/>
  <c r="P46" i="48"/>
  <c r="P41" i="50" s="1"/>
  <c r="P41" i="49"/>
  <c r="P46" i="49"/>
  <c r="P51" i="48"/>
  <c r="C8" i="19"/>
  <c r="G18" i="13"/>
  <c r="S25" i="48"/>
  <c r="E16" i="38" s="1"/>
  <c r="D16" i="37"/>
  <c r="S20" i="49"/>
  <c r="S44" i="48"/>
  <c r="S39" i="49"/>
  <c r="C15" i="7"/>
  <c r="E22" i="5"/>
  <c r="Z8" i="48"/>
  <c r="F22" i="13" s="1"/>
  <c r="Z26" i="48"/>
  <c r="Z21" i="50" s="1"/>
  <c r="E23" i="37"/>
  <c r="Z21" i="49"/>
  <c r="Z30" i="48"/>
  <c r="Z25" i="49"/>
  <c r="Z44" i="48"/>
  <c r="D22" i="15" s="1"/>
  <c r="Z39" i="49"/>
  <c r="C22" i="7"/>
  <c r="K28" i="48"/>
  <c r="K23" i="49"/>
  <c r="K37" i="48"/>
  <c r="I30" i="16" s="1"/>
  <c r="K32" i="49"/>
  <c r="R41" i="49"/>
  <c r="R46" i="48"/>
  <c r="F14" i="15" s="1"/>
  <c r="E14" i="7"/>
  <c r="G16" i="8"/>
  <c r="H30" i="8"/>
  <c r="AC24" i="49"/>
  <c r="F47" i="48"/>
  <c r="G27" i="15" s="1"/>
  <c r="F30" i="48"/>
  <c r="F25" i="50" s="1"/>
  <c r="F25" i="49"/>
  <c r="C20" i="7"/>
  <c r="X39" i="49"/>
  <c r="AC39" i="48"/>
  <c r="AC34" i="50" s="1"/>
  <c r="AC34" i="49"/>
  <c r="D8" i="49"/>
  <c r="C27" i="7"/>
  <c r="D25" i="8"/>
  <c r="I24" i="37"/>
  <c r="C5" i="11"/>
  <c r="D28" i="48"/>
  <c r="D23" i="50" s="1"/>
  <c r="D23" i="49"/>
  <c r="K17" i="10"/>
  <c r="C23" i="9"/>
  <c r="C17" i="9"/>
  <c r="F12" i="37"/>
  <c r="K34" i="48"/>
  <c r="F30" i="16" s="1"/>
  <c r="K29" i="49"/>
  <c r="E30" i="8"/>
  <c r="K47" i="48"/>
  <c r="K42" i="49"/>
  <c r="G50" i="48"/>
  <c r="D28" i="9"/>
  <c r="G45" i="49"/>
  <c r="E28" i="10"/>
  <c r="F8" i="49"/>
  <c r="F35" i="48"/>
  <c r="F30" i="50" s="1"/>
  <c r="F28" i="8"/>
  <c r="F39" i="48"/>
  <c r="K28" i="16" s="1"/>
  <c r="J28" i="8"/>
  <c r="F49" i="48"/>
  <c r="F44" i="49"/>
  <c r="C10" i="11"/>
  <c r="V24" i="49"/>
  <c r="V18" i="49" s="1"/>
  <c r="H19" i="37"/>
  <c r="J19" i="37" s="1"/>
  <c r="X26" i="48"/>
  <c r="X21" i="50" s="1"/>
  <c r="E21" i="37"/>
  <c r="X21" i="49"/>
  <c r="X35" i="48"/>
  <c r="F21" i="8"/>
  <c r="X39" i="48"/>
  <c r="X34" i="50" s="1"/>
  <c r="J21" i="8"/>
  <c r="X49" i="48"/>
  <c r="C20" i="9"/>
  <c r="Y28" i="48"/>
  <c r="Y23" i="50" s="1"/>
  <c r="Y23" i="49"/>
  <c r="G22" i="37"/>
  <c r="Y37" i="48"/>
  <c r="Y32" i="50" s="1"/>
  <c r="Y32" i="49"/>
  <c r="H22" i="8"/>
  <c r="Y41" i="48"/>
  <c r="Y36" i="49"/>
  <c r="L22" i="8"/>
  <c r="Y46" i="49"/>
  <c r="Y43" i="49" s="1"/>
  <c r="Y51" i="48"/>
  <c r="E21" i="9"/>
  <c r="AB28" i="48"/>
  <c r="AB23" i="50" s="1"/>
  <c r="AB23" i="49"/>
  <c r="AB37" i="48"/>
  <c r="AB32" i="49"/>
  <c r="AB46" i="48"/>
  <c r="AB41" i="50" s="1"/>
  <c r="AB41" i="49"/>
  <c r="AC49" i="48"/>
  <c r="AC44" i="50" s="1"/>
  <c r="AC44" i="49"/>
  <c r="C25" i="9"/>
  <c r="M48" i="23" s="1"/>
  <c r="D33" i="48"/>
  <c r="D28" i="50" s="1"/>
  <c r="C28" i="43"/>
  <c r="D51" i="48"/>
  <c r="D46" i="50" s="1"/>
  <c r="D46" i="49"/>
  <c r="E32" i="48"/>
  <c r="E27" i="50" s="1"/>
  <c r="E36" i="48"/>
  <c r="H27" i="16" s="1"/>
  <c r="G27" i="8"/>
  <c r="E45" i="48"/>
  <c r="E26" i="15" s="1"/>
  <c r="D26" i="7"/>
  <c r="U30" i="48"/>
  <c r="U25" i="49"/>
  <c r="I18" i="37"/>
  <c r="U39" i="48"/>
  <c r="K18" i="16" s="1"/>
  <c r="U34" i="49"/>
  <c r="U44" i="48"/>
  <c r="U39" i="49"/>
  <c r="T29" i="48"/>
  <c r="T24" i="50" s="1"/>
  <c r="T24" i="49"/>
  <c r="H17" i="37"/>
  <c r="T38" i="48"/>
  <c r="T33" i="49"/>
  <c r="I17" i="8"/>
  <c r="T47" i="48"/>
  <c r="T42" i="50" s="1"/>
  <c r="T42" i="49"/>
  <c r="G12" i="38"/>
  <c r="O22" i="50"/>
  <c r="O31" i="49"/>
  <c r="G12" i="8"/>
  <c r="O36" i="48"/>
  <c r="O31" i="50" s="1"/>
  <c r="O45" i="48"/>
  <c r="O40" i="49"/>
  <c r="D11" i="7"/>
  <c r="P20" i="49"/>
  <c r="P25" i="48"/>
  <c r="P34" i="48"/>
  <c r="P29" i="50" s="1"/>
  <c r="P29" i="49"/>
  <c r="E13" i="8"/>
  <c r="P33" i="49"/>
  <c r="P38" i="48"/>
  <c r="I13" i="8"/>
  <c r="P42" i="49"/>
  <c r="P47" i="48"/>
  <c r="P8" i="50"/>
  <c r="L13" i="18"/>
  <c r="J24" i="8"/>
  <c r="I28" i="37"/>
  <c r="C20" i="43"/>
  <c r="E28" i="23"/>
  <c r="L28" i="23" s="1"/>
  <c r="Y28" i="23" s="1"/>
  <c r="F24" i="8"/>
  <c r="D22" i="7"/>
  <c r="E24" i="7"/>
  <c r="Q46" i="23"/>
  <c r="Q58" i="31"/>
  <c r="D13" i="37"/>
  <c r="C7" i="11"/>
  <c r="D19" i="49"/>
  <c r="F34" i="49"/>
  <c r="F30" i="49"/>
  <c r="D6" i="48"/>
  <c r="K24" i="16"/>
  <c r="AC21" i="49"/>
  <c r="AA30" i="49"/>
  <c r="AB33" i="48"/>
  <c r="AB28" i="50" s="1"/>
  <c r="S8" i="31"/>
  <c r="C6" i="29"/>
  <c r="Z20" i="50"/>
  <c r="E23" i="38"/>
  <c r="Z27" i="48"/>
  <c r="Z22" i="49"/>
  <c r="F23" i="37"/>
  <c r="Z27" i="49"/>
  <c r="C23" i="8"/>
  <c r="Z36" i="48"/>
  <c r="Z31" i="49"/>
  <c r="Z50" i="48"/>
  <c r="E22" i="17" s="1"/>
  <c r="D22" i="9"/>
  <c r="K25" i="48"/>
  <c r="K20" i="49"/>
  <c r="K29" i="48"/>
  <c r="K24" i="49"/>
  <c r="K33" i="49"/>
  <c r="I30" i="8"/>
  <c r="K38" i="48"/>
  <c r="J30" i="16" s="1"/>
  <c r="K42" i="48"/>
  <c r="K37" i="49"/>
  <c r="M30" i="8"/>
  <c r="L30" i="18"/>
  <c r="K8" i="50"/>
  <c r="E9" i="5"/>
  <c r="M8" i="48"/>
  <c r="F9" i="13" s="1"/>
  <c r="G32" i="48"/>
  <c r="D29" i="16" s="1"/>
  <c r="C29" i="8"/>
  <c r="D28" i="7"/>
  <c r="G45" i="48"/>
  <c r="L29" i="18"/>
  <c r="G8" i="50"/>
  <c r="F26" i="48"/>
  <c r="F21" i="50" s="1"/>
  <c r="E28" i="37"/>
  <c r="K21" i="10"/>
  <c r="X8" i="49"/>
  <c r="E20" i="5"/>
  <c r="X8" i="48"/>
  <c r="F20" i="13" s="1"/>
  <c r="X30" i="48"/>
  <c r="X25" i="50" s="1"/>
  <c r="I21" i="37"/>
  <c r="X25" i="49"/>
  <c r="Y24" i="48"/>
  <c r="Y19" i="49"/>
  <c r="C22" i="37"/>
  <c r="Y28" i="49"/>
  <c r="D22" i="8"/>
  <c r="Y41" i="49"/>
  <c r="Y46" i="48"/>
  <c r="Y41" i="50" s="1"/>
  <c r="AA44" i="48"/>
  <c r="C23" i="7"/>
  <c r="L24" i="18"/>
  <c r="AA8" i="50"/>
  <c r="AB24" i="48"/>
  <c r="AB19" i="50" s="1"/>
  <c r="AB19" i="49"/>
  <c r="AB41" i="48"/>
  <c r="AB36" i="50" s="1"/>
  <c r="AB36" i="49"/>
  <c r="AB51" i="48"/>
  <c r="AB46" i="50" s="1"/>
  <c r="AB46" i="49"/>
  <c r="S30" i="23"/>
  <c r="X30" i="23" s="1"/>
  <c r="S42" i="31"/>
  <c r="AC30" i="48"/>
  <c r="AC25" i="50" s="1"/>
  <c r="AC25" i="49"/>
  <c r="I26" i="37"/>
  <c r="AC35" i="48"/>
  <c r="AC30" i="50" s="1"/>
  <c r="AC30" i="49"/>
  <c r="AC44" i="48"/>
  <c r="AC39" i="50" s="1"/>
  <c r="C25" i="7"/>
  <c r="D46" i="48"/>
  <c r="D41" i="50" s="1"/>
  <c r="D38" i="50" s="1"/>
  <c r="C40" i="43"/>
  <c r="E27" i="48"/>
  <c r="E40" i="48"/>
  <c r="L27" i="16" s="1"/>
  <c r="K27" i="8"/>
  <c r="E50" i="48"/>
  <c r="E45" i="50" s="1"/>
  <c r="D26" i="9"/>
  <c r="E17" i="5"/>
  <c r="U8" i="48"/>
  <c r="F17" i="13" s="1"/>
  <c r="U26" i="48"/>
  <c r="U21" i="50" s="1"/>
  <c r="U21" i="49"/>
  <c r="E18" i="37"/>
  <c r="U35" i="48"/>
  <c r="U30" i="49"/>
  <c r="T25" i="48"/>
  <c r="T20" i="50" s="1"/>
  <c r="T20" i="49"/>
  <c r="D17" i="37"/>
  <c r="T34" i="48"/>
  <c r="T29" i="49"/>
  <c r="E17" i="8"/>
  <c r="T42" i="48"/>
  <c r="T37" i="49"/>
  <c r="M17" i="8"/>
  <c r="O32" i="48"/>
  <c r="O27" i="50" s="1"/>
  <c r="O27" i="49"/>
  <c r="C12" i="8"/>
  <c r="O40" i="48"/>
  <c r="L12" i="16" s="1"/>
  <c r="O35" i="49"/>
  <c r="K12" i="8"/>
  <c r="O50" i="48"/>
  <c r="O45" i="50" s="1"/>
  <c r="O45" i="49"/>
  <c r="D11" i="9"/>
  <c r="R60" i="31" s="1"/>
  <c r="P24" i="49"/>
  <c r="P29" i="48"/>
  <c r="P24" i="50" s="1"/>
  <c r="P42" i="48"/>
  <c r="P37" i="50" s="1"/>
  <c r="P37" i="49"/>
  <c r="M13" i="8"/>
  <c r="S35" i="48"/>
  <c r="S30" i="50" s="1"/>
  <c r="S30" i="49"/>
  <c r="S40" i="49"/>
  <c r="D15" i="7"/>
  <c r="S45" i="49"/>
  <c r="D15" i="9"/>
  <c r="K23" i="8"/>
  <c r="F26" i="8"/>
  <c r="G22" i="49"/>
  <c r="G40" i="49"/>
  <c r="AA8" i="48"/>
  <c r="F23" i="13" s="1"/>
  <c r="AA25" i="49"/>
  <c r="Z35" i="49"/>
  <c r="O22" i="49"/>
  <c r="R46" i="23"/>
  <c r="R58" i="31"/>
  <c r="Z32" i="50"/>
  <c r="I23" i="16"/>
  <c r="AC27" i="48"/>
  <c r="AC22" i="49"/>
  <c r="AC45" i="48"/>
  <c r="AC40" i="50" s="1"/>
  <c r="AC40" i="49"/>
  <c r="U32" i="48"/>
  <c r="U27" i="50" s="1"/>
  <c r="U27" i="49"/>
  <c r="U36" i="48"/>
  <c r="H18" i="16" s="1"/>
  <c r="U31" i="49"/>
  <c r="T49" i="48"/>
  <c r="T44" i="49"/>
  <c r="O24" i="48"/>
  <c r="O19" i="50" s="1"/>
  <c r="O19" i="49"/>
  <c r="O46" i="48"/>
  <c r="F11" i="15" s="1"/>
  <c r="O41" i="49"/>
  <c r="O8" i="23"/>
  <c r="T30" i="48"/>
  <c r="H12" i="8"/>
  <c r="F13" i="8"/>
  <c r="F17" i="8"/>
  <c r="J17" i="8"/>
  <c r="G28" i="8"/>
  <c r="K28" i="8"/>
  <c r="F30" i="8"/>
  <c r="J30" i="8"/>
  <c r="D17" i="7"/>
  <c r="E28" i="7"/>
  <c r="D20" i="9"/>
  <c r="E28" i="9"/>
  <c r="F21" i="37"/>
  <c r="D22" i="37"/>
  <c r="H22" i="37"/>
  <c r="F28" i="37"/>
  <c r="I17" i="37"/>
  <c r="I30" i="37"/>
  <c r="C26" i="8"/>
  <c r="C18" i="8"/>
  <c r="AC49" i="43"/>
  <c r="D20" i="49"/>
  <c r="K21" i="49"/>
  <c r="K34" i="49"/>
  <c r="K30" i="49"/>
  <c r="G28" i="38"/>
  <c r="AB29" i="49"/>
  <c r="AA45" i="49"/>
  <c r="AA40" i="49"/>
  <c r="AA35" i="49"/>
  <c r="AA31" i="49"/>
  <c r="AA27" i="49"/>
  <c r="AA22" i="49"/>
  <c r="Z46" i="49"/>
  <c r="Z43" i="49" s="1"/>
  <c r="Z36" i="49"/>
  <c r="Z32" i="49"/>
  <c r="Y42" i="49"/>
  <c r="T30" i="49"/>
  <c r="P21" i="49"/>
  <c r="P35" i="48"/>
  <c r="P30" i="50" s="1"/>
  <c r="T30" i="50"/>
  <c r="U50" i="48"/>
  <c r="U45" i="50" s="1"/>
  <c r="AC40" i="48"/>
  <c r="AC35" i="50" s="1"/>
  <c r="AC32" i="48"/>
  <c r="D26" i="16" s="1"/>
  <c r="K23" i="10"/>
  <c r="Z28" i="50"/>
  <c r="E23" i="16"/>
  <c r="L15" i="18"/>
  <c r="AC50" i="48"/>
  <c r="AC45" i="49"/>
  <c r="U27" i="48"/>
  <c r="G18" i="38" s="1"/>
  <c r="U22" i="49"/>
  <c r="T26" i="48"/>
  <c r="T21" i="49"/>
  <c r="T44" i="48"/>
  <c r="T39" i="50" s="1"/>
  <c r="T39" i="49"/>
  <c r="O23" i="49"/>
  <c r="O28" i="48"/>
  <c r="O33" i="48"/>
  <c r="E12" i="16" s="1"/>
  <c r="O28" i="49"/>
  <c r="O36" i="49"/>
  <c r="O41" i="48"/>
  <c r="M12" i="16" s="1"/>
  <c r="O51" i="48"/>
  <c r="O46" i="50" s="1"/>
  <c r="O46" i="49"/>
  <c r="E12" i="5"/>
  <c r="P8" i="48"/>
  <c r="F12" i="13" s="1"/>
  <c r="P39" i="48"/>
  <c r="P34" i="49"/>
  <c r="G18" i="8"/>
  <c r="K18" i="8"/>
  <c r="G24" i="8"/>
  <c r="K24" i="8"/>
  <c r="E25" i="8"/>
  <c r="I25" i="8"/>
  <c r="M25" i="8"/>
  <c r="G26" i="8"/>
  <c r="K26" i="8"/>
  <c r="D29" i="8"/>
  <c r="H29" i="8"/>
  <c r="L29" i="8"/>
  <c r="E11" i="7"/>
  <c r="F21" i="7"/>
  <c r="F24" i="7"/>
  <c r="D27" i="7"/>
  <c r="D17" i="9"/>
  <c r="C16" i="9"/>
  <c r="C29" i="9"/>
  <c r="C12" i="37"/>
  <c r="G12" i="37"/>
  <c r="E13" i="37"/>
  <c r="G27" i="37"/>
  <c r="G29" i="37"/>
  <c r="E30" i="37"/>
  <c r="G8" i="49"/>
  <c r="G23" i="49"/>
  <c r="G41" i="49"/>
  <c r="K44" i="49"/>
  <c r="M23" i="16"/>
  <c r="E23" i="17"/>
  <c r="U8" i="31"/>
  <c r="AB42" i="49"/>
  <c r="AB24" i="49"/>
  <c r="Z28" i="49"/>
  <c r="Y37" i="49"/>
  <c r="Y20" i="49"/>
  <c r="P44" i="49"/>
  <c r="T34" i="50"/>
  <c r="U45" i="48"/>
  <c r="U40" i="48"/>
  <c r="U35" i="50" s="1"/>
  <c r="X46" i="50"/>
  <c r="F20" i="17"/>
  <c r="D24" i="5"/>
  <c r="G7" i="29" s="1"/>
  <c r="E16" i="5"/>
  <c r="K24" i="10"/>
  <c r="G24" i="38"/>
  <c r="M21" i="16"/>
  <c r="E25" i="38"/>
  <c r="Z8" i="49"/>
  <c r="L8" i="50"/>
  <c r="Y8" i="49"/>
  <c r="K22" i="10"/>
  <c r="AB8" i="49"/>
  <c r="D8" i="50"/>
  <c r="K16" i="10"/>
  <c r="I18" i="16"/>
  <c r="F22" i="16"/>
  <c r="I24" i="16"/>
  <c r="H29" i="38"/>
  <c r="L28" i="18"/>
  <c r="F8" i="50"/>
  <c r="K26" i="10"/>
  <c r="K18" i="10"/>
  <c r="U25" i="48"/>
  <c r="U20" i="49"/>
  <c r="L18" i="18"/>
  <c r="U8" i="50"/>
  <c r="O21" i="49"/>
  <c r="O26" i="48"/>
  <c r="O21" i="50" s="1"/>
  <c r="O25" i="49"/>
  <c r="O30" i="48"/>
  <c r="O25" i="50" s="1"/>
  <c r="O35" i="48"/>
  <c r="O30" i="50" s="1"/>
  <c r="O30" i="49"/>
  <c r="K13" i="10"/>
  <c r="S30" i="48"/>
  <c r="S25" i="49"/>
  <c r="S37" i="48"/>
  <c r="S32" i="49"/>
  <c r="S46" i="48"/>
  <c r="S41" i="49"/>
  <c r="I38" i="50"/>
  <c r="I43" i="50"/>
  <c r="G24" i="15"/>
  <c r="N23" i="16"/>
  <c r="F25" i="16"/>
  <c r="G13" i="38"/>
  <c r="J24" i="38"/>
  <c r="G21" i="15"/>
  <c r="F27" i="15"/>
  <c r="J43" i="50"/>
  <c r="AB37" i="50"/>
  <c r="J19" i="38"/>
  <c r="E19" i="38"/>
  <c r="H43" i="50"/>
  <c r="H26" i="50"/>
  <c r="J26" i="50"/>
  <c r="F15" i="13"/>
  <c r="E15" i="5"/>
  <c r="S34" i="50"/>
  <c r="K16" i="16"/>
  <c r="S34" i="49"/>
  <c r="I26" i="50"/>
  <c r="J38" i="50"/>
  <c r="D15" i="5"/>
  <c r="S24" i="48"/>
  <c r="S19" i="49"/>
  <c r="S22" i="50"/>
  <c r="G16" i="38"/>
  <c r="S42" i="48"/>
  <c r="S37" i="49"/>
  <c r="S38" i="48"/>
  <c r="S33" i="49"/>
  <c r="S34" i="48"/>
  <c r="S29" i="49"/>
  <c r="S47" i="48"/>
  <c r="S42" i="49"/>
  <c r="S51" i="48"/>
  <c r="S46" i="49"/>
  <c r="F16" i="8"/>
  <c r="J16" i="8"/>
  <c r="F15" i="7"/>
  <c r="H18" i="49"/>
  <c r="G17" i="15"/>
  <c r="I12" i="16"/>
  <c r="S27" i="49"/>
  <c r="J18" i="50"/>
  <c r="L44" i="48"/>
  <c r="P45" i="50"/>
  <c r="E12" i="17"/>
  <c r="E8" i="5"/>
  <c r="R12" i="23" s="1"/>
  <c r="L8" i="48"/>
  <c r="F8" i="13" s="1"/>
  <c r="L24" i="49"/>
  <c r="L29" i="48"/>
  <c r="M24" i="49"/>
  <c r="H10" i="37"/>
  <c r="M29" i="48"/>
  <c r="I10" i="38" s="1"/>
  <c r="E10" i="5"/>
  <c r="N8" i="48"/>
  <c r="F10" i="13" s="1"/>
  <c r="N24" i="49"/>
  <c r="N29" i="48"/>
  <c r="H14" i="37"/>
  <c r="I26" i="49"/>
  <c r="P32" i="50"/>
  <c r="I13" i="16"/>
  <c r="S28" i="48"/>
  <c r="S23" i="49"/>
  <c r="S50" i="48"/>
  <c r="G16" i="37"/>
  <c r="F9" i="12"/>
  <c r="R20" i="49"/>
  <c r="N58" i="31"/>
  <c r="M26" i="48"/>
  <c r="M21" i="50" s="1"/>
  <c r="Y37" i="50"/>
  <c r="N22" i="16"/>
  <c r="Y33" i="50"/>
  <c r="J22" i="16"/>
  <c r="AC46" i="50"/>
  <c r="F25" i="17"/>
  <c r="G15" i="8"/>
  <c r="R21" i="48"/>
  <c r="R17" i="48"/>
  <c r="R12" i="48"/>
  <c r="E13" i="9"/>
  <c r="D14" i="8"/>
  <c r="Q18" i="48"/>
  <c r="Q14" i="48"/>
  <c r="N41" i="49"/>
  <c r="N28" i="49"/>
  <c r="N18" i="48"/>
  <c r="N14" i="48"/>
  <c r="M46" i="49"/>
  <c r="M18" i="48"/>
  <c r="M14" i="48"/>
  <c r="L18" i="48"/>
  <c r="L14" i="48"/>
  <c r="R20" i="48"/>
  <c r="R16" i="48"/>
  <c r="R11" i="48"/>
  <c r="Q21" i="48"/>
  <c r="Q17" i="48"/>
  <c r="Q12" i="48"/>
  <c r="N21" i="48"/>
  <c r="N17" i="48"/>
  <c r="N12" i="48"/>
  <c r="M21" i="48"/>
  <c r="M17" i="48"/>
  <c r="M12" i="48"/>
  <c r="R14" i="48"/>
  <c r="Q15" i="48"/>
  <c r="N20" i="49"/>
  <c r="N15" i="48"/>
  <c r="M29" i="49"/>
  <c r="M15" i="48"/>
  <c r="R19" i="48"/>
  <c r="J14" i="8"/>
  <c r="Q20" i="48"/>
  <c r="Q11" i="48"/>
  <c r="N20" i="48"/>
  <c r="N11" i="48"/>
  <c r="L45" i="43"/>
  <c r="M20" i="48"/>
  <c r="M11" i="48"/>
  <c r="L20" i="48"/>
  <c r="D12" i="5"/>
  <c r="I22" i="48"/>
  <c r="V8" i="31"/>
  <c r="E14" i="3"/>
  <c r="E29" i="5"/>
  <c r="L19" i="48"/>
  <c r="M19" i="48"/>
  <c r="N19" i="48"/>
  <c r="Q19" i="48"/>
  <c r="R18" i="48"/>
  <c r="D9" i="3"/>
  <c r="U8" i="23"/>
  <c r="D14" i="3"/>
  <c r="D29" i="5"/>
  <c r="D18" i="5"/>
  <c r="D20" i="5"/>
  <c r="D23" i="5"/>
  <c r="D25" i="5"/>
  <c r="D17" i="5"/>
  <c r="D11" i="5"/>
  <c r="P25" i="50"/>
  <c r="J13" i="38"/>
  <c r="X22" i="50"/>
  <c r="G21" i="38"/>
  <c r="C14" i="5"/>
  <c r="V8" i="23"/>
  <c r="K6" i="29"/>
  <c r="K12" i="10"/>
  <c r="F18" i="16"/>
  <c r="F13" i="38"/>
  <c r="P21" i="50"/>
  <c r="AA31" i="50"/>
  <c r="H24" i="16"/>
  <c r="J22" i="48"/>
  <c r="F40" i="50"/>
  <c r="E27" i="15"/>
  <c r="G41" i="50"/>
  <c r="F28" i="15"/>
  <c r="X45" i="50"/>
  <c r="E20" i="17"/>
  <c r="Y30" i="50"/>
  <c r="G22" i="16"/>
  <c r="N8" i="23"/>
  <c r="R20" i="23"/>
  <c r="R36" i="23" s="1"/>
  <c r="P40" i="50"/>
  <c r="E12" i="15"/>
  <c r="Z23" i="50"/>
  <c r="H23" i="38"/>
  <c r="D28" i="5"/>
  <c r="M7" i="29" s="1"/>
  <c r="D10" i="3"/>
  <c r="E15" i="48"/>
  <c r="T50" i="48"/>
  <c r="L12" i="18"/>
  <c r="O8" i="50"/>
  <c r="V8" i="49"/>
  <c r="L10" i="18"/>
  <c r="M8" i="50"/>
  <c r="E27" i="5"/>
  <c r="E9" i="3"/>
  <c r="X44" i="48"/>
  <c r="Y33" i="48"/>
  <c r="AA8" i="49"/>
  <c r="AA49" i="48"/>
  <c r="L25" i="18"/>
  <c r="AC8" i="49"/>
  <c r="L26" i="18"/>
  <c r="AC8" i="50"/>
  <c r="U49" i="48"/>
  <c r="T7" i="48"/>
  <c r="E16" i="13" s="1"/>
  <c r="D16" i="5"/>
  <c r="L17" i="18"/>
  <c r="T8" i="50"/>
  <c r="S8" i="49"/>
  <c r="V29" i="48"/>
  <c r="S32" i="48"/>
  <c r="S45" i="48"/>
  <c r="L23" i="18"/>
  <c r="R8" i="50"/>
  <c r="AB8" i="50"/>
  <c r="U8" i="49"/>
  <c r="T8" i="49"/>
  <c r="O8" i="49"/>
  <c r="P8" i="49"/>
  <c r="E6" i="48"/>
  <c r="D27" i="8"/>
  <c r="H27" i="8"/>
  <c r="L27" i="8"/>
  <c r="E26" i="7"/>
  <c r="E24" i="48"/>
  <c r="E28" i="48"/>
  <c r="E8" i="50"/>
  <c r="E26" i="9"/>
  <c r="C27" i="37"/>
  <c r="E26" i="13"/>
  <c r="E8" i="12"/>
  <c r="C26" i="7"/>
  <c r="E27" i="37"/>
  <c r="E44" i="48"/>
  <c r="E28" i="13"/>
  <c r="E10" i="12"/>
  <c r="F29" i="13"/>
  <c r="F14" i="12"/>
  <c r="N36" i="23"/>
  <c r="H22" i="48"/>
  <c r="G28" i="15"/>
  <c r="G42" i="50"/>
  <c r="G24" i="50"/>
  <c r="I29" i="38"/>
  <c r="G20" i="50"/>
  <c r="E29" i="38"/>
  <c r="K40" i="50"/>
  <c r="E29" i="15"/>
  <c r="J23" i="16"/>
  <c r="Z33" i="50"/>
  <c r="AC23" i="50"/>
  <c r="H26" i="38"/>
  <c r="Z35" i="50"/>
  <c r="L23" i="16"/>
  <c r="F28" i="13"/>
  <c r="F10" i="12"/>
  <c r="E23" i="15"/>
  <c r="L24" i="16"/>
  <c r="K25" i="50"/>
  <c r="J30" i="38"/>
  <c r="K21" i="50"/>
  <c r="F30" i="38"/>
  <c r="P31" i="50"/>
  <c r="H13" i="16"/>
  <c r="H21" i="16"/>
  <c r="X31" i="50"/>
  <c r="Y25" i="50"/>
  <c r="J22" i="38"/>
  <c r="AA21" i="50"/>
  <c r="F24" i="38"/>
  <c r="G22" i="50"/>
  <c r="G29" i="38"/>
  <c r="X40" i="50"/>
  <c r="E20" i="15"/>
  <c r="Y21" i="50"/>
  <c r="F22" i="38"/>
  <c r="AA30" i="50"/>
  <c r="G24" i="16"/>
  <c r="AA23" i="50"/>
  <c r="H24" i="38"/>
  <c r="AB33" i="50"/>
  <c r="J25" i="16"/>
  <c r="AC32" i="50"/>
  <c r="I26" i="16"/>
  <c r="F26" i="13"/>
  <c r="F8" i="12"/>
  <c r="E29" i="13"/>
  <c r="E14" i="12"/>
  <c r="G30" i="38"/>
  <c r="U46" i="50"/>
  <c r="F17" i="17"/>
  <c r="L21" i="16"/>
  <c r="X35" i="50"/>
  <c r="AC28" i="50"/>
  <c r="E26" i="16"/>
  <c r="AC21" i="50"/>
  <c r="F26" i="38"/>
  <c r="L9" i="18"/>
  <c r="N8" i="50"/>
  <c r="L11" i="18"/>
  <c r="L14" i="18"/>
  <c r="Q8" i="50"/>
  <c r="E10" i="3"/>
  <c r="E28" i="5"/>
  <c r="M8" i="29" s="1"/>
  <c r="V20" i="48"/>
  <c r="X8" i="50"/>
  <c r="L21" i="18"/>
  <c r="L22" i="18"/>
  <c r="Y8" i="50"/>
  <c r="AA25" i="48"/>
  <c r="E26" i="5"/>
  <c r="E8" i="3"/>
  <c r="T24" i="48"/>
  <c r="L16" i="18"/>
  <c r="S8" i="50"/>
  <c r="Z45" i="48"/>
  <c r="Z32" i="48"/>
  <c r="Z8" i="50"/>
  <c r="V23" i="48"/>
  <c r="D26" i="5"/>
  <c r="D8" i="3"/>
  <c r="S14" i="48"/>
  <c r="O20" i="29" l="1"/>
  <c r="O27" i="29" s="1"/>
  <c r="O28" i="29" s="1"/>
  <c r="N27" i="29"/>
  <c r="N28" i="29" s="1"/>
  <c r="R10" i="43"/>
  <c r="S13" i="48" s="1"/>
  <c r="E43" i="49"/>
  <c r="G46" i="50"/>
  <c r="G29" i="50"/>
  <c r="G37" i="50"/>
  <c r="H29" i="16"/>
  <c r="E29" i="16"/>
  <c r="H28" i="16"/>
  <c r="C10" i="31"/>
  <c r="C12" i="31" s="1"/>
  <c r="C14" i="31" s="1"/>
  <c r="E27" i="17"/>
  <c r="K45" i="50"/>
  <c r="D34" i="23"/>
  <c r="L34" i="23" s="1"/>
  <c r="Y34" i="23" s="1"/>
  <c r="K19" i="10"/>
  <c r="K29" i="10"/>
  <c r="F36" i="50"/>
  <c r="H30" i="16"/>
  <c r="I29" i="16"/>
  <c r="G33" i="50"/>
  <c r="I58" i="31"/>
  <c r="L28" i="16"/>
  <c r="L30" i="16"/>
  <c r="K34" i="50"/>
  <c r="L29" i="16"/>
  <c r="M29" i="16"/>
  <c r="K28" i="10"/>
  <c r="D43" i="48"/>
  <c r="C12" i="6"/>
  <c r="N54" i="31" s="1"/>
  <c r="G15" i="14"/>
  <c r="Y23" i="48"/>
  <c r="G21" i="14" s="1"/>
  <c r="K30" i="10"/>
  <c r="G30" i="16"/>
  <c r="C12" i="23"/>
  <c r="C7" i="3"/>
  <c r="C8" i="31" s="1"/>
  <c r="I8" i="23"/>
  <c r="I18" i="23" s="1"/>
  <c r="C10" i="23"/>
  <c r="E22" i="31"/>
  <c r="C27" i="6"/>
  <c r="F10" i="29"/>
  <c r="D8" i="29"/>
  <c r="D19" i="43"/>
  <c r="D9" i="48"/>
  <c r="G7" i="12" s="1"/>
  <c r="I8" i="14"/>
  <c r="I8" i="13"/>
  <c r="I22" i="14"/>
  <c r="I22" i="13"/>
  <c r="I16" i="14"/>
  <c r="I16" i="13"/>
  <c r="I17" i="14"/>
  <c r="I17" i="13"/>
  <c r="I12" i="14"/>
  <c r="I12" i="13"/>
  <c r="I20" i="14"/>
  <c r="I20" i="13"/>
  <c r="I13" i="14"/>
  <c r="I13" i="13"/>
  <c r="I24" i="14"/>
  <c r="I24" i="13"/>
  <c r="I25" i="14"/>
  <c r="I25" i="13"/>
  <c r="I10" i="14"/>
  <c r="I10" i="13"/>
  <c r="I26" i="14"/>
  <c r="I26" i="13"/>
  <c r="I21" i="14"/>
  <c r="I21" i="13"/>
  <c r="I14" i="14"/>
  <c r="I14" i="13"/>
  <c r="I27" i="13"/>
  <c r="I27" i="14"/>
  <c r="I15" i="13"/>
  <c r="I15" i="14"/>
  <c r="I9" i="14"/>
  <c r="I9" i="13"/>
  <c r="I11" i="13"/>
  <c r="I11" i="14"/>
  <c r="I23" i="13"/>
  <c r="I23" i="14"/>
  <c r="I28" i="14"/>
  <c r="I28" i="13"/>
  <c r="I29" i="14"/>
  <c r="I29" i="13"/>
  <c r="H17" i="5"/>
  <c r="H17" i="6"/>
  <c r="H11" i="5"/>
  <c r="H11" i="6"/>
  <c r="H23" i="5"/>
  <c r="H23" i="6"/>
  <c r="H18" i="5"/>
  <c r="H18" i="6"/>
  <c r="H16" i="6"/>
  <c r="H16" i="5"/>
  <c r="H15" i="5"/>
  <c r="H15" i="6"/>
  <c r="H25" i="5"/>
  <c r="H25" i="6"/>
  <c r="H21" i="5"/>
  <c r="H21" i="6"/>
  <c r="H12" i="6"/>
  <c r="H12" i="5"/>
  <c r="H24" i="6"/>
  <c r="H24" i="5"/>
  <c r="H22" i="5"/>
  <c r="H22" i="6"/>
  <c r="H20" i="6"/>
  <c r="H20" i="5"/>
  <c r="D8" i="12"/>
  <c r="C10" i="54"/>
  <c r="D26" i="13" s="1"/>
  <c r="D7" i="12"/>
  <c r="C9" i="54"/>
  <c r="D9" i="12"/>
  <c r="C11" i="54"/>
  <c r="D27" i="13" s="1"/>
  <c r="C9" i="3"/>
  <c r="C27" i="5"/>
  <c r="V26" i="50"/>
  <c r="G18" i="17"/>
  <c r="N12" i="16"/>
  <c r="G25" i="15"/>
  <c r="L13" i="16"/>
  <c r="F23" i="17"/>
  <c r="E42" i="50"/>
  <c r="F27" i="16"/>
  <c r="G9" i="48"/>
  <c r="G28" i="13" s="1"/>
  <c r="F21" i="9"/>
  <c r="I23" i="38"/>
  <c r="R8" i="31"/>
  <c r="M24" i="16"/>
  <c r="F32" i="50"/>
  <c r="U46" i="23"/>
  <c r="D22" i="16"/>
  <c r="D10" i="43"/>
  <c r="E13" i="48" s="1"/>
  <c r="H8" i="12" s="1"/>
  <c r="N10" i="43"/>
  <c r="O13" i="48" s="1"/>
  <c r="I21" i="16"/>
  <c r="C7" i="5"/>
  <c r="E6" i="29" s="1"/>
  <c r="X68" i="31"/>
  <c r="Y68" i="31" s="1"/>
  <c r="F10" i="3"/>
  <c r="F15" i="6"/>
  <c r="S48" i="48"/>
  <c r="F15" i="14" s="1"/>
  <c r="E26" i="49"/>
  <c r="D13" i="16"/>
  <c r="E20" i="50"/>
  <c r="K22" i="16"/>
  <c r="H22" i="38"/>
  <c r="D12" i="17"/>
  <c r="O9" i="48"/>
  <c r="G11" i="13" s="1"/>
  <c r="G12" i="7"/>
  <c r="Q8" i="23"/>
  <c r="E15" i="6"/>
  <c r="S43" i="48"/>
  <c r="D15" i="14" s="1"/>
  <c r="E16" i="6"/>
  <c r="T43" i="48"/>
  <c r="D16" i="14" s="1"/>
  <c r="D15" i="6"/>
  <c r="S31" i="48"/>
  <c r="E15" i="14" s="1"/>
  <c r="X27" i="50"/>
  <c r="M18" i="16"/>
  <c r="D29" i="38"/>
  <c r="D27" i="15"/>
  <c r="H27" i="15" s="1"/>
  <c r="D17" i="16"/>
  <c r="H18" i="15"/>
  <c r="D12" i="15"/>
  <c r="E24" i="50"/>
  <c r="E17" i="38"/>
  <c r="F26" i="17"/>
  <c r="J27" i="16"/>
  <c r="C8" i="11"/>
  <c r="U10" i="43"/>
  <c r="V13" i="48" s="1"/>
  <c r="F25" i="38"/>
  <c r="F27" i="38"/>
  <c r="F14" i="3"/>
  <c r="G10" i="16"/>
  <c r="E22" i="6"/>
  <c r="M27" i="16"/>
  <c r="F22" i="5"/>
  <c r="F21" i="5"/>
  <c r="P19" i="50"/>
  <c r="X43" i="49"/>
  <c r="E18" i="49"/>
  <c r="E37" i="50"/>
  <c r="AA19" i="50"/>
  <c r="U31" i="50"/>
  <c r="H26" i="16"/>
  <c r="M46" i="23"/>
  <c r="D23" i="38"/>
  <c r="Z9" i="48"/>
  <c r="G22" i="13" s="1"/>
  <c r="D24" i="16"/>
  <c r="X19" i="43"/>
  <c r="F10" i="43"/>
  <c r="D9" i="1" s="1"/>
  <c r="E9" i="1" s="1"/>
  <c r="L42" i="49"/>
  <c r="Q8" i="48"/>
  <c r="F13" i="13" s="1"/>
  <c r="L35" i="48"/>
  <c r="H27" i="6"/>
  <c r="H27" i="5"/>
  <c r="F16" i="5"/>
  <c r="AC19" i="50"/>
  <c r="M44" i="48"/>
  <c r="M39" i="50" s="1"/>
  <c r="L26" i="48"/>
  <c r="F9" i="38" s="1"/>
  <c r="H28" i="6"/>
  <c r="H28" i="5"/>
  <c r="N48" i="23"/>
  <c r="U60" i="31"/>
  <c r="I27" i="16"/>
  <c r="Q26" i="48"/>
  <c r="F14" i="38" s="1"/>
  <c r="Q24" i="49"/>
  <c r="C13" i="7"/>
  <c r="N26" i="48"/>
  <c r="F11" i="38" s="1"/>
  <c r="F10" i="8"/>
  <c r="AA43" i="49"/>
  <c r="E27" i="16"/>
  <c r="F12" i="5"/>
  <c r="N22" i="31" s="1"/>
  <c r="H29" i="6"/>
  <c r="H29" i="5"/>
  <c r="D38" i="49"/>
  <c r="Y19" i="43"/>
  <c r="F14" i="8"/>
  <c r="S10" i="43"/>
  <c r="T13" i="48" s="1"/>
  <c r="D10" i="12"/>
  <c r="D21" i="15"/>
  <c r="I8" i="31"/>
  <c r="I26" i="31" s="1"/>
  <c r="F26" i="5"/>
  <c r="D24" i="31"/>
  <c r="L24" i="31" s="1"/>
  <c r="Y24" i="31" s="1"/>
  <c r="Q20" i="43"/>
  <c r="D14" i="23"/>
  <c r="D28" i="16"/>
  <c r="E9" i="37"/>
  <c r="F20" i="15"/>
  <c r="E60" i="31"/>
  <c r="G20" i="7"/>
  <c r="K9" i="48"/>
  <c r="G29" i="13" s="1"/>
  <c r="E44" i="50"/>
  <c r="E43" i="50" s="1"/>
  <c r="O19" i="43"/>
  <c r="F19" i="43"/>
  <c r="N21" i="49"/>
  <c r="E9" i="48"/>
  <c r="G8" i="12" s="1"/>
  <c r="R25" i="48"/>
  <c r="R20" i="50" s="1"/>
  <c r="F29" i="5"/>
  <c r="G16" i="7"/>
  <c r="Q44" i="49"/>
  <c r="P45" i="43"/>
  <c r="Q48" i="48" s="1"/>
  <c r="F13" i="14" s="1"/>
  <c r="K20" i="43"/>
  <c r="L10" i="48"/>
  <c r="K6" i="43"/>
  <c r="L9" i="48" s="1"/>
  <c r="G8" i="13" s="1"/>
  <c r="E10" i="43"/>
  <c r="F13" i="48" s="1"/>
  <c r="H9" i="12" s="1"/>
  <c r="F27" i="5"/>
  <c r="X19" i="50"/>
  <c r="D21" i="38"/>
  <c r="F21" i="15"/>
  <c r="D28" i="15"/>
  <c r="D21" i="17"/>
  <c r="K10" i="43"/>
  <c r="L13" i="48" s="1"/>
  <c r="M20" i="43"/>
  <c r="N30" i="49"/>
  <c r="G15" i="13"/>
  <c r="N10" i="48"/>
  <c r="M6" i="43"/>
  <c r="M10" i="43" s="1"/>
  <c r="N13" i="48" s="1"/>
  <c r="C10" i="43"/>
  <c r="D6" i="1" s="1"/>
  <c r="E6" i="1" s="1"/>
  <c r="F7" i="3"/>
  <c r="AA10" i="43"/>
  <c r="AB13" i="48" s="1"/>
  <c r="F24" i="5"/>
  <c r="G10" i="29" s="1"/>
  <c r="G11" i="29" s="1"/>
  <c r="W10" i="43"/>
  <c r="X13" i="48" s="1"/>
  <c r="F20" i="5"/>
  <c r="AB10" i="43"/>
  <c r="AC13" i="48" s="1"/>
  <c r="F25" i="5"/>
  <c r="AA9" i="48"/>
  <c r="G23" i="13" s="1"/>
  <c r="F23" i="5"/>
  <c r="U19" i="50"/>
  <c r="D18" i="38"/>
  <c r="D24" i="15"/>
  <c r="AB39" i="50"/>
  <c r="F28" i="50"/>
  <c r="AB27" i="50"/>
  <c r="M45" i="43"/>
  <c r="N48" i="48" s="1"/>
  <c r="F10" i="14" s="1"/>
  <c r="L28" i="43"/>
  <c r="M31" i="48" s="1"/>
  <c r="E9" i="14" s="1"/>
  <c r="P28" i="43"/>
  <c r="P20" i="43"/>
  <c r="R27" i="49"/>
  <c r="Q28" i="43"/>
  <c r="D14" i="6" s="1"/>
  <c r="D29" i="17"/>
  <c r="Y9" i="48"/>
  <c r="G21" i="13" s="1"/>
  <c r="D23" i="48"/>
  <c r="C19" i="43"/>
  <c r="P9" i="48"/>
  <c r="G12" i="13" s="1"/>
  <c r="F15" i="5"/>
  <c r="D28" i="38"/>
  <c r="X9" i="48"/>
  <c r="G20" i="13" s="1"/>
  <c r="U43" i="49"/>
  <c r="M10" i="48"/>
  <c r="L6" i="43"/>
  <c r="M9" i="48" s="1"/>
  <c r="G9" i="13" s="1"/>
  <c r="Q44" i="48"/>
  <c r="P40" i="43"/>
  <c r="Q43" i="48" s="1"/>
  <c r="D13" i="14" s="1"/>
  <c r="M39" i="49"/>
  <c r="L40" i="43"/>
  <c r="E9" i="6" s="1"/>
  <c r="S19" i="43"/>
  <c r="AA19" i="43"/>
  <c r="J19" i="43"/>
  <c r="D17" i="2" s="1"/>
  <c r="E17" i="2" s="1"/>
  <c r="U9" i="48"/>
  <c r="G17" i="13" s="1"/>
  <c r="F17" i="5"/>
  <c r="Z10" i="43"/>
  <c r="AA13" i="48" s="1"/>
  <c r="W19" i="43"/>
  <c r="Z19" i="43"/>
  <c r="Q40" i="43"/>
  <c r="L44" i="49"/>
  <c r="K45" i="43"/>
  <c r="R10" i="48"/>
  <c r="Q6" i="43"/>
  <c r="K28" i="43"/>
  <c r="D8" i="6" s="1"/>
  <c r="M28" i="43"/>
  <c r="Q45" i="43"/>
  <c r="R48" i="48" s="1"/>
  <c r="F14" i="14" s="1"/>
  <c r="M19" i="49"/>
  <c r="L20" i="43"/>
  <c r="D14" i="12"/>
  <c r="AC38" i="49"/>
  <c r="N35" i="48"/>
  <c r="N30" i="50" s="1"/>
  <c r="Z38" i="49"/>
  <c r="F38" i="49"/>
  <c r="F9" i="48"/>
  <c r="G27" i="13" s="1"/>
  <c r="F9" i="8"/>
  <c r="D24" i="17"/>
  <c r="AC9" i="48"/>
  <c r="G25" i="13" s="1"/>
  <c r="Q10" i="48"/>
  <c r="P6" i="43"/>
  <c r="P10" i="43" s="1"/>
  <c r="Q13" i="48" s="1"/>
  <c r="C10" i="7"/>
  <c r="M40" i="43"/>
  <c r="N43" i="48" s="1"/>
  <c r="D10" i="14" s="1"/>
  <c r="K40" i="43"/>
  <c r="E8" i="6" s="1"/>
  <c r="R19" i="43"/>
  <c r="S22" i="48" s="1"/>
  <c r="E19" i="43"/>
  <c r="D15" i="2" s="1"/>
  <c r="E15" i="2" s="1"/>
  <c r="N19" i="43"/>
  <c r="T19" i="43"/>
  <c r="AB19" i="43"/>
  <c r="O34" i="50"/>
  <c r="AB45" i="50"/>
  <c r="AB43" i="50" s="1"/>
  <c r="N21" i="16"/>
  <c r="Z39" i="50"/>
  <c r="G22" i="15"/>
  <c r="I17" i="50"/>
  <c r="E25" i="15"/>
  <c r="R37" i="49"/>
  <c r="G44" i="50"/>
  <c r="F13" i="7"/>
  <c r="N44" i="48"/>
  <c r="N39" i="50" s="1"/>
  <c r="R23" i="49"/>
  <c r="H17" i="50"/>
  <c r="AA38" i="49"/>
  <c r="E14" i="37"/>
  <c r="R29" i="49"/>
  <c r="F9" i="7"/>
  <c r="D25" i="17"/>
  <c r="R42" i="48"/>
  <c r="R37" i="50" s="1"/>
  <c r="U22" i="50"/>
  <c r="Q42" i="49"/>
  <c r="N39" i="49"/>
  <c r="D14" i="5"/>
  <c r="P10" i="31" s="1"/>
  <c r="P14" i="31" s="1"/>
  <c r="E11" i="17"/>
  <c r="K27" i="50"/>
  <c r="F15" i="9"/>
  <c r="J23" i="37"/>
  <c r="U38" i="49"/>
  <c r="P36" i="50"/>
  <c r="O19" i="16"/>
  <c r="J24" i="16"/>
  <c r="J26" i="38"/>
  <c r="F10" i="7"/>
  <c r="M47" i="48"/>
  <c r="L47" i="48"/>
  <c r="L42" i="50" s="1"/>
  <c r="M21" i="49"/>
  <c r="E10" i="37"/>
  <c r="L39" i="49"/>
  <c r="C8" i="7"/>
  <c r="R34" i="48"/>
  <c r="F15" i="16" s="1"/>
  <c r="R28" i="48"/>
  <c r="H15" i="38" s="1"/>
  <c r="N47" i="48"/>
  <c r="N42" i="50" s="1"/>
  <c r="Q35" i="48"/>
  <c r="G14" i="16" s="1"/>
  <c r="D30" i="38"/>
  <c r="D22" i="17"/>
  <c r="G22" i="17" s="1"/>
  <c r="AB35" i="50"/>
  <c r="F23" i="48"/>
  <c r="G27" i="14" s="1"/>
  <c r="L18" i="16"/>
  <c r="K21" i="16"/>
  <c r="F11" i="17"/>
  <c r="G21" i="7"/>
  <c r="B10" i="29"/>
  <c r="F20" i="9"/>
  <c r="F43" i="49"/>
  <c r="Q60" i="31"/>
  <c r="F28" i="16"/>
  <c r="AC33" i="50"/>
  <c r="X24" i="50"/>
  <c r="X33" i="50"/>
  <c r="D11" i="17"/>
  <c r="G23" i="48"/>
  <c r="G28" i="14" s="1"/>
  <c r="R41" i="50"/>
  <c r="H25" i="38"/>
  <c r="D29" i="15"/>
  <c r="E14" i="23"/>
  <c r="X38" i="49"/>
  <c r="G16" i="16"/>
  <c r="Q28" i="49"/>
  <c r="K29" i="50"/>
  <c r="J12" i="37"/>
  <c r="P23" i="48"/>
  <c r="G12" i="14" s="1"/>
  <c r="AB31" i="50"/>
  <c r="J28" i="16"/>
  <c r="U48" i="23"/>
  <c r="D27" i="16"/>
  <c r="Z45" i="50"/>
  <c r="Z43" i="50" s="1"/>
  <c r="K33" i="50"/>
  <c r="E21" i="17"/>
  <c r="E48" i="23"/>
  <c r="J24" i="37"/>
  <c r="G29" i="7"/>
  <c r="F26" i="15"/>
  <c r="N26" i="16"/>
  <c r="E26" i="17"/>
  <c r="I22" i="38"/>
  <c r="D25" i="38"/>
  <c r="I13" i="38"/>
  <c r="F12" i="15"/>
  <c r="S24" i="50"/>
  <c r="J17" i="37"/>
  <c r="G23" i="7"/>
  <c r="N23" i="8"/>
  <c r="F17" i="9"/>
  <c r="J25" i="37"/>
  <c r="F27" i="9"/>
  <c r="F29" i="38"/>
  <c r="F23" i="38"/>
  <c r="AC27" i="50"/>
  <c r="I22" i="16"/>
  <c r="D11" i="15"/>
  <c r="J18" i="37"/>
  <c r="D43" i="50"/>
  <c r="Q48" i="23"/>
  <c r="R48" i="23"/>
  <c r="E34" i="50"/>
  <c r="E31" i="50"/>
  <c r="S20" i="50"/>
  <c r="K43" i="50"/>
  <c r="G16" i="15"/>
  <c r="F21" i="38"/>
  <c r="F29" i="17"/>
  <c r="F16" i="9"/>
  <c r="N25" i="8"/>
  <c r="J28" i="38"/>
  <c r="F34" i="50"/>
  <c r="G12" i="16"/>
  <c r="F11" i="9"/>
  <c r="F12" i="9"/>
  <c r="Q51" i="48"/>
  <c r="Q46" i="50" s="1"/>
  <c r="G13" i="16"/>
  <c r="G29" i="16"/>
  <c r="F28" i="38"/>
  <c r="K26" i="16"/>
  <c r="F29" i="9"/>
  <c r="G25" i="7"/>
  <c r="F23" i="9"/>
  <c r="N13" i="8"/>
  <c r="J26" i="37"/>
  <c r="F25" i="9"/>
  <c r="J12" i="38"/>
  <c r="D12" i="38"/>
  <c r="N13" i="16"/>
  <c r="G17" i="7"/>
  <c r="N21" i="8"/>
  <c r="N30" i="8"/>
  <c r="F46" i="50"/>
  <c r="W52" i="31"/>
  <c r="R31" i="49"/>
  <c r="F22" i="15"/>
  <c r="J16" i="37"/>
  <c r="G26" i="16"/>
  <c r="K32" i="50"/>
  <c r="K41" i="50"/>
  <c r="J30" i="37"/>
  <c r="I60" i="31"/>
  <c r="J29" i="37"/>
  <c r="AB43" i="49"/>
  <c r="X28" i="31"/>
  <c r="X48" i="31" s="1"/>
  <c r="D43" i="49"/>
  <c r="D26" i="49"/>
  <c r="F18" i="49"/>
  <c r="P43" i="49"/>
  <c r="E9" i="12"/>
  <c r="F24" i="50"/>
  <c r="G27" i="7"/>
  <c r="AC43" i="49"/>
  <c r="X42" i="31"/>
  <c r="K43" i="49"/>
  <c r="H17" i="49"/>
  <c r="S43" i="49"/>
  <c r="T18" i="49"/>
  <c r="AB26" i="49"/>
  <c r="D18" i="49"/>
  <c r="U26" i="49"/>
  <c r="AC18" i="49"/>
  <c r="P38" i="49"/>
  <c r="G43" i="49"/>
  <c r="AC26" i="49"/>
  <c r="AA18" i="49"/>
  <c r="X26" i="49"/>
  <c r="F26" i="49"/>
  <c r="G26" i="49"/>
  <c r="K38" i="49"/>
  <c r="G18" i="49"/>
  <c r="V17" i="49"/>
  <c r="I17" i="49"/>
  <c r="E30" i="50"/>
  <c r="Z18" i="49"/>
  <c r="J17" i="49"/>
  <c r="D16" i="17"/>
  <c r="T44" i="50"/>
  <c r="G27" i="38"/>
  <c r="E22" i="50"/>
  <c r="G40" i="50"/>
  <c r="G38" i="50" s="1"/>
  <c r="E28" i="15"/>
  <c r="O40" i="50"/>
  <c r="E11" i="15"/>
  <c r="F21" i="17"/>
  <c r="Y46" i="50"/>
  <c r="Y43" i="50" s="1"/>
  <c r="F44" i="50"/>
  <c r="D27" i="17"/>
  <c r="G27" i="17" s="1"/>
  <c r="G29" i="15"/>
  <c r="K42" i="50"/>
  <c r="H30" i="38"/>
  <c r="K23" i="50"/>
  <c r="Z25" i="50"/>
  <c r="J23" i="38"/>
  <c r="P23" i="50"/>
  <c r="H13" i="38"/>
  <c r="D18" i="50"/>
  <c r="AA29" i="50"/>
  <c r="F24" i="16"/>
  <c r="F21" i="16"/>
  <c r="X29" i="50"/>
  <c r="F37" i="50"/>
  <c r="N28" i="16"/>
  <c r="E28" i="38"/>
  <c r="F20" i="50"/>
  <c r="K36" i="50"/>
  <c r="M30" i="16"/>
  <c r="F22" i="9"/>
  <c r="D25" i="15"/>
  <c r="N18" i="8"/>
  <c r="AC38" i="50"/>
  <c r="G28" i="7"/>
  <c r="D26" i="50"/>
  <c r="G15" i="7"/>
  <c r="O26" i="49"/>
  <c r="U30" i="50"/>
  <c r="G18" i="16"/>
  <c r="N30" i="16"/>
  <c r="K37" i="50"/>
  <c r="D15" i="15"/>
  <c r="S39" i="50"/>
  <c r="P46" i="50"/>
  <c r="P43" i="50" s="1"/>
  <c r="F12" i="17"/>
  <c r="T36" i="50"/>
  <c r="M17" i="16"/>
  <c r="U33" i="50"/>
  <c r="J18" i="16"/>
  <c r="E25" i="50"/>
  <c r="J27" i="38"/>
  <c r="AC20" i="50"/>
  <c r="E26" i="38"/>
  <c r="AA42" i="50"/>
  <c r="G23" i="15"/>
  <c r="E40" i="50"/>
  <c r="D31" i="48"/>
  <c r="F42" i="50"/>
  <c r="F38" i="50" s="1"/>
  <c r="E25" i="16"/>
  <c r="Z34" i="50"/>
  <c r="K23" i="16"/>
  <c r="O43" i="50"/>
  <c r="S44" i="50"/>
  <c r="J13" i="37"/>
  <c r="P26" i="49"/>
  <c r="AB38" i="49"/>
  <c r="AB18" i="49"/>
  <c r="N22" i="8"/>
  <c r="X18" i="49"/>
  <c r="F28" i="9"/>
  <c r="P28" i="50"/>
  <c r="E13" i="16"/>
  <c r="F16" i="15"/>
  <c r="T41" i="50"/>
  <c r="T38" i="50" s="1"/>
  <c r="T28" i="50"/>
  <c r="E17" i="16"/>
  <c r="U37" i="50"/>
  <c r="N18" i="16"/>
  <c r="AC24" i="50"/>
  <c r="I26" i="38"/>
  <c r="AB22" i="50"/>
  <c r="AB18" i="50" s="1"/>
  <c r="G25" i="38"/>
  <c r="Y22" i="50"/>
  <c r="G22" i="38"/>
  <c r="G25" i="50"/>
  <c r="G18" i="50" s="1"/>
  <c r="J29" i="38"/>
  <c r="S35" i="50"/>
  <c r="L16" i="16"/>
  <c r="E21" i="38"/>
  <c r="D12" i="16"/>
  <c r="F24" i="17"/>
  <c r="G38" i="49"/>
  <c r="O43" i="49"/>
  <c r="T26" i="49"/>
  <c r="J22" i="37"/>
  <c r="N29" i="8"/>
  <c r="K18" i="49"/>
  <c r="Z26" i="49"/>
  <c r="N24" i="8"/>
  <c r="J28" i="37"/>
  <c r="G11" i="7"/>
  <c r="T38" i="49"/>
  <c r="J21" i="37"/>
  <c r="N28" i="8"/>
  <c r="K26" i="49"/>
  <c r="T46" i="50"/>
  <c r="F16" i="17"/>
  <c r="T32" i="50"/>
  <c r="I17" i="16"/>
  <c r="U24" i="50"/>
  <c r="I18" i="38"/>
  <c r="Y35" i="50"/>
  <c r="L22" i="16"/>
  <c r="K28" i="50"/>
  <c r="E30" i="16"/>
  <c r="H16" i="16"/>
  <c r="S31" i="50"/>
  <c r="G22" i="7"/>
  <c r="P18" i="49"/>
  <c r="J21" i="38"/>
  <c r="G28" i="16"/>
  <c r="K29" i="16"/>
  <c r="Y26" i="49"/>
  <c r="G24" i="7"/>
  <c r="AA26" i="49"/>
  <c r="N26" i="8"/>
  <c r="N17" i="8"/>
  <c r="O38" i="49"/>
  <c r="T43" i="49"/>
  <c r="N12" i="8"/>
  <c r="Y38" i="49"/>
  <c r="Y18" i="49"/>
  <c r="AB40" i="50"/>
  <c r="E24" i="15"/>
  <c r="AA37" i="50"/>
  <c r="N24" i="16"/>
  <c r="AA24" i="50"/>
  <c r="I24" i="38"/>
  <c r="X42" i="50"/>
  <c r="G20" i="15"/>
  <c r="Z30" i="50"/>
  <c r="G23" i="16"/>
  <c r="P34" i="50"/>
  <c r="K13" i="16"/>
  <c r="H12" i="16"/>
  <c r="D16" i="15"/>
  <c r="D60" i="31"/>
  <c r="I17" i="38"/>
  <c r="C8" i="29"/>
  <c r="S16" i="31"/>
  <c r="S18" i="31" s="1"/>
  <c r="S12" i="23"/>
  <c r="Z31" i="50"/>
  <c r="H23" i="16"/>
  <c r="P33" i="50"/>
  <c r="J13" i="16"/>
  <c r="L26" i="16"/>
  <c r="C18" i="6"/>
  <c r="M11" i="29"/>
  <c r="C28" i="6"/>
  <c r="Y38" i="50"/>
  <c r="U34" i="50"/>
  <c r="I48" i="23"/>
  <c r="M60" i="31"/>
  <c r="F26" i="9"/>
  <c r="C9" i="11"/>
  <c r="Q33" i="48"/>
  <c r="E14" i="16" s="1"/>
  <c r="G27" i="50"/>
  <c r="O35" i="50"/>
  <c r="O28" i="50"/>
  <c r="E35" i="50"/>
  <c r="O41" i="50"/>
  <c r="O36" i="50"/>
  <c r="S18" i="49"/>
  <c r="S26" i="49"/>
  <c r="F18" i="38"/>
  <c r="F24" i="15"/>
  <c r="M25" i="16"/>
  <c r="D18" i="16"/>
  <c r="S38" i="49"/>
  <c r="O18" i="49"/>
  <c r="U18" i="49"/>
  <c r="U40" i="50"/>
  <c r="E17" i="15"/>
  <c r="D58" i="31"/>
  <c r="D46" i="23"/>
  <c r="D23" i="15"/>
  <c r="AA39" i="50"/>
  <c r="K24" i="50"/>
  <c r="I30" i="38"/>
  <c r="P20" i="50"/>
  <c r="E13" i="38"/>
  <c r="D17" i="15"/>
  <c r="U39" i="50"/>
  <c r="AB32" i="50"/>
  <c r="I25" i="16"/>
  <c r="Y36" i="50"/>
  <c r="M22" i="16"/>
  <c r="X44" i="50"/>
  <c r="X43" i="50" s="1"/>
  <c r="D20" i="17"/>
  <c r="G20" i="17" s="1"/>
  <c r="G21" i="16"/>
  <c r="X30" i="50"/>
  <c r="AC45" i="50"/>
  <c r="AC43" i="50" s="1"/>
  <c r="E25" i="17"/>
  <c r="AC22" i="50"/>
  <c r="G26" i="38"/>
  <c r="U25" i="50"/>
  <c r="J18" i="38"/>
  <c r="F48" i="48"/>
  <c r="F27" i="14" s="1"/>
  <c r="F27" i="6"/>
  <c r="C21" i="6"/>
  <c r="O23" i="50"/>
  <c r="O18" i="50" s="1"/>
  <c r="H12" i="38"/>
  <c r="T29" i="50"/>
  <c r="F17" i="16"/>
  <c r="Q12" i="23"/>
  <c r="Q16" i="31"/>
  <c r="K20" i="50"/>
  <c r="E30" i="38"/>
  <c r="T33" i="50"/>
  <c r="J17" i="16"/>
  <c r="G45" i="50"/>
  <c r="E28" i="17"/>
  <c r="G28" i="17" s="1"/>
  <c r="D48" i="23"/>
  <c r="G26" i="7"/>
  <c r="Q46" i="49"/>
  <c r="N60" i="31"/>
  <c r="F13" i="16"/>
  <c r="E17" i="17"/>
  <c r="U16" i="31"/>
  <c r="U12" i="23"/>
  <c r="N16" i="31"/>
  <c r="N18" i="31" s="1"/>
  <c r="N12" i="23"/>
  <c r="T21" i="50"/>
  <c r="F17" i="38"/>
  <c r="T25" i="50"/>
  <c r="J17" i="38"/>
  <c r="T37" i="50"/>
  <c r="N17" i="16"/>
  <c r="Y19" i="50"/>
  <c r="D22" i="38"/>
  <c r="G23" i="38"/>
  <c r="Z22" i="50"/>
  <c r="P42" i="50"/>
  <c r="P38" i="50" s="1"/>
  <c r="G12" i="15"/>
  <c r="D20" i="23"/>
  <c r="D28" i="31"/>
  <c r="I16" i="16"/>
  <c r="S32" i="50"/>
  <c r="N16" i="8"/>
  <c r="AC23" i="48"/>
  <c r="G25" i="14" s="1"/>
  <c r="M24" i="50"/>
  <c r="K7" i="29"/>
  <c r="O48" i="48"/>
  <c r="F11" i="14" s="1"/>
  <c r="F11" i="6"/>
  <c r="S41" i="50"/>
  <c r="F15" i="15"/>
  <c r="S25" i="50"/>
  <c r="J16" i="38"/>
  <c r="U20" i="50"/>
  <c r="E18" i="38"/>
  <c r="Y48" i="48"/>
  <c r="F21" i="14" s="1"/>
  <c r="F21" i="6"/>
  <c r="F12" i="38"/>
  <c r="Q34" i="49"/>
  <c r="R36" i="48"/>
  <c r="H15" i="16" s="1"/>
  <c r="E30" i="23"/>
  <c r="L30" i="23" s="1"/>
  <c r="Y30" i="23" s="1"/>
  <c r="K25" i="10"/>
  <c r="E42" i="31"/>
  <c r="L42" i="31" s="1"/>
  <c r="J17" i="50"/>
  <c r="Q33" i="49"/>
  <c r="Q38" i="48"/>
  <c r="I14" i="8"/>
  <c r="M44" i="49"/>
  <c r="M49" i="48"/>
  <c r="C9" i="9"/>
  <c r="L7" i="48"/>
  <c r="E8" i="13" s="1"/>
  <c r="R45" i="48"/>
  <c r="D14" i="7"/>
  <c r="J27" i="37"/>
  <c r="D29" i="6"/>
  <c r="K31" i="48"/>
  <c r="E29" i="14" s="1"/>
  <c r="L25" i="49"/>
  <c r="I9" i="37"/>
  <c r="L30" i="48"/>
  <c r="L15" i="48"/>
  <c r="M37" i="49"/>
  <c r="M42" i="48"/>
  <c r="M10" i="8"/>
  <c r="D14" i="37"/>
  <c r="Q20" i="49"/>
  <c r="Q25" i="48"/>
  <c r="L21" i="48"/>
  <c r="Q45" i="49"/>
  <c r="Q50" i="48"/>
  <c r="D13" i="9"/>
  <c r="L46" i="49"/>
  <c r="L51" i="48"/>
  <c r="E8" i="9"/>
  <c r="N46" i="49"/>
  <c r="E10" i="9"/>
  <c r="N51" i="48"/>
  <c r="Q24" i="48"/>
  <c r="C14" i="37"/>
  <c r="Q36" i="49"/>
  <c r="Q41" i="48"/>
  <c r="L14" i="8"/>
  <c r="R32" i="48"/>
  <c r="C15" i="8"/>
  <c r="S45" i="50"/>
  <c r="E15" i="17"/>
  <c r="R16" i="31"/>
  <c r="X43" i="48"/>
  <c r="D20" i="14" s="1"/>
  <c r="D27" i="6"/>
  <c r="F10" i="38"/>
  <c r="Z48" i="48"/>
  <c r="F22" i="14" s="1"/>
  <c r="F22" i="6"/>
  <c r="S10" i="23"/>
  <c r="C7" i="29"/>
  <c r="S10" i="31"/>
  <c r="S14" i="31" s="1"/>
  <c r="R32" i="49"/>
  <c r="R37" i="48"/>
  <c r="H15" i="8"/>
  <c r="N33" i="49"/>
  <c r="N38" i="48"/>
  <c r="I11" i="8"/>
  <c r="L33" i="49"/>
  <c r="L38" i="48"/>
  <c r="J9" i="16" s="1"/>
  <c r="I9" i="8"/>
  <c r="N10" i="31"/>
  <c r="N14" i="31" s="1"/>
  <c r="N10" i="23"/>
  <c r="L34" i="49"/>
  <c r="J9" i="8"/>
  <c r="L39" i="48"/>
  <c r="K9" i="16" s="1"/>
  <c r="M25" i="49"/>
  <c r="M30" i="48"/>
  <c r="I10" i="37"/>
  <c r="Q49" i="48"/>
  <c r="C13" i="9"/>
  <c r="R33" i="49"/>
  <c r="R38" i="48"/>
  <c r="I15" i="8"/>
  <c r="L20" i="49"/>
  <c r="L25" i="48"/>
  <c r="D9" i="37"/>
  <c r="D10" i="5"/>
  <c r="N7" i="48"/>
  <c r="E10" i="13" s="1"/>
  <c r="N37" i="49"/>
  <c r="N42" i="48"/>
  <c r="M11" i="8"/>
  <c r="Q29" i="49"/>
  <c r="Q34" i="48"/>
  <c r="E14" i="8"/>
  <c r="R19" i="49"/>
  <c r="R24" i="48"/>
  <c r="C15" i="37"/>
  <c r="L22" i="49"/>
  <c r="L27" i="48"/>
  <c r="F9" i="37"/>
  <c r="L40" i="49"/>
  <c r="L45" i="48"/>
  <c r="D8" i="7"/>
  <c r="M31" i="49"/>
  <c r="M36" i="48"/>
  <c r="G10" i="8"/>
  <c r="N22" i="49"/>
  <c r="F11" i="37"/>
  <c r="N27" i="48"/>
  <c r="N40" i="49"/>
  <c r="N45" i="48"/>
  <c r="D10" i="7"/>
  <c r="Q36" i="48"/>
  <c r="Q31" i="49"/>
  <c r="G14" i="8"/>
  <c r="E14" i="5"/>
  <c r="E7" i="5" s="1"/>
  <c r="R8" i="48"/>
  <c r="F14" i="13" s="1"/>
  <c r="R21" i="49"/>
  <c r="R26" i="48"/>
  <c r="E15" i="37"/>
  <c r="R44" i="48"/>
  <c r="R39" i="49"/>
  <c r="C14" i="7"/>
  <c r="L32" i="49"/>
  <c r="L37" i="48"/>
  <c r="I9" i="16" s="1"/>
  <c r="H9" i="8"/>
  <c r="M23" i="49"/>
  <c r="M28" i="48"/>
  <c r="G10" i="37"/>
  <c r="M41" i="49"/>
  <c r="M46" i="48"/>
  <c r="E9" i="7"/>
  <c r="N32" i="49"/>
  <c r="N37" i="48"/>
  <c r="H11" i="8"/>
  <c r="Q23" i="49"/>
  <c r="Q28" i="48"/>
  <c r="G14" i="37"/>
  <c r="Q41" i="49"/>
  <c r="Q46" i="48"/>
  <c r="E13" i="7"/>
  <c r="O16" i="31"/>
  <c r="O12" i="23"/>
  <c r="L24" i="50"/>
  <c r="I9" i="38"/>
  <c r="S46" i="50"/>
  <c r="F15" i="17"/>
  <c r="S29" i="50"/>
  <c r="F16" i="16"/>
  <c r="S37" i="50"/>
  <c r="N16" i="16"/>
  <c r="S19" i="50"/>
  <c r="D16" i="38"/>
  <c r="E10" i="23"/>
  <c r="E10" i="31"/>
  <c r="B7" i="29"/>
  <c r="M33" i="49"/>
  <c r="M38" i="48"/>
  <c r="I10" i="8"/>
  <c r="N34" i="49"/>
  <c r="J11" i="8"/>
  <c r="N39" i="48"/>
  <c r="Q25" i="49"/>
  <c r="Q30" i="48"/>
  <c r="I14" i="37"/>
  <c r="L37" i="49"/>
  <c r="L42" i="48"/>
  <c r="N9" i="16" s="1"/>
  <c r="M9" i="8"/>
  <c r="M34" i="48"/>
  <c r="E10" i="8"/>
  <c r="N25" i="48"/>
  <c r="D11" i="37"/>
  <c r="R36" i="49"/>
  <c r="R41" i="48"/>
  <c r="L15" i="8"/>
  <c r="L17" i="48"/>
  <c r="L31" i="49"/>
  <c r="L36" i="48"/>
  <c r="H9" i="16" s="1"/>
  <c r="G9" i="8"/>
  <c r="M22" i="49"/>
  <c r="M27" i="48"/>
  <c r="F10" i="37"/>
  <c r="M40" i="49"/>
  <c r="M45" i="48"/>
  <c r="D9" i="7"/>
  <c r="N36" i="48"/>
  <c r="N31" i="49"/>
  <c r="G11" i="8"/>
  <c r="Q22" i="49"/>
  <c r="Q27" i="48"/>
  <c r="F14" i="37"/>
  <c r="Q40" i="49"/>
  <c r="Q45" i="48"/>
  <c r="D13" i="7"/>
  <c r="R30" i="49"/>
  <c r="R35" i="48"/>
  <c r="F15" i="8"/>
  <c r="L23" i="49"/>
  <c r="L28" i="48"/>
  <c r="G9" i="37"/>
  <c r="L41" i="49"/>
  <c r="L46" i="48"/>
  <c r="E8" i="7"/>
  <c r="M32" i="49"/>
  <c r="M37" i="48"/>
  <c r="H10" i="8"/>
  <c r="N23" i="49"/>
  <c r="G11" i="37"/>
  <c r="N28" i="48"/>
  <c r="N46" i="48"/>
  <c r="E10" i="7"/>
  <c r="Q32" i="49"/>
  <c r="Q37" i="48"/>
  <c r="H14" i="8"/>
  <c r="R22" i="49"/>
  <c r="R27" i="48"/>
  <c r="F15" i="37"/>
  <c r="Q42" i="50"/>
  <c r="G13" i="15"/>
  <c r="S42" i="50"/>
  <c r="G15" i="15"/>
  <c r="J16" i="16"/>
  <c r="S33" i="50"/>
  <c r="V16" i="31"/>
  <c r="V12" i="23"/>
  <c r="M48" i="48"/>
  <c r="F9" i="14" s="1"/>
  <c r="N44" i="49"/>
  <c r="N49" i="48"/>
  <c r="C10" i="9"/>
  <c r="R24" i="49"/>
  <c r="R29" i="48"/>
  <c r="H15" i="37"/>
  <c r="H8" i="37" s="1"/>
  <c r="D9" i="5"/>
  <c r="M7" i="48"/>
  <c r="E9" i="13" s="1"/>
  <c r="N29" i="49"/>
  <c r="N34" i="48"/>
  <c r="E11" i="8"/>
  <c r="R51" i="48"/>
  <c r="E14" i="9"/>
  <c r="L40" i="48"/>
  <c r="L9" i="16" s="1"/>
  <c r="L35" i="49"/>
  <c r="K9" i="8"/>
  <c r="M27" i="49"/>
  <c r="C10" i="8"/>
  <c r="M32" i="48"/>
  <c r="M45" i="49"/>
  <c r="M50" i="48"/>
  <c r="D9" i="9"/>
  <c r="N35" i="49"/>
  <c r="N40" i="48"/>
  <c r="K11" i="8"/>
  <c r="Q27" i="49"/>
  <c r="Q32" i="48"/>
  <c r="C14" i="8"/>
  <c r="R39" i="48"/>
  <c r="R34" i="49"/>
  <c r="J15" i="8"/>
  <c r="L33" i="48"/>
  <c r="E9" i="16" s="1"/>
  <c r="L28" i="49"/>
  <c r="D9" i="8"/>
  <c r="M24" i="48"/>
  <c r="C10" i="37"/>
  <c r="M36" i="49"/>
  <c r="M41" i="48"/>
  <c r="L10" i="8"/>
  <c r="N33" i="48"/>
  <c r="D11" i="8"/>
  <c r="R45" i="49"/>
  <c r="D14" i="9"/>
  <c r="R50" i="48"/>
  <c r="S23" i="50"/>
  <c r="H16" i="38"/>
  <c r="Q24" i="50"/>
  <c r="I14" i="38"/>
  <c r="R40" i="49"/>
  <c r="Q19" i="49"/>
  <c r="R46" i="49"/>
  <c r="D8" i="5"/>
  <c r="R10" i="31" s="1"/>
  <c r="R14" i="31" s="1"/>
  <c r="Q39" i="48"/>
  <c r="L11" i="48"/>
  <c r="L49" i="48"/>
  <c r="C8" i="9"/>
  <c r="M34" i="49"/>
  <c r="J10" i="8"/>
  <c r="M39" i="48"/>
  <c r="I11" i="37"/>
  <c r="N30" i="48"/>
  <c r="N25" i="49"/>
  <c r="R42" i="49"/>
  <c r="R47" i="48"/>
  <c r="F14" i="7"/>
  <c r="L29" i="49"/>
  <c r="L34" i="48"/>
  <c r="F9" i="16" s="1"/>
  <c r="E9" i="8"/>
  <c r="M20" i="49"/>
  <c r="M25" i="48"/>
  <c r="D10" i="37"/>
  <c r="D13" i="5"/>
  <c r="Q7" i="48"/>
  <c r="E13" i="13" s="1"/>
  <c r="Q37" i="49"/>
  <c r="Q42" i="48"/>
  <c r="M14" i="8"/>
  <c r="R28" i="49"/>
  <c r="R33" i="48"/>
  <c r="D15" i="8"/>
  <c r="L12" i="48"/>
  <c r="L27" i="49"/>
  <c r="L32" i="48"/>
  <c r="D9" i="16" s="1"/>
  <c r="C9" i="8"/>
  <c r="L45" i="49"/>
  <c r="L50" i="48"/>
  <c r="D8" i="9"/>
  <c r="M35" i="49"/>
  <c r="M40" i="48"/>
  <c r="K10" i="8"/>
  <c r="N27" i="49"/>
  <c r="N32" i="48"/>
  <c r="C11" i="8"/>
  <c r="N45" i="49"/>
  <c r="N50" i="48"/>
  <c r="D10" i="9"/>
  <c r="Q35" i="49"/>
  <c r="Q40" i="48"/>
  <c r="K14" i="8"/>
  <c r="I15" i="37"/>
  <c r="R30" i="48"/>
  <c r="R25" i="49"/>
  <c r="R44" i="49"/>
  <c r="R49" i="48"/>
  <c r="C14" i="9"/>
  <c r="L19" i="49"/>
  <c r="L24" i="48"/>
  <c r="C9" i="37"/>
  <c r="L36" i="49"/>
  <c r="L41" i="48"/>
  <c r="M9" i="16" s="1"/>
  <c r="L9" i="8"/>
  <c r="M28" i="49"/>
  <c r="M33" i="48"/>
  <c r="D10" i="8"/>
  <c r="M51" i="48"/>
  <c r="E9" i="9"/>
  <c r="N19" i="49"/>
  <c r="N24" i="48"/>
  <c r="C11" i="37"/>
  <c r="N36" i="49"/>
  <c r="N41" i="48"/>
  <c r="L11" i="8"/>
  <c r="R35" i="49"/>
  <c r="R40" i="48"/>
  <c r="K15" i="8"/>
  <c r="N24" i="50"/>
  <c r="I11" i="38"/>
  <c r="L39" i="50"/>
  <c r="D8" i="15"/>
  <c r="V10" i="31"/>
  <c r="V10" i="23"/>
  <c r="D25" i="6"/>
  <c r="AC31" i="48"/>
  <c r="E25" i="14" s="1"/>
  <c r="D22" i="6"/>
  <c r="Z31" i="48"/>
  <c r="E22" i="14" s="1"/>
  <c r="K48" i="48"/>
  <c r="F29" i="14" s="1"/>
  <c r="F29" i="6"/>
  <c r="D23" i="6"/>
  <c r="AA31" i="48"/>
  <c r="E23" i="14" s="1"/>
  <c r="U44" i="50"/>
  <c r="U43" i="50" s="1"/>
  <c r="D17" i="17"/>
  <c r="AA44" i="50"/>
  <c r="AA43" i="50" s="1"/>
  <c r="D23" i="17"/>
  <c r="D21" i="6"/>
  <c r="Y31" i="48"/>
  <c r="E21" i="14" s="1"/>
  <c r="E16" i="31"/>
  <c r="E12" i="23"/>
  <c r="B8" i="29"/>
  <c r="E16" i="17"/>
  <c r="T45" i="50"/>
  <c r="E15" i="3"/>
  <c r="E15" i="4" s="1"/>
  <c r="F31" i="48"/>
  <c r="E27" i="14" s="1"/>
  <c r="N27" i="8"/>
  <c r="P48" i="48"/>
  <c r="F12" i="14" s="1"/>
  <c r="F12" i="6"/>
  <c r="D17" i="6"/>
  <c r="U31" i="48"/>
  <c r="E17" i="14" s="1"/>
  <c r="E24" i="6"/>
  <c r="AB43" i="48"/>
  <c r="D24" i="14" s="1"/>
  <c r="S40" i="50"/>
  <c r="E15" i="15"/>
  <c r="U10" i="31"/>
  <c r="U10" i="23"/>
  <c r="X39" i="50"/>
  <c r="D20" i="15"/>
  <c r="E28" i="6"/>
  <c r="G43" i="48"/>
  <c r="D28" i="14" s="1"/>
  <c r="D24" i="6"/>
  <c r="AB31" i="48"/>
  <c r="E24" i="14" s="1"/>
  <c r="E22" i="16"/>
  <c r="Y28" i="50"/>
  <c r="T48" i="48"/>
  <c r="F16" i="14" s="1"/>
  <c r="F16" i="6"/>
  <c r="X20" i="23"/>
  <c r="X36" i="23" s="1"/>
  <c r="E11" i="6"/>
  <c r="O43" i="48"/>
  <c r="D11" i="14" s="1"/>
  <c r="D16" i="16"/>
  <c r="S27" i="50"/>
  <c r="D11" i="6"/>
  <c r="O31" i="48"/>
  <c r="E11" i="14" s="1"/>
  <c r="E17" i="6"/>
  <c r="U43" i="48"/>
  <c r="D17" i="14" s="1"/>
  <c r="F24" i="6"/>
  <c r="AB48" i="48"/>
  <c r="F24" i="14" s="1"/>
  <c r="G48" i="48"/>
  <c r="F28" i="14" s="1"/>
  <c r="F28" i="6"/>
  <c r="V24" i="50"/>
  <c r="V18" i="50" s="1"/>
  <c r="I19" i="38"/>
  <c r="K19" i="38" s="1"/>
  <c r="U48" i="48"/>
  <c r="F17" i="14" s="1"/>
  <c r="F17" i="6"/>
  <c r="F25" i="6"/>
  <c r="AC48" i="48"/>
  <c r="F25" i="14" s="1"/>
  <c r="AA48" i="48"/>
  <c r="F23" i="14" s="1"/>
  <c r="F23" i="6"/>
  <c r="X48" i="48"/>
  <c r="F20" i="14" s="1"/>
  <c r="F20" i="6"/>
  <c r="F9" i="6"/>
  <c r="P8" i="31"/>
  <c r="P8" i="23"/>
  <c r="W58" i="23"/>
  <c r="X56" i="23"/>
  <c r="Y56" i="23" s="1"/>
  <c r="C26" i="6"/>
  <c r="E23" i="48"/>
  <c r="G26" i="14" s="1"/>
  <c r="D8" i="23"/>
  <c r="F6" i="29"/>
  <c r="D8" i="31"/>
  <c r="L27" i="18"/>
  <c r="E48" i="48"/>
  <c r="F26" i="14" s="1"/>
  <c r="F26" i="6"/>
  <c r="E19" i="50"/>
  <c r="D27" i="38"/>
  <c r="E39" i="50"/>
  <c r="D26" i="15"/>
  <c r="E23" i="50"/>
  <c r="H27" i="38"/>
  <c r="K27" i="10"/>
  <c r="E26" i="6"/>
  <c r="E43" i="48"/>
  <c r="D26" i="14" s="1"/>
  <c r="E46" i="23"/>
  <c r="E58" i="31"/>
  <c r="D26" i="6"/>
  <c r="E31" i="48"/>
  <c r="E26" i="14" s="1"/>
  <c r="E21" i="6"/>
  <c r="Y43" i="48"/>
  <c r="D21" i="14" s="1"/>
  <c r="D28" i="6"/>
  <c r="G31" i="48"/>
  <c r="E28" i="14" s="1"/>
  <c r="G14" i="3"/>
  <c r="D13" i="1"/>
  <c r="E13" i="1" s="1"/>
  <c r="K13" i="48"/>
  <c r="H14" i="12" s="1"/>
  <c r="F8" i="29"/>
  <c r="D16" i="31"/>
  <c r="D12" i="23"/>
  <c r="E12" i="6"/>
  <c r="P43" i="48"/>
  <c r="D12" i="14" s="1"/>
  <c r="D16" i="6"/>
  <c r="T31" i="48"/>
  <c r="E16" i="14" s="1"/>
  <c r="D15" i="3"/>
  <c r="D10" i="23"/>
  <c r="F7" i="29"/>
  <c r="D10" i="31"/>
  <c r="E25" i="6"/>
  <c r="AC43" i="48"/>
  <c r="D25" i="14" s="1"/>
  <c r="D20" i="6"/>
  <c r="X31" i="48"/>
  <c r="E20" i="14" s="1"/>
  <c r="C22" i="6"/>
  <c r="Z23" i="48"/>
  <c r="G22" i="14" s="1"/>
  <c r="C11" i="19"/>
  <c r="G18" i="14"/>
  <c r="C15" i="6"/>
  <c r="D12" i="6"/>
  <c r="P31" i="48"/>
  <c r="E12" i="14" s="1"/>
  <c r="C24" i="6"/>
  <c r="AB23" i="48"/>
  <c r="G24" i="14" s="1"/>
  <c r="C20" i="6"/>
  <c r="X23" i="48"/>
  <c r="G20" i="14" s="1"/>
  <c r="E29" i="6"/>
  <c r="K43" i="48"/>
  <c r="D29" i="14" s="1"/>
  <c r="Z27" i="50"/>
  <c r="D23" i="16"/>
  <c r="C16" i="6"/>
  <c r="T23" i="48"/>
  <c r="G16" i="14" s="1"/>
  <c r="AA20" i="50"/>
  <c r="E24" i="38"/>
  <c r="C11" i="6"/>
  <c r="O23" i="48"/>
  <c r="G11" i="14" s="1"/>
  <c r="U23" i="48"/>
  <c r="G17" i="14" s="1"/>
  <c r="C17" i="6"/>
  <c r="E23" i="6"/>
  <c r="AA43" i="48"/>
  <c r="D23" i="14" s="1"/>
  <c r="E27" i="6"/>
  <c r="F43" i="48"/>
  <c r="D27" i="14" s="1"/>
  <c r="C29" i="6"/>
  <c r="K23" i="48"/>
  <c r="G29" i="14" s="1"/>
  <c r="E22" i="15"/>
  <c r="Z40" i="50"/>
  <c r="D17" i="38"/>
  <c r="T19" i="50"/>
  <c r="C23" i="6"/>
  <c r="AA23" i="48"/>
  <c r="G23" i="14" s="1"/>
  <c r="N42" i="23"/>
  <c r="G26" i="50" l="1"/>
  <c r="C8" i="23"/>
  <c r="M23" i="48"/>
  <c r="G9" i="14" s="1"/>
  <c r="C13" i="6"/>
  <c r="C10" i="6"/>
  <c r="D22" i="48"/>
  <c r="D6" i="29"/>
  <c r="V6" i="49"/>
  <c r="V17" i="50"/>
  <c r="V6" i="50" s="1"/>
  <c r="E8" i="23"/>
  <c r="E8" i="31"/>
  <c r="B6" i="29"/>
  <c r="L30" i="50"/>
  <c r="G9" i="16"/>
  <c r="O9" i="16" s="1"/>
  <c r="G23" i="17"/>
  <c r="G10" i="12"/>
  <c r="G8" i="3"/>
  <c r="D7" i="1"/>
  <c r="E7" i="1" s="1"/>
  <c r="E17" i="49"/>
  <c r="V44" i="23"/>
  <c r="V54" i="23" s="1"/>
  <c r="V58" i="23" s="1"/>
  <c r="V59" i="23" s="1"/>
  <c r="G12" i="17"/>
  <c r="F15" i="3"/>
  <c r="F15" i="4" s="1"/>
  <c r="E15" i="38"/>
  <c r="F9" i="5"/>
  <c r="Q22" i="31" s="1"/>
  <c r="N38" i="49"/>
  <c r="AB38" i="50"/>
  <c r="H15" i="13"/>
  <c r="J15" i="13" s="1"/>
  <c r="H15" i="14"/>
  <c r="J15" i="14" s="1"/>
  <c r="H21" i="15"/>
  <c r="H28" i="15"/>
  <c r="N21" i="50"/>
  <c r="G13" i="48"/>
  <c r="H10" i="12" s="1"/>
  <c r="G9" i="3"/>
  <c r="K29" i="38"/>
  <c r="G26" i="17"/>
  <c r="V22" i="31"/>
  <c r="G10" i="3"/>
  <c r="G26" i="13"/>
  <c r="F43" i="50"/>
  <c r="G43" i="50"/>
  <c r="G24" i="17"/>
  <c r="X18" i="50"/>
  <c r="G11" i="17"/>
  <c r="Q21" i="50"/>
  <c r="D10" i="15"/>
  <c r="Q9" i="48"/>
  <c r="G13" i="13" s="1"/>
  <c r="G10" i="15"/>
  <c r="N9" i="48"/>
  <c r="G10" i="13" s="1"/>
  <c r="Z38" i="50"/>
  <c r="F13" i="5"/>
  <c r="R23" i="50"/>
  <c r="F8" i="5"/>
  <c r="R22" i="31" s="1"/>
  <c r="G11" i="16"/>
  <c r="N14" i="23"/>
  <c r="F18" i="50"/>
  <c r="D9" i="15"/>
  <c r="O27" i="16"/>
  <c r="P18" i="50"/>
  <c r="L21" i="50"/>
  <c r="Q19" i="43"/>
  <c r="G14" i="6" s="1"/>
  <c r="G14" i="12"/>
  <c r="G9" i="12"/>
  <c r="N23" i="48"/>
  <c r="G10" i="14" s="1"/>
  <c r="R23" i="48"/>
  <c r="G14" i="14" s="1"/>
  <c r="F10" i="5"/>
  <c r="H17" i="15"/>
  <c r="V14" i="23"/>
  <c r="R29" i="50"/>
  <c r="F8" i="8"/>
  <c r="U14" i="23"/>
  <c r="D8" i="1"/>
  <c r="E8" i="1" s="1"/>
  <c r="F13" i="17"/>
  <c r="G7" i="3"/>
  <c r="L10" i="43"/>
  <c r="M13" i="48" s="1"/>
  <c r="K10" i="29"/>
  <c r="K11" i="29" s="1"/>
  <c r="S14" i="23"/>
  <c r="S22" i="31"/>
  <c r="U22" i="31"/>
  <c r="C10" i="29"/>
  <c r="C11" i="29" s="1"/>
  <c r="L60" i="31"/>
  <c r="O29" i="16"/>
  <c r="Q10" i="43"/>
  <c r="R13" i="48" s="1"/>
  <c r="R9" i="48"/>
  <c r="G14" i="13" s="1"/>
  <c r="F14" i="5"/>
  <c r="P19" i="43"/>
  <c r="Q22" i="48" s="1"/>
  <c r="D10" i="29"/>
  <c r="C22" i="31"/>
  <c r="L22" i="31" s="1"/>
  <c r="C14" i="23"/>
  <c r="L14" i="23" s="1"/>
  <c r="K19" i="43"/>
  <c r="G8" i="5" s="1"/>
  <c r="R31" i="50"/>
  <c r="X38" i="50"/>
  <c r="C8" i="6"/>
  <c r="R54" i="31" s="1"/>
  <c r="P10" i="23"/>
  <c r="AB26" i="50"/>
  <c r="D13" i="48"/>
  <c r="H7" i="12" s="1"/>
  <c r="G29" i="17"/>
  <c r="L19" i="43"/>
  <c r="G9" i="5" s="1"/>
  <c r="D13" i="15"/>
  <c r="Q39" i="50"/>
  <c r="M19" i="43"/>
  <c r="G10" i="5" s="1"/>
  <c r="F7" i="7"/>
  <c r="H23" i="15"/>
  <c r="G27" i="5"/>
  <c r="I27" i="5" s="1"/>
  <c r="R31" i="48"/>
  <c r="E14" i="14" s="1"/>
  <c r="N15" i="16"/>
  <c r="G13" i="7"/>
  <c r="E8" i="37"/>
  <c r="H25" i="15"/>
  <c r="K12" i="38"/>
  <c r="G25" i="17"/>
  <c r="H29" i="15"/>
  <c r="O24" i="16"/>
  <c r="G8" i="15"/>
  <c r="M42" i="50"/>
  <c r="G9" i="15"/>
  <c r="F14" i="6"/>
  <c r="Q30" i="50"/>
  <c r="O21" i="16"/>
  <c r="H12" i="15"/>
  <c r="AC26" i="50"/>
  <c r="F22" i="48"/>
  <c r="H27" i="13" s="1"/>
  <c r="F26" i="50"/>
  <c r="F13" i="6"/>
  <c r="H26" i="15"/>
  <c r="T43" i="50"/>
  <c r="E8" i="8"/>
  <c r="K13" i="38"/>
  <c r="K38" i="50"/>
  <c r="H16" i="15"/>
  <c r="H11" i="15"/>
  <c r="V22" i="48"/>
  <c r="K25" i="38"/>
  <c r="G21" i="17"/>
  <c r="G16" i="17"/>
  <c r="E26" i="50"/>
  <c r="G27" i="6"/>
  <c r="I27" i="6" s="1"/>
  <c r="E10" i="6"/>
  <c r="Y18" i="50"/>
  <c r="O28" i="16"/>
  <c r="O30" i="16"/>
  <c r="U26" i="50"/>
  <c r="D17" i="49"/>
  <c r="H22" i="15"/>
  <c r="O23" i="16"/>
  <c r="D9" i="6"/>
  <c r="Q44" i="23" s="1"/>
  <c r="O38" i="50"/>
  <c r="O26" i="16"/>
  <c r="K28" i="38"/>
  <c r="O25" i="16"/>
  <c r="H20" i="15"/>
  <c r="K22" i="38"/>
  <c r="K30" i="38"/>
  <c r="O12" i="16"/>
  <c r="K21" i="38"/>
  <c r="O13" i="16"/>
  <c r="K24" i="38"/>
  <c r="L16" i="31"/>
  <c r="Q28" i="50"/>
  <c r="G17" i="17"/>
  <c r="G9" i="7"/>
  <c r="AA38" i="50"/>
  <c r="O18" i="16"/>
  <c r="O26" i="50"/>
  <c r="K26" i="38"/>
  <c r="D17" i="50"/>
  <c r="D6" i="50" s="1"/>
  <c r="AA26" i="50"/>
  <c r="K26" i="50"/>
  <c r="AB17" i="49"/>
  <c r="AB6" i="49" s="1"/>
  <c r="K17" i="49"/>
  <c r="AC17" i="49"/>
  <c r="AC6" i="49" s="1"/>
  <c r="F17" i="49"/>
  <c r="Y42" i="31"/>
  <c r="AA17" i="49"/>
  <c r="AA6" i="49" s="1"/>
  <c r="X17" i="49"/>
  <c r="X6" i="49" s="1"/>
  <c r="U17" i="49"/>
  <c r="U6" i="49" s="1"/>
  <c r="Y17" i="49"/>
  <c r="Y6" i="49" s="1"/>
  <c r="G17" i="49"/>
  <c r="T17" i="49"/>
  <c r="T6" i="49" s="1"/>
  <c r="P17" i="49"/>
  <c r="P6" i="49" s="1"/>
  <c r="Z17" i="49"/>
  <c r="Z6" i="49" s="1"/>
  <c r="R38" i="49"/>
  <c r="R43" i="49"/>
  <c r="Q43" i="49"/>
  <c r="K17" i="38"/>
  <c r="N20" i="31"/>
  <c r="G18" i="6"/>
  <c r="I18" i="6" s="1"/>
  <c r="X12" i="23"/>
  <c r="Z18" i="50"/>
  <c r="AC18" i="50"/>
  <c r="X26" i="50"/>
  <c r="U38" i="50"/>
  <c r="O17" i="49"/>
  <c r="O6" i="49" s="1"/>
  <c r="H24" i="15"/>
  <c r="P26" i="50"/>
  <c r="Z26" i="50"/>
  <c r="L31" i="48"/>
  <c r="E8" i="14" s="1"/>
  <c r="L46" i="23"/>
  <c r="G18" i="5"/>
  <c r="I18" i="5" s="1"/>
  <c r="U18" i="50"/>
  <c r="K23" i="38"/>
  <c r="L48" i="23"/>
  <c r="K18" i="50"/>
  <c r="S17" i="49"/>
  <c r="S6" i="49" s="1"/>
  <c r="F10" i="6"/>
  <c r="M26" i="49"/>
  <c r="L38" i="49"/>
  <c r="C9" i="6"/>
  <c r="Q42" i="23" s="1"/>
  <c r="Q23" i="48"/>
  <c r="G13" i="14" s="1"/>
  <c r="L58" i="31"/>
  <c r="E18" i="50"/>
  <c r="O22" i="16"/>
  <c r="K18" i="38"/>
  <c r="T26" i="50"/>
  <c r="L28" i="31"/>
  <c r="D48" i="31"/>
  <c r="Q20" i="31"/>
  <c r="Q18" i="31" s="1"/>
  <c r="D36" i="23"/>
  <c r="L20" i="23"/>
  <c r="Y26" i="50"/>
  <c r="Q38" i="49"/>
  <c r="F13" i="9"/>
  <c r="O17" i="16"/>
  <c r="E8" i="29"/>
  <c r="L43" i="48"/>
  <c r="D8" i="14" s="1"/>
  <c r="R10" i="23"/>
  <c r="N26" i="49"/>
  <c r="R26" i="49"/>
  <c r="M43" i="49"/>
  <c r="D8" i="8"/>
  <c r="N12" i="31"/>
  <c r="D7" i="5"/>
  <c r="S17" i="27" s="1"/>
  <c r="R43" i="48"/>
  <c r="D14" i="14" s="1"/>
  <c r="N18" i="49"/>
  <c r="L18" i="49"/>
  <c r="M18" i="49"/>
  <c r="M38" i="49"/>
  <c r="H8" i="8"/>
  <c r="M11" i="16"/>
  <c r="N36" i="50"/>
  <c r="M28" i="50"/>
  <c r="E10" i="16"/>
  <c r="Q35" i="50"/>
  <c r="L14" i="16"/>
  <c r="N9" i="8"/>
  <c r="C8" i="8"/>
  <c r="K10" i="16"/>
  <c r="M34" i="50"/>
  <c r="L48" i="48"/>
  <c r="F8" i="14" s="1"/>
  <c r="F8" i="6"/>
  <c r="Q31" i="48"/>
  <c r="E13" i="14" s="1"/>
  <c r="D13" i="6"/>
  <c r="N43" i="49"/>
  <c r="I14" i="16"/>
  <c r="Q32" i="50"/>
  <c r="I10" i="16"/>
  <c r="M32" i="50"/>
  <c r="Q40" i="50"/>
  <c r="E13" i="15"/>
  <c r="M22" i="50"/>
  <c r="G10" i="38"/>
  <c r="I8" i="10"/>
  <c r="E11" i="38"/>
  <c r="N20" i="50"/>
  <c r="E12" i="31"/>
  <c r="E14" i="31" s="1"/>
  <c r="L14" i="31" s="1"/>
  <c r="G14" i="7"/>
  <c r="C7" i="7"/>
  <c r="N14" i="8"/>
  <c r="E10" i="15"/>
  <c r="N40" i="50"/>
  <c r="F8" i="37"/>
  <c r="R18" i="31"/>
  <c r="R20" i="31" s="1"/>
  <c r="C14" i="6"/>
  <c r="P42" i="23" s="1"/>
  <c r="E14" i="6"/>
  <c r="K27" i="38"/>
  <c r="P60" i="31"/>
  <c r="X60" i="31" s="1"/>
  <c r="F14" i="9"/>
  <c r="P48" i="23"/>
  <c r="X48" i="23" s="1"/>
  <c r="M35" i="50"/>
  <c r="L10" i="16"/>
  <c r="L27" i="50"/>
  <c r="Q37" i="50"/>
  <c r="N14" i="16"/>
  <c r="Q34" i="50"/>
  <c r="K14" i="16"/>
  <c r="R34" i="50"/>
  <c r="K15" i="16"/>
  <c r="R22" i="50"/>
  <c r="G15" i="38"/>
  <c r="G8" i="37"/>
  <c r="M40" i="50"/>
  <c r="E9" i="15"/>
  <c r="F8" i="10"/>
  <c r="N34" i="50"/>
  <c r="K11" i="16"/>
  <c r="M23" i="50"/>
  <c r="H10" i="38"/>
  <c r="G8" i="7"/>
  <c r="D7" i="7"/>
  <c r="O10" i="31"/>
  <c r="O10" i="23"/>
  <c r="R27" i="50"/>
  <c r="D15" i="16"/>
  <c r="L23" i="48"/>
  <c r="G8" i="14" s="1"/>
  <c r="N31" i="48"/>
  <c r="E10" i="14" s="1"/>
  <c r="M43" i="48"/>
  <c r="D9" i="14" s="1"/>
  <c r="L10" i="23"/>
  <c r="S26" i="50"/>
  <c r="V56" i="31"/>
  <c r="V66" i="31" s="1"/>
  <c r="V70" i="31" s="1"/>
  <c r="V71" i="31" s="1"/>
  <c r="H15" i="15"/>
  <c r="E13" i="6"/>
  <c r="J11" i="37"/>
  <c r="M46" i="50"/>
  <c r="F9" i="17"/>
  <c r="L8" i="8"/>
  <c r="R44" i="50"/>
  <c r="D14" i="17"/>
  <c r="N27" i="50"/>
  <c r="D11" i="16"/>
  <c r="L26" i="49"/>
  <c r="R28" i="50"/>
  <c r="E15" i="16"/>
  <c r="J11" i="38"/>
  <c r="N25" i="50"/>
  <c r="Q26" i="49"/>
  <c r="Q18" i="49"/>
  <c r="R45" i="50"/>
  <c r="E14" i="17"/>
  <c r="N28" i="50"/>
  <c r="E11" i="16"/>
  <c r="J10" i="37"/>
  <c r="L28" i="50"/>
  <c r="M45" i="50"/>
  <c r="E9" i="17"/>
  <c r="L35" i="50"/>
  <c r="N29" i="50"/>
  <c r="F11" i="16"/>
  <c r="Q10" i="31"/>
  <c r="Q10" i="23"/>
  <c r="F10" i="9"/>
  <c r="E7" i="7"/>
  <c r="H9" i="38"/>
  <c r="L23" i="50"/>
  <c r="G8" i="8"/>
  <c r="L8" i="49"/>
  <c r="K15" i="10"/>
  <c r="R8" i="49"/>
  <c r="M29" i="50"/>
  <c r="F10" i="16"/>
  <c r="K16" i="38"/>
  <c r="X16" i="31"/>
  <c r="O18" i="31"/>
  <c r="H14" i="38"/>
  <c r="Q23" i="50"/>
  <c r="M41" i="50"/>
  <c r="F9" i="15"/>
  <c r="L32" i="50"/>
  <c r="R39" i="50"/>
  <c r="D14" i="15"/>
  <c r="Q31" i="50"/>
  <c r="H14" i="16"/>
  <c r="G11" i="38"/>
  <c r="N22" i="50"/>
  <c r="M31" i="50"/>
  <c r="H10" i="16"/>
  <c r="E8" i="15"/>
  <c r="L40" i="50"/>
  <c r="L22" i="50"/>
  <c r="G9" i="38"/>
  <c r="J15" i="37"/>
  <c r="Q29" i="50"/>
  <c r="F14" i="16"/>
  <c r="D8" i="37"/>
  <c r="Q44" i="50"/>
  <c r="D13" i="17"/>
  <c r="L34" i="50"/>
  <c r="R32" i="50"/>
  <c r="I15" i="16"/>
  <c r="G15" i="17"/>
  <c r="Q19" i="50"/>
  <c r="D14" i="38"/>
  <c r="E7" i="9"/>
  <c r="E13" i="17"/>
  <c r="Q45" i="50"/>
  <c r="Q20" i="50"/>
  <c r="E14" i="38"/>
  <c r="M37" i="50"/>
  <c r="N10" i="16"/>
  <c r="J9" i="38"/>
  <c r="L25" i="50"/>
  <c r="L44" i="50"/>
  <c r="D8" i="17"/>
  <c r="M36" i="50"/>
  <c r="M10" i="16"/>
  <c r="M27" i="50"/>
  <c r="D10" i="16"/>
  <c r="R46" i="50"/>
  <c r="F14" i="17"/>
  <c r="R24" i="50"/>
  <c r="I15" i="38"/>
  <c r="N23" i="50"/>
  <c r="H11" i="38"/>
  <c r="L31" i="50"/>
  <c r="G8" i="10"/>
  <c r="K11" i="10"/>
  <c r="N8" i="49"/>
  <c r="L37" i="50"/>
  <c r="R21" i="50"/>
  <c r="F15" i="38"/>
  <c r="R18" i="49"/>
  <c r="L20" i="50"/>
  <c r="E9" i="38"/>
  <c r="M25" i="50"/>
  <c r="J10" i="38"/>
  <c r="L33" i="50"/>
  <c r="N15" i="8"/>
  <c r="R40" i="50"/>
  <c r="E14" i="15"/>
  <c r="M44" i="50"/>
  <c r="D9" i="17"/>
  <c r="R35" i="50"/>
  <c r="L15" i="16"/>
  <c r="C8" i="37"/>
  <c r="J9" i="37"/>
  <c r="R25" i="50"/>
  <c r="J15" i="38"/>
  <c r="N11" i="8"/>
  <c r="E8" i="17"/>
  <c r="L45" i="50"/>
  <c r="N10" i="8"/>
  <c r="V20" i="31"/>
  <c r="V18" i="31"/>
  <c r="G15" i="16"/>
  <c r="R30" i="50"/>
  <c r="R36" i="50"/>
  <c r="M15" i="16"/>
  <c r="H8" i="10"/>
  <c r="K14" i="10"/>
  <c r="Q8" i="49"/>
  <c r="M33" i="50"/>
  <c r="J10" i="16"/>
  <c r="N37" i="50"/>
  <c r="N11" i="16"/>
  <c r="J14" i="37"/>
  <c r="D10" i="6"/>
  <c r="O16" i="16"/>
  <c r="S38" i="50"/>
  <c r="D11" i="38"/>
  <c r="N19" i="50"/>
  <c r="L36" i="50"/>
  <c r="D9" i="38"/>
  <c r="L19" i="50"/>
  <c r="E10" i="17"/>
  <c r="N45" i="50"/>
  <c r="D7" i="9"/>
  <c r="E10" i="38"/>
  <c r="M20" i="50"/>
  <c r="L29" i="50"/>
  <c r="G14" i="15"/>
  <c r="R42" i="50"/>
  <c r="F8" i="9"/>
  <c r="C7" i="9"/>
  <c r="M19" i="50"/>
  <c r="D10" i="38"/>
  <c r="Q27" i="50"/>
  <c r="D14" i="16"/>
  <c r="N35" i="50"/>
  <c r="L11" i="16"/>
  <c r="K8" i="8"/>
  <c r="P46" i="23"/>
  <c r="X46" i="23" s="1"/>
  <c r="P58" i="31"/>
  <c r="X58" i="31" s="1"/>
  <c r="N44" i="50"/>
  <c r="D10" i="17"/>
  <c r="N41" i="50"/>
  <c r="F10" i="15"/>
  <c r="L41" i="50"/>
  <c r="F8" i="15"/>
  <c r="G14" i="38"/>
  <c r="Q22" i="50"/>
  <c r="H11" i="16"/>
  <c r="N31" i="50"/>
  <c r="D8" i="10"/>
  <c r="K10" i="10"/>
  <c r="M8" i="49"/>
  <c r="E8" i="10"/>
  <c r="M8" i="8"/>
  <c r="Q25" i="50"/>
  <c r="J14" i="38"/>
  <c r="S18" i="50"/>
  <c r="Q41" i="50"/>
  <c r="F13" i="15"/>
  <c r="I11" i="16"/>
  <c r="N32" i="50"/>
  <c r="P16" i="31"/>
  <c r="P12" i="23"/>
  <c r="G10" i="7"/>
  <c r="R19" i="50"/>
  <c r="D15" i="38"/>
  <c r="R33" i="50"/>
  <c r="J15" i="16"/>
  <c r="J8" i="8"/>
  <c r="I8" i="8"/>
  <c r="N33" i="50"/>
  <c r="J11" i="16"/>
  <c r="S43" i="50"/>
  <c r="Q36" i="50"/>
  <c r="M14" i="16"/>
  <c r="N46" i="50"/>
  <c r="F10" i="17"/>
  <c r="L46" i="50"/>
  <c r="F8" i="17"/>
  <c r="I8" i="37"/>
  <c r="F9" i="9"/>
  <c r="Q33" i="50"/>
  <c r="J14" i="16"/>
  <c r="L43" i="49"/>
  <c r="S56" i="31"/>
  <c r="S66" i="31" s="1"/>
  <c r="S70" i="31" s="1"/>
  <c r="S71" i="31" s="1"/>
  <c r="S44" i="23"/>
  <c r="S54" i="23" s="1"/>
  <c r="S58" i="23" s="1"/>
  <c r="S59" i="23" s="1"/>
  <c r="AA18" i="50"/>
  <c r="L12" i="23"/>
  <c r="W59" i="23"/>
  <c r="W40" i="23"/>
  <c r="E38" i="50"/>
  <c r="D42" i="23"/>
  <c r="L42" i="23" s="1"/>
  <c r="D54" i="31"/>
  <c r="L54" i="31" s="1"/>
  <c r="P22" i="48"/>
  <c r="G12" i="6"/>
  <c r="I12" i="6" s="1"/>
  <c r="G12" i="5"/>
  <c r="I12" i="5" s="1"/>
  <c r="T18" i="50"/>
  <c r="G29" i="5"/>
  <c r="I29" i="5" s="1"/>
  <c r="G29" i="6"/>
  <c r="I29" i="6" s="1"/>
  <c r="K22" i="48"/>
  <c r="O22" i="48"/>
  <c r="G11" i="6"/>
  <c r="I11" i="6" s="1"/>
  <c r="G11" i="5"/>
  <c r="I11" i="5" s="1"/>
  <c r="G28" i="5"/>
  <c r="I28" i="5" s="1"/>
  <c r="G28" i="6"/>
  <c r="I28" i="6" s="1"/>
  <c r="G22" i="48"/>
  <c r="D16" i="2"/>
  <c r="E16" i="2" s="1"/>
  <c r="AC22" i="48"/>
  <c r="G25" i="5"/>
  <c r="I25" i="5" s="1"/>
  <c r="D13" i="2"/>
  <c r="G25" i="6"/>
  <c r="I25" i="6" s="1"/>
  <c r="R56" i="31"/>
  <c r="R44" i="23"/>
  <c r="E22" i="48"/>
  <c r="G26" i="6"/>
  <c r="I26" i="6" s="1"/>
  <c r="G26" i="5"/>
  <c r="I26" i="5" s="1"/>
  <c r="D14" i="2"/>
  <c r="E14" i="2" s="1"/>
  <c r="T22" i="48"/>
  <c r="G16" i="5"/>
  <c r="I16" i="5" s="1"/>
  <c r="G16" i="6"/>
  <c r="I16" i="6" s="1"/>
  <c r="AB22" i="48"/>
  <c r="G24" i="5"/>
  <c r="I24" i="5" s="1"/>
  <c r="G24" i="6"/>
  <c r="I24" i="6" s="1"/>
  <c r="D12" i="2"/>
  <c r="E12" i="2" s="1"/>
  <c r="N56" i="31"/>
  <c r="N44" i="23"/>
  <c r="N54" i="23" s="1"/>
  <c r="N58" i="23" s="1"/>
  <c r="N59" i="23" s="1"/>
  <c r="D15" i="4"/>
  <c r="I44" i="23"/>
  <c r="I54" i="23" s="1"/>
  <c r="I58" i="23" s="1"/>
  <c r="I56" i="31"/>
  <c r="I66" i="31" s="1"/>
  <c r="I70" i="31" s="1"/>
  <c r="G23" i="6"/>
  <c r="I23" i="6" s="1"/>
  <c r="G23" i="5"/>
  <c r="I23" i="5" s="1"/>
  <c r="AA22" i="48"/>
  <c r="D11" i="2"/>
  <c r="E11" i="2" s="1"/>
  <c r="U22" i="48"/>
  <c r="G17" i="5"/>
  <c r="I17" i="5" s="1"/>
  <c r="G17" i="6"/>
  <c r="I17" i="6" s="1"/>
  <c r="G20" i="6"/>
  <c r="I20" i="6" s="1"/>
  <c r="X22" i="48"/>
  <c r="G20" i="5"/>
  <c r="I20" i="5" s="1"/>
  <c r="D8" i="2"/>
  <c r="E8" i="2" s="1"/>
  <c r="G15" i="6"/>
  <c r="I15" i="6" s="1"/>
  <c r="G15" i="5"/>
  <c r="I15" i="5" s="1"/>
  <c r="Z22" i="48"/>
  <c r="G22" i="6"/>
  <c r="I22" i="6" s="1"/>
  <c r="G22" i="5"/>
  <c r="I22" i="5" s="1"/>
  <c r="D10" i="2"/>
  <c r="E10" i="2" s="1"/>
  <c r="D12" i="31"/>
  <c r="L10" i="31"/>
  <c r="G21" i="6"/>
  <c r="I21" i="6" s="1"/>
  <c r="G21" i="5"/>
  <c r="I21" i="5" s="1"/>
  <c r="Y22" i="48"/>
  <c r="D9" i="2"/>
  <c r="E9" i="2" s="1"/>
  <c r="E44" i="23"/>
  <c r="E54" i="23" s="1"/>
  <c r="E58" i="23" s="1"/>
  <c r="E59" i="23" s="1"/>
  <c r="E56" i="31"/>
  <c r="E66" i="31" s="1"/>
  <c r="E70" i="31" s="1"/>
  <c r="E71" i="31" s="1"/>
  <c r="F11" i="29"/>
  <c r="U44" i="23"/>
  <c r="U54" i="23" s="1"/>
  <c r="U58" i="23" s="1"/>
  <c r="U59" i="23" s="1"/>
  <c r="U56" i="31"/>
  <c r="U66" i="31" s="1"/>
  <c r="U70" i="31" s="1"/>
  <c r="U71" i="31" s="1"/>
  <c r="P44" i="23"/>
  <c r="P56" i="31"/>
  <c r="D44" i="23"/>
  <c r="D56" i="31"/>
  <c r="G17" i="50" l="1"/>
  <c r="G6" i="50" s="1"/>
  <c r="O54" i="31"/>
  <c r="O66" i="31" s="1"/>
  <c r="O70" i="31" s="1"/>
  <c r="O71" i="31" s="1"/>
  <c r="O42" i="23"/>
  <c r="O54" i="23" s="1"/>
  <c r="O58" i="23" s="1"/>
  <c r="O59" i="23" s="1"/>
  <c r="D11" i="29"/>
  <c r="D15" i="29" s="1"/>
  <c r="D19" i="29" s="1"/>
  <c r="D28" i="29" s="1"/>
  <c r="G6" i="49"/>
  <c r="F6" i="49"/>
  <c r="K6" i="49"/>
  <c r="C26" i="31"/>
  <c r="C52" i="31" s="1"/>
  <c r="E26" i="31"/>
  <c r="E52" i="31" s="1"/>
  <c r="E6" i="49"/>
  <c r="D26" i="31"/>
  <c r="H18" i="14"/>
  <c r="J18" i="14" s="1"/>
  <c r="B11" i="29"/>
  <c r="H13" i="5"/>
  <c r="H13" i="6"/>
  <c r="H10" i="5"/>
  <c r="H10" i="6"/>
  <c r="H8" i="6"/>
  <c r="H8" i="5"/>
  <c r="I8" i="5" s="1"/>
  <c r="H9" i="5"/>
  <c r="I9" i="5" s="1"/>
  <c r="H9" i="6"/>
  <c r="H14" i="5"/>
  <c r="H14" i="6"/>
  <c r="I14" i="6" s="1"/>
  <c r="D18" i="23"/>
  <c r="Q14" i="23"/>
  <c r="O22" i="31"/>
  <c r="F17" i="50"/>
  <c r="F6" i="50" s="1"/>
  <c r="AB17" i="50"/>
  <c r="AB6" i="50" s="1"/>
  <c r="P17" i="50"/>
  <c r="P6" i="50" s="1"/>
  <c r="E18" i="23"/>
  <c r="E40" i="23" s="1"/>
  <c r="O14" i="23"/>
  <c r="G14" i="5"/>
  <c r="F7" i="5"/>
  <c r="E10" i="29" s="1"/>
  <c r="R42" i="23"/>
  <c r="R54" i="23" s="1"/>
  <c r="R58" i="23" s="1"/>
  <c r="R59" i="23" s="1"/>
  <c r="R14" i="23"/>
  <c r="AC17" i="50"/>
  <c r="AC6" i="50" s="1"/>
  <c r="C18" i="23"/>
  <c r="C40" i="23" s="1"/>
  <c r="Y60" i="31"/>
  <c r="D6" i="49"/>
  <c r="X17" i="50"/>
  <c r="X6" i="50" s="1"/>
  <c r="P22" i="31"/>
  <c r="P14" i="23"/>
  <c r="C9" i="19"/>
  <c r="H18" i="13"/>
  <c r="J18" i="13" s="1"/>
  <c r="H27" i="14"/>
  <c r="J27" i="14" s="1"/>
  <c r="Q56" i="31"/>
  <c r="G10" i="6"/>
  <c r="R22" i="48"/>
  <c r="H14" i="14" s="1"/>
  <c r="J14" i="14" s="1"/>
  <c r="G8" i="6"/>
  <c r="Q54" i="31"/>
  <c r="K17" i="50"/>
  <c r="K6" i="50" s="1"/>
  <c r="Z17" i="50"/>
  <c r="Z6" i="50" s="1"/>
  <c r="O17" i="50"/>
  <c r="O6" i="50" s="1"/>
  <c r="O56" i="31"/>
  <c r="N22" i="48"/>
  <c r="H10" i="13" s="1"/>
  <c r="J10" i="13" s="1"/>
  <c r="Y17" i="50"/>
  <c r="Y6" i="50" s="1"/>
  <c r="Y48" i="23"/>
  <c r="AA17" i="50"/>
  <c r="AA6" i="50" s="1"/>
  <c r="Y16" i="31"/>
  <c r="E7" i="29"/>
  <c r="E7" i="6"/>
  <c r="U17" i="50"/>
  <c r="U6" i="50" s="1"/>
  <c r="Y46" i="23"/>
  <c r="Y58" i="31"/>
  <c r="G9" i="6"/>
  <c r="G13" i="17"/>
  <c r="M22" i="48"/>
  <c r="H9" i="13" s="1"/>
  <c r="J9" i="13" s="1"/>
  <c r="Y12" i="23"/>
  <c r="L48" i="31"/>
  <c r="Y28" i="31"/>
  <c r="Y48" i="31" s="1"/>
  <c r="L12" i="31"/>
  <c r="L22" i="48"/>
  <c r="H8" i="14" s="1"/>
  <c r="J8" i="14" s="1"/>
  <c r="E17" i="50"/>
  <c r="E6" i="50" s="1"/>
  <c r="F7" i="6"/>
  <c r="L36" i="23"/>
  <c r="Y20" i="23"/>
  <c r="Y36" i="23" s="1"/>
  <c r="M17" i="49"/>
  <c r="M6" i="49" s="1"/>
  <c r="F7" i="9"/>
  <c r="D7" i="6"/>
  <c r="O44" i="23"/>
  <c r="G7" i="7"/>
  <c r="L38" i="50"/>
  <c r="N17" i="49"/>
  <c r="N6" i="49" s="1"/>
  <c r="R17" i="49"/>
  <c r="R6" i="49" s="1"/>
  <c r="R66" i="31"/>
  <c r="R70" i="31" s="1"/>
  <c r="R71" i="31" s="1"/>
  <c r="P54" i="31"/>
  <c r="P66" i="31" s="1"/>
  <c r="P70" i="31" s="1"/>
  <c r="P71" i="31" s="1"/>
  <c r="H10" i="15"/>
  <c r="O14" i="16"/>
  <c r="K9" i="38"/>
  <c r="K11" i="38"/>
  <c r="S17" i="50"/>
  <c r="S6" i="50" s="1"/>
  <c r="G10" i="17"/>
  <c r="Q26" i="50"/>
  <c r="H8" i="15"/>
  <c r="G14" i="17"/>
  <c r="R18" i="50"/>
  <c r="H14" i="15"/>
  <c r="N26" i="50"/>
  <c r="Q43" i="50"/>
  <c r="R26" i="50"/>
  <c r="K9" i="10"/>
  <c r="K8" i="10" s="1"/>
  <c r="J8" i="10"/>
  <c r="L17" i="49"/>
  <c r="L6" i="49" s="1"/>
  <c r="N8" i="8"/>
  <c r="C7" i="6"/>
  <c r="G13" i="6"/>
  <c r="K15" i="38"/>
  <c r="Q18" i="50"/>
  <c r="N43" i="50"/>
  <c r="G9" i="17"/>
  <c r="M26" i="50"/>
  <c r="L43" i="50"/>
  <c r="R43" i="50"/>
  <c r="O12" i="31"/>
  <c r="O14" i="31" s="1"/>
  <c r="X14" i="31" s="1"/>
  <c r="Y14" i="31" s="1"/>
  <c r="H13" i="15"/>
  <c r="R38" i="50"/>
  <c r="M38" i="50"/>
  <c r="O10" i="16"/>
  <c r="C8" i="10"/>
  <c r="Q12" i="31"/>
  <c r="Q14" i="31" s="1"/>
  <c r="G13" i="5"/>
  <c r="D6" i="2"/>
  <c r="M18" i="50"/>
  <c r="K10" i="38"/>
  <c r="L18" i="50"/>
  <c r="N18" i="50"/>
  <c r="G8" i="17"/>
  <c r="J8" i="37"/>
  <c r="M43" i="50"/>
  <c r="K14" i="38"/>
  <c r="O20" i="31"/>
  <c r="X20" i="31" s="1"/>
  <c r="Y20" i="31" s="1"/>
  <c r="X18" i="31"/>
  <c r="Y18" i="31" s="1"/>
  <c r="Q17" i="49"/>
  <c r="Q6" i="49" s="1"/>
  <c r="O11" i="16"/>
  <c r="O15" i="16"/>
  <c r="H9" i="15"/>
  <c r="L26" i="50"/>
  <c r="N38" i="50"/>
  <c r="Q38" i="50"/>
  <c r="J27" i="13"/>
  <c r="N66" i="31"/>
  <c r="N70" i="31" s="1"/>
  <c r="N71" i="31" s="1"/>
  <c r="H21" i="14"/>
  <c r="J21" i="14" s="1"/>
  <c r="H21" i="13"/>
  <c r="J21" i="13" s="1"/>
  <c r="V26" i="31"/>
  <c r="V52" i="31" s="1"/>
  <c r="V18" i="23"/>
  <c r="V40" i="23" s="1"/>
  <c r="H20" i="13"/>
  <c r="J20" i="13" s="1"/>
  <c r="H20" i="14"/>
  <c r="J20" i="14" s="1"/>
  <c r="I59" i="23"/>
  <c r="I40" i="23"/>
  <c r="H16" i="13"/>
  <c r="J16" i="13" s="1"/>
  <c r="H16" i="14"/>
  <c r="J16" i="14" s="1"/>
  <c r="H28" i="13"/>
  <c r="J28" i="13" s="1"/>
  <c r="H28" i="14"/>
  <c r="J28" i="14" s="1"/>
  <c r="H17" i="13"/>
  <c r="J17" i="13" s="1"/>
  <c r="H17" i="14"/>
  <c r="J17" i="14" s="1"/>
  <c r="P54" i="23"/>
  <c r="P58" i="23" s="1"/>
  <c r="P59" i="23" s="1"/>
  <c r="H26" i="13"/>
  <c r="J26" i="13" s="1"/>
  <c r="H26" i="14"/>
  <c r="J26" i="14" s="1"/>
  <c r="H11" i="13"/>
  <c r="J11" i="13" s="1"/>
  <c r="H11" i="14"/>
  <c r="J11" i="14" s="1"/>
  <c r="H12" i="13"/>
  <c r="J12" i="13" s="1"/>
  <c r="H12" i="14"/>
  <c r="J12" i="14" s="1"/>
  <c r="L56" i="31"/>
  <c r="D66" i="31"/>
  <c r="H23" i="13"/>
  <c r="J23" i="13" s="1"/>
  <c r="H23" i="14"/>
  <c r="J23" i="14" s="1"/>
  <c r="H13" i="13"/>
  <c r="J13" i="13" s="1"/>
  <c r="H13" i="14"/>
  <c r="J13" i="14" s="1"/>
  <c r="H25" i="14"/>
  <c r="J25" i="14" s="1"/>
  <c r="H25" i="13"/>
  <c r="J25" i="13" s="1"/>
  <c r="H29" i="13"/>
  <c r="J29" i="13" s="1"/>
  <c r="H29" i="14"/>
  <c r="J29" i="14" s="1"/>
  <c r="T17" i="50"/>
  <c r="T6" i="50" s="1"/>
  <c r="L44" i="23"/>
  <c r="L54" i="23" s="1"/>
  <c r="L58" i="23" s="1"/>
  <c r="D54" i="23"/>
  <c r="D58" i="23" s="1"/>
  <c r="D59" i="23" s="1"/>
  <c r="Q54" i="23"/>
  <c r="Q58" i="23" s="1"/>
  <c r="Q59" i="23" s="1"/>
  <c r="H22" i="13"/>
  <c r="J22" i="13" s="1"/>
  <c r="H22" i="14"/>
  <c r="J22" i="14" s="1"/>
  <c r="S18" i="23"/>
  <c r="S40" i="23" s="1"/>
  <c r="S26" i="31"/>
  <c r="S52" i="31" s="1"/>
  <c r="I71" i="31"/>
  <c r="I52" i="31"/>
  <c r="H24" i="13"/>
  <c r="J24" i="13" s="1"/>
  <c r="H24" i="14"/>
  <c r="J24" i="14" s="1"/>
  <c r="U26" i="31"/>
  <c r="U52" i="31" s="1"/>
  <c r="U18" i="23"/>
  <c r="U40" i="23" s="1"/>
  <c r="N18" i="23"/>
  <c r="N40" i="23" s="1"/>
  <c r="N26" i="31"/>
  <c r="O15" i="29" l="1"/>
  <c r="E6" i="2"/>
  <c r="G7" i="5"/>
  <c r="I14" i="5"/>
  <c r="P26" i="31" s="1"/>
  <c r="P52" i="31" s="1"/>
  <c r="Q66" i="31"/>
  <c r="Q70" i="31" s="1"/>
  <c r="Q71" i="31" s="1"/>
  <c r="H9" i="14"/>
  <c r="J9" i="14" s="1"/>
  <c r="H14" i="13"/>
  <c r="J14" i="13" s="1"/>
  <c r="H8" i="13"/>
  <c r="J8" i="13" s="1"/>
  <c r="H10" i="14"/>
  <c r="J10" i="14" s="1"/>
  <c r="I10" i="6"/>
  <c r="I8" i="6"/>
  <c r="E11" i="29"/>
  <c r="N52" i="31"/>
  <c r="L59" i="23"/>
  <c r="I9" i="6"/>
  <c r="R17" i="50"/>
  <c r="R6" i="50" s="1"/>
  <c r="I13" i="6"/>
  <c r="Q17" i="50"/>
  <c r="Q6" i="50" s="1"/>
  <c r="M17" i="50"/>
  <c r="M6" i="50" s="1"/>
  <c r="Q26" i="31"/>
  <c r="Q18" i="23"/>
  <c r="Q40" i="23" s="1"/>
  <c r="H7" i="5"/>
  <c r="L17" i="50"/>
  <c r="L6" i="50" s="1"/>
  <c r="I10" i="5"/>
  <c r="N17" i="50"/>
  <c r="N6" i="50" s="1"/>
  <c r="H7" i="6"/>
  <c r="G7" i="6"/>
  <c r="I13" i="5"/>
  <c r="R18" i="23"/>
  <c r="R40" i="23" s="1"/>
  <c r="R26" i="31"/>
  <c r="R52" i="31" s="1"/>
  <c r="D40" i="23"/>
  <c r="L40" i="23" s="1"/>
  <c r="D70" i="31"/>
  <c r="L66" i="31"/>
  <c r="I7" i="5" l="1"/>
  <c r="P18" i="23"/>
  <c r="P40" i="23" s="1"/>
  <c r="Q52" i="31"/>
  <c r="I7" i="6"/>
  <c r="O18" i="23"/>
  <c r="O40" i="23" s="1"/>
  <c r="O26" i="31"/>
  <c r="O52" i="31" s="1"/>
  <c r="D71" i="31"/>
  <c r="L71" i="31" s="1"/>
  <c r="L70" i="31"/>
  <c r="D52" i="31"/>
  <c r="L52" i="31" s="1"/>
  <c r="I16" i="48" l="1"/>
  <c r="I11" i="50" s="1"/>
  <c r="I11" i="49"/>
  <c r="E20" i="10"/>
  <c r="E31" i="10" s="1"/>
  <c r="E20" i="37" l="1"/>
  <c r="E31" i="37" s="1"/>
  <c r="W21" i="49"/>
  <c r="AD21" i="49" s="1"/>
  <c r="W26" i="48"/>
  <c r="AC23" i="43"/>
  <c r="W42" i="49"/>
  <c r="AD42" i="49" s="1"/>
  <c r="W47" i="48"/>
  <c r="F19" i="7"/>
  <c r="F30" i="7" s="1"/>
  <c r="AC44" i="43"/>
  <c r="W29" i="49"/>
  <c r="AD29" i="49" s="1"/>
  <c r="W34" i="48"/>
  <c r="E20" i="8"/>
  <c r="E31" i="8" s="1"/>
  <c r="AC31" i="43"/>
  <c r="W32" i="49"/>
  <c r="AD32" i="49" s="1"/>
  <c r="W37" i="48"/>
  <c r="H20" i="8"/>
  <c r="H31" i="8" s="1"/>
  <c r="AC34" i="43"/>
  <c r="D20" i="10"/>
  <c r="D31" i="10" s="1"/>
  <c r="J6" i="48"/>
  <c r="C15" i="52"/>
  <c r="C13" i="3" s="1"/>
  <c r="I10" i="43"/>
  <c r="W38" i="48"/>
  <c r="I20" i="8"/>
  <c r="I31" i="8" s="1"/>
  <c r="W33" i="49"/>
  <c r="AD33" i="49" s="1"/>
  <c r="AC35" i="43"/>
  <c r="G20" i="37"/>
  <c r="G31" i="37" s="1"/>
  <c r="W28" i="48"/>
  <c r="W23" i="49"/>
  <c r="AD23" i="49" s="1"/>
  <c r="AC25" i="43"/>
  <c r="W36" i="48"/>
  <c r="W31" i="49"/>
  <c r="AD31" i="49" s="1"/>
  <c r="G20" i="8"/>
  <c r="G31" i="8" s="1"/>
  <c r="AC33" i="43"/>
  <c r="E19" i="7"/>
  <c r="E30" i="7" s="1"/>
  <c r="W41" i="49"/>
  <c r="AD41" i="49" s="1"/>
  <c r="W46" i="48"/>
  <c r="AC43" i="43"/>
  <c r="J15" i="48"/>
  <c r="J10" i="50" s="1"/>
  <c r="J10" i="49"/>
  <c r="I15" i="48"/>
  <c r="I10" i="50" s="1"/>
  <c r="I8" i="50" s="1"/>
  <c r="I6" i="50" s="1"/>
  <c r="I10" i="49"/>
  <c r="I8" i="49" s="1"/>
  <c r="H10" i="49"/>
  <c r="H15" i="48"/>
  <c r="H10" i="50" s="1"/>
  <c r="W15" i="48"/>
  <c r="D19" i="5"/>
  <c r="W7" i="48"/>
  <c r="E19" i="13" s="1"/>
  <c r="AC4" i="43"/>
  <c r="AC7" i="43"/>
  <c r="W10" i="48"/>
  <c r="W16" i="48"/>
  <c r="J16" i="48"/>
  <c r="J11" i="50" s="1"/>
  <c r="J11" i="49"/>
  <c r="H16" i="48"/>
  <c r="H11" i="50" s="1"/>
  <c r="H11" i="49"/>
  <c r="E19" i="5"/>
  <c r="W8" i="48"/>
  <c r="F19" i="13" s="1"/>
  <c r="AC5" i="43"/>
  <c r="W11" i="48"/>
  <c r="AC8" i="43"/>
  <c r="C19" i="5"/>
  <c r="I6" i="49" l="1"/>
  <c r="AC13" i="43"/>
  <c r="AD10" i="49"/>
  <c r="AC12" i="43"/>
  <c r="L6" i="29"/>
  <c r="M8" i="23"/>
  <c r="X8" i="23" s="1"/>
  <c r="M8" i="31"/>
  <c r="X8" i="31" s="1"/>
  <c r="C30" i="5"/>
  <c r="H15" i="4" s="1"/>
  <c r="I20" i="18"/>
  <c r="F20" i="18"/>
  <c r="H20" i="18"/>
  <c r="J20" i="18"/>
  <c r="E20" i="18"/>
  <c r="G20" i="18"/>
  <c r="K20" i="18"/>
  <c r="L8" i="29"/>
  <c r="N8" i="29" s="1"/>
  <c r="O8" i="29" s="1"/>
  <c r="E30" i="5"/>
  <c r="J15" i="4" s="1"/>
  <c r="H8" i="49"/>
  <c r="AD11" i="49"/>
  <c r="H8" i="50"/>
  <c r="H6" i="50" s="1"/>
  <c r="J8" i="49"/>
  <c r="W27" i="48"/>
  <c r="F20" i="37"/>
  <c r="F31" i="37" s="1"/>
  <c r="W22" i="49"/>
  <c r="AD22" i="49" s="1"/>
  <c r="AC24" i="43"/>
  <c r="W21" i="48"/>
  <c r="AC18" i="43"/>
  <c r="G20" i="10"/>
  <c r="G31" i="10" s="1"/>
  <c r="AD13" i="49"/>
  <c r="J20" i="16"/>
  <c r="W33" i="50"/>
  <c r="C20" i="10"/>
  <c r="W8" i="49"/>
  <c r="AD9" i="49"/>
  <c r="I20" i="10"/>
  <c r="I31" i="10" s="1"/>
  <c r="AD15" i="49"/>
  <c r="W19" i="48"/>
  <c r="AC16" i="43"/>
  <c r="F20" i="10"/>
  <c r="F31" i="10" s="1"/>
  <c r="AD12" i="49"/>
  <c r="I20" i="16"/>
  <c r="W32" i="50"/>
  <c r="W29" i="50"/>
  <c r="F20" i="16"/>
  <c r="C13" i="52"/>
  <c r="C11" i="3" s="1"/>
  <c r="H6" i="48"/>
  <c r="G10" i="43"/>
  <c r="AC3" i="43"/>
  <c r="W42" i="50"/>
  <c r="G19" i="15"/>
  <c r="W37" i="49"/>
  <c r="AD37" i="49" s="1"/>
  <c r="W42" i="48"/>
  <c r="M20" i="8"/>
  <c r="M31" i="8" s="1"/>
  <c r="AC39" i="43"/>
  <c r="M10" i="31"/>
  <c r="M10" i="23"/>
  <c r="X10" i="23" s="1"/>
  <c r="Y10" i="23" s="1"/>
  <c r="L7" i="29"/>
  <c r="N7" i="29" s="1"/>
  <c r="O7" i="29" s="1"/>
  <c r="D30" i="5"/>
  <c r="I15" i="4" s="1"/>
  <c r="J8" i="50"/>
  <c r="J6" i="50" s="1"/>
  <c r="F19" i="15"/>
  <c r="W41" i="50"/>
  <c r="W31" i="50"/>
  <c r="H20" i="16"/>
  <c r="J20" i="10"/>
  <c r="J31" i="10" s="1"/>
  <c r="AD16" i="49"/>
  <c r="W18" i="48"/>
  <c r="AC15" i="43"/>
  <c r="H20" i="38"/>
  <c r="W23" i="50"/>
  <c r="W14" i="48"/>
  <c r="AC11" i="43"/>
  <c r="I6" i="48"/>
  <c r="H10" i="43"/>
  <c r="C14" i="52"/>
  <c r="C12" i="3" s="1"/>
  <c r="W20" i="48"/>
  <c r="AC17" i="43"/>
  <c r="G13" i="3"/>
  <c r="J13" i="48"/>
  <c r="H13" i="12" s="1"/>
  <c r="D12" i="1"/>
  <c r="E12" i="1" s="1"/>
  <c r="D13" i="12"/>
  <c r="C15" i="54"/>
  <c r="H20" i="10"/>
  <c r="H31" i="10" s="1"/>
  <c r="AD14" i="49"/>
  <c r="W17" i="48"/>
  <c r="AC14" i="43"/>
  <c r="W21" i="50"/>
  <c r="F20" i="38"/>
  <c r="J6" i="49" l="1"/>
  <c r="P15" i="4"/>
  <c r="D19" i="13"/>
  <c r="I13" i="48"/>
  <c r="H12" i="12" s="1"/>
  <c r="D11" i="1"/>
  <c r="E11" i="1" s="1"/>
  <c r="G12" i="3"/>
  <c r="M12" i="31"/>
  <c r="X12" i="31" s="1"/>
  <c r="Y12" i="31" s="1"/>
  <c r="X10" i="31"/>
  <c r="Y10" i="31" s="1"/>
  <c r="G11" i="3"/>
  <c r="H13" i="48"/>
  <c r="H11" i="12" s="1"/>
  <c r="D10" i="1"/>
  <c r="F8" i="31"/>
  <c r="L8" i="31" s="1"/>
  <c r="F8" i="23"/>
  <c r="L8" i="23" s="1"/>
  <c r="Y8" i="23" s="1"/>
  <c r="C15" i="3"/>
  <c r="C15" i="4" s="1"/>
  <c r="H19" i="5"/>
  <c r="H30" i="5" s="1"/>
  <c r="M15" i="4" s="1"/>
  <c r="H19" i="6"/>
  <c r="H30" i="6" s="1"/>
  <c r="W30" i="48"/>
  <c r="I20" i="37"/>
  <c r="I31" i="37" s="1"/>
  <c r="W25" i="49"/>
  <c r="AD25" i="49" s="1"/>
  <c r="AC27" i="43"/>
  <c r="D20" i="37"/>
  <c r="D31" i="37" s="1"/>
  <c r="W25" i="48"/>
  <c r="W20" i="49"/>
  <c r="AD20" i="49" s="1"/>
  <c r="AC22" i="43"/>
  <c r="W30" i="49"/>
  <c r="AD30" i="49" s="1"/>
  <c r="F20" i="8"/>
  <c r="F31" i="8" s="1"/>
  <c r="W35" i="48"/>
  <c r="AC32" i="43"/>
  <c r="C19" i="7"/>
  <c r="W44" i="48"/>
  <c r="V40" i="43"/>
  <c r="W39" i="49"/>
  <c r="AC41" i="43"/>
  <c r="W41" i="48"/>
  <c r="W36" i="49"/>
  <c r="AD36" i="49" s="1"/>
  <c r="L20" i="8"/>
  <c r="L31" i="8" s="1"/>
  <c r="AC38" i="43"/>
  <c r="W29" i="48"/>
  <c r="H20" i="37"/>
  <c r="H31" i="37" s="1"/>
  <c r="W24" i="49"/>
  <c r="AD24" i="49" s="1"/>
  <c r="AC26" i="43"/>
  <c r="W45" i="48"/>
  <c r="W40" i="49"/>
  <c r="AD40" i="49" s="1"/>
  <c r="D19" i="7"/>
  <c r="D30" i="7" s="1"/>
  <c r="AC42" i="43"/>
  <c r="W33" i="48"/>
  <c r="D20" i="8"/>
  <c r="D31" i="8" s="1"/>
  <c r="W28" i="49"/>
  <c r="AD28" i="49" s="1"/>
  <c r="AC30" i="43"/>
  <c r="C20" i="8"/>
  <c r="W32" i="48"/>
  <c r="V28" i="43"/>
  <c r="W27" i="49"/>
  <c r="AC29" i="43"/>
  <c r="W50" i="48"/>
  <c r="D19" i="9"/>
  <c r="D30" i="9" s="1"/>
  <c r="W45" i="49"/>
  <c r="AD45" i="49" s="1"/>
  <c r="AC47" i="43"/>
  <c r="W51" i="48"/>
  <c r="E19" i="9"/>
  <c r="E30" i="9" s="1"/>
  <c r="W46" i="49"/>
  <c r="AD46" i="49" s="1"/>
  <c r="AC48" i="43"/>
  <c r="D12" i="12"/>
  <c r="C14" i="54"/>
  <c r="W40" i="48"/>
  <c r="K20" i="8"/>
  <c r="K31" i="8" s="1"/>
  <c r="W35" i="49"/>
  <c r="AD35" i="49" s="1"/>
  <c r="AC37" i="43"/>
  <c r="W34" i="49"/>
  <c r="AD34" i="49" s="1"/>
  <c r="J20" i="8"/>
  <c r="J31" i="8" s="1"/>
  <c r="W39" i="48"/>
  <c r="AC36" i="43"/>
  <c r="W37" i="50"/>
  <c r="N20" i="16"/>
  <c r="W19" i="49"/>
  <c r="V20" i="43"/>
  <c r="C20" i="37"/>
  <c r="W24" i="48"/>
  <c r="AC21" i="43"/>
  <c r="D11" i="12"/>
  <c r="C13" i="54"/>
  <c r="K20" i="10"/>
  <c r="K31" i="10" s="1"/>
  <c r="C31" i="10"/>
  <c r="W22" i="50"/>
  <c r="G20" i="38"/>
  <c r="H6" i="49"/>
  <c r="AD8" i="49"/>
  <c r="D20" i="18"/>
  <c r="L20" i="18" s="1"/>
  <c r="W8" i="50"/>
  <c r="N6" i="29"/>
  <c r="AC9" i="43" l="1"/>
  <c r="O6" i="29"/>
  <c r="I19" i="13"/>
  <c r="I19" i="14"/>
  <c r="J20" i="37"/>
  <c r="J31" i="37" s="1"/>
  <c r="C31" i="37"/>
  <c r="W18" i="49"/>
  <c r="AD19" i="49"/>
  <c r="K20" i="16"/>
  <c r="W34" i="50"/>
  <c r="W35" i="50"/>
  <c r="L20" i="16"/>
  <c r="F19" i="17"/>
  <c r="W46" i="50"/>
  <c r="W45" i="50"/>
  <c r="E19" i="17"/>
  <c r="D19" i="6"/>
  <c r="W31" i="48"/>
  <c r="E19" i="14" s="1"/>
  <c r="AC28" i="43"/>
  <c r="AI7" i="27" s="1"/>
  <c r="N20" i="8"/>
  <c r="N31" i="8" s="1"/>
  <c r="C31" i="8"/>
  <c r="W28" i="50"/>
  <c r="E20" i="16"/>
  <c r="W40" i="50"/>
  <c r="E19" i="15"/>
  <c r="W24" i="50"/>
  <c r="I20" i="38"/>
  <c r="W36" i="50"/>
  <c r="M20" i="16"/>
  <c r="W38" i="49"/>
  <c r="AD38" i="49" s="1"/>
  <c r="AD39" i="49"/>
  <c r="D19" i="15"/>
  <c r="W39" i="50"/>
  <c r="W20" i="50"/>
  <c r="E20" i="38"/>
  <c r="S15" i="4"/>
  <c r="Y8" i="31"/>
  <c r="L26" i="31"/>
  <c r="E10" i="1"/>
  <c r="D14" i="1"/>
  <c r="E14" i="1" s="1"/>
  <c r="F18" i="23"/>
  <c r="F26" i="31"/>
  <c r="F52" i="31" s="1"/>
  <c r="G15" i="3"/>
  <c r="S18" i="27" s="1"/>
  <c r="D20" i="38"/>
  <c r="W19" i="50"/>
  <c r="C19" i="6"/>
  <c r="W23" i="48"/>
  <c r="G19" i="14" s="1"/>
  <c r="AC20" i="43"/>
  <c r="W44" i="49"/>
  <c r="W49" i="48"/>
  <c r="V45" i="43"/>
  <c r="V19" i="43" s="1"/>
  <c r="C19" i="9"/>
  <c r="AC46" i="43"/>
  <c r="W26" i="49"/>
  <c r="AD26" i="49" s="1"/>
  <c r="AD27" i="49"/>
  <c r="W27" i="50"/>
  <c r="D20" i="16"/>
  <c r="W43" i="48"/>
  <c r="D19" i="14" s="1"/>
  <c r="E19" i="6"/>
  <c r="E30" i="6" s="1"/>
  <c r="AC40" i="43"/>
  <c r="G19" i="7"/>
  <c r="G30" i="7" s="1"/>
  <c r="C30" i="7"/>
  <c r="G20" i="16"/>
  <c r="W30" i="50"/>
  <c r="W25" i="50"/>
  <c r="J20" i="38"/>
  <c r="W38" i="50" l="1"/>
  <c r="AI6" i="27"/>
  <c r="H19" i="15"/>
  <c r="O20" i="16"/>
  <c r="F19" i="6"/>
  <c r="F30" i="6" s="1"/>
  <c r="W48" i="48"/>
  <c r="F19" i="14" s="1"/>
  <c r="AC45" i="43"/>
  <c r="W43" i="49"/>
  <c r="AD43" i="49" s="1"/>
  <c r="AD44" i="49"/>
  <c r="M54" i="31"/>
  <c r="M42" i="23"/>
  <c r="C30" i="6"/>
  <c r="K20" i="38"/>
  <c r="G15" i="4"/>
  <c r="S19" i="27"/>
  <c r="F40" i="23"/>
  <c r="L18" i="23"/>
  <c r="W12" i="48"/>
  <c r="V6" i="43"/>
  <c r="W26" i="50"/>
  <c r="F19" i="9"/>
  <c r="F30" i="9" s="1"/>
  <c r="C30" i="9"/>
  <c r="W44" i="50"/>
  <c r="W43" i="50" s="1"/>
  <c r="D19" i="17"/>
  <c r="G19" i="17" s="1"/>
  <c r="W22" i="48"/>
  <c r="G19" i="6"/>
  <c r="G19" i="5"/>
  <c r="D7" i="2"/>
  <c r="D18" i="2" s="1"/>
  <c r="AC19" i="43"/>
  <c r="W18" i="50"/>
  <c r="M56" i="31"/>
  <c r="X56" i="31" s="1"/>
  <c r="Y56" i="31" s="1"/>
  <c r="M44" i="23"/>
  <c r="X44" i="23" s="1"/>
  <c r="Y44" i="23" s="1"/>
  <c r="D30" i="6"/>
  <c r="AD18" i="49"/>
  <c r="AI8" i="27" l="1"/>
  <c r="AI9" i="27" s="1"/>
  <c r="W17" i="49"/>
  <c r="AD17" i="49" s="1"/>
  <c r="I19" i="5"/>
  <c r="G30" i="5"/>
  <c r="L15" i="4" s="1"/>
  <c r="H19" i="13"/>
  <c r="J19" i="13" s="1"/>
  <c r="H19" i="14"/>
  <c r="J19" i="14" s="1"/>
  <c r="M54" i="23"/>
  <c r="M58" i="23" s="1"/>
  <c r="M59" i="23" s="1"/>
  <c r="X42" i="23"/>
  <c r="W17" i="50"/>
  <c r="W6" i="50" s="1"/>
  <c r="E7" i="2"/>
  <c r="E18" i="2"/>
  <c r="I19" i="6"/>
  <c r="I30" i="6" s="1"/>
  <c r="G30" i="6"/>
  <c r="F19" i="5"/>
  <c r="W9" i="48"/>
  <c r="G19" i="13" s="1"/>
  <c r="AC6" i="43"/>
  <c r="V10" i="43"/>
  <c r="M66" i="31"/>
  <c r="M70" i="31" s="1"/>
  <c r="M71" i="31" s="1"/>
  <c r="X54" i="31"/>
  <c r="W6" i="49" l="1"/>
  <c r="AD6" i="49" s="1"/>
  <c r="AJ8" i="27"/>
  <c r="AJ6" i="27"/>
  <c r="AJ7" i="27"/>
  <c r="W13" i="48"/>
  <c r="AC10" i="43"/>
  <c r="Y42" i="23"/>
  <c r="X54" i="23"/>
  <c r="X66" i="31"/>
  <c r="Y54" i="31"/>
  <c r="L10" i="29"/>
  <c r="M14" i="23"/>
  <c r="X14" i="23" s="1"/>
  <c r="M22" i="31"/>
  <c r="X22" i="31" s="1"/>
  <c r="M51" i="31"/>
  <c r="X51" i="31" s="1"/>
  <c r="Y51" i="31" s="1"/>
  <c r="F30" i="5"/>
  <c r="K15" i="4" s="1"/>
  <c r="M18" i="23"/>
  <c r="M40" i="23" s="1"/>
  <c r="X40" i="23" s="1"/>
  <c r="Y40" i="23" s="1"/>
  <c r="M26" i="31"/>
  <c r="I30" i="5"/>
  <c r="N15" i="4" s="1"/>
  <c r="M52" i="31" l="1"/>
  <c r="X52" i="31" s="1"/>
  <c r="Y52" i="31" s="1"/>
  <c r="Y14" i="23"/>
  <c r="X18" i="23"/>
  <c r="Y18" i="23" s="1"/>
  <c r="Y54" i="23"/>
  <c r="X58" i="23"/>
  <c r="U15" i="4"/>
  <c r="T15" i="4"/>
  <c r="O15" i="4"/>
  <c r="Q15" i="4" s="1"/>
  <c r="X26" i="31"/>
  <c r="Y26" i="31" s="1"/>
  <c r="Y22" i="31"/>
  <c r="N10" i="29"/>
  <c r="L11" i="29"/>
  <c r="X70" i="31"/>
  <c r="Y66" i="31"/>
  <c r="V15" i="4" l="1"/>
  <c r="W15" i="4" s="1"/>
  <c r="Y58" i="23"/>
  <c r="Y59" i="23" s="1"/>
  <c r="X59" i="23"/>
  <c r="Y70" i="31"/>
  <c r="Y71" i="31" s="1"/>
  <c r="X71" i="31"/>
  <c r="O10" i="29"/>
  <c r="O11" i="29" s="1"/>
  <c r="N11" i="29"/>
</calcChain>
</file>

<file path=xl/sharedStrings.xml><?xml version="1.0" encoding="utf-8"?>
<sst xmlns="http://schemas.openxmlformats.org/spreadsheetml/2006/main" count="1977" uniqueCount="633">
  <si>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</si>
  <si>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</si>
  <si>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</si>
  <si>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 xml:space="preserve">Dentro del consumo final, el Sector Energético, incluye el auto consumo de energía de los centros de transformación. </t>
  </si>
  <si>
    <t>Para este formato, el coque se desagregó en coque mineral y coque de petróleo. El gas corriente se desagregó en gas coque y gas corriente (gas de ciudad). Además se agregan los Derivados Industriales de petróleo (D.I. de petróleo) de consumo no energético.</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</si>
  <si>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</si>
  <si>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</si>
  <si>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Este balance de energía, es una adaptación del formato de la Agencia Internacional de Energía (AIE), que representa el flujo de energía global del país, tanto a nivel primario como secundario.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</si>
  <si>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</si>
  <si>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CTR de refinería de petróleo - gas natural, transforma petróleo crudo en derivados, y extrae gas natural (ENAP).</t>
  </si>
  <si>
    <t>ENERGÉTICOS PRIMARIOS</t>
  </si>
  <si>
    <t>DERIVADOS DE PETRÓLEO</t>
  </si>
  <si>
    <t>DERIVADOS DE CARBÓN</t>
  </si>
  <si>
    <t>CONSUMO FINAL</t>
  </si>
  <si>
    <t>C.TRANSFO.</t>
  </si>
  <si>
    <t>(*) Se incluyen las Gasolinas 93, 95 y 97</t>
  </si>
  <si>
    <t xml:space="preserve">(*) Se incluyen las Gasolinas 93, 95 y 97 </t>
  </si>
  <si>
    <t>%</t>
  </si>
  <si>
    <t>CARBON</t>
  </si>
  <si>
    <t>TOTAL</t>
  </si>
  <si>
    <t>PRODUCCION</t>
  </si>
  <si>
    <t>IMPORTACION</t>
  </si>
  <si>
    <t>EXPORTACION</t>
  </si>
  <si>
    <t>CONSUMO</t>
  </si>
  <si>
    <t>BRUTA</t>
  </si>
  <si>
    <t xml:space="preserve">PERD+CIERRE </t>
  </si>
  <si>
    <t>BRUTO</t>
  </si>
  <si>
    <t>V. STOCK +</t>
  </si>
  <si>
    <t>PERD Y CIERRE</t>
  </si>
  <si>
    <t xml:space="preserve"> FINAL</t>
  </si>
  <si>
    <t xml:space="preserve"> TOTAL</t>
  </si>
  <si>
    <t>DIESEL</t>
  </si>
  <si>
    <t>Transporte</t>
  </si>
  <si>
    <t>Total</t>
  </si>
  <si>
    <t>RESIDENCIAL</t>
  </si>
  <si>
    <t>Solventes</t>
  </si>
  <si>
    <t>Asfalto</t>
  </si>
  <si>
    <t>GWh</t>
  </si>
  <si>
    <t>Kerosene</t>
  </si>
  <si>
    <t>Gas</t>
  </si>
  <si>
    <t>Nafta</t>
  </si>
  <si>
    <t>Carbón</t>
  </si>
  <si>
    <t>Biogás</t>
  </si>
  <si>
    <t>Alquitrán</t>
  </si>
  <si>
    <t>-</t>
  </si>
  <si>
    <t>Ferroviario</t>
  </si>
  <si>
    <t>Marítimo</t>
  </si>
  <si>
    <t>Aéreo</t>
  </si>
  <si>
    <t>Cobre</t>
  </si>
  <si>
    <t>Salitre</t>
  </si>
  <si>
    <t>Hierro</t>
  </si>
  <si>
    <t>Papel y Celulosa</t>
  </si>
  <si>
    <t>Siderurgia</t>
  </si>
  <si>
    <t>Petroquímica</t>
  </si>
  <si>
    <t>Cemento</t>
  </si>
  <si>
    <t>Azúcar</t>
  </si>
  <si>
    <t>Pesca</t>
  </si>
  <si>
    <t>Industrias Varias</t>
  </si>
  <si>
    <t>Minas Varias</t>
  </si>
  <si>
    <t>Comercial</t>
  </si>
  <si>
    <t>Público</t>
  </si>
  <si>
    <t>Residencial</t>
  </si>
  <si>
    <t>Consumo Final</t>
  </si>
  <si>
    <t>Carbón y Leña</t>
  </si>
  <si>
    <t>Consumo Total</t>
  </si>
  <si>
    <t>Metanol</t>
  </si>
  <si>
    <t xml:space="preserve"> </t>
  </si>
  <si>
    <t xml:space="preserve">       </t>
  </si>
  <si>
    <t>O L A D E</t>
  </si>
  <si>
    <t xml:space="preserve">     Unidad de medida :</t>
  </si>
  <si>
    <t>Tcal</t>
  </si>
  <si>
    <t>Energia Primaria</t>
  </si>
  <si>
    <t xml:space="preserve">   Energia Secundaria</t>
  </si>
  <si>
    <t>A Ñ O :</t>
  </si>
  <si>
    <t xml:space="preserve">   GAS</t>
  </si>
  <si>
    <t xml:space="preserve"> HIDRO</t>
  </si>
  <si>
    <t>GEO</t>
  </si>
  <si>
    <t xml:space="preserve">  LEÑA</t>
  </si>
  <si>
    <t>PROD</t>
  </si>
  <si>
    <t xml:space="preserve"> OTRAS</t>
  </si>
  <si>
    <t xml:space="preserve">  TOTAL</t>
  </si>
  <si>
    <t xml:space="preserve">  ELEC</t>
  </si>
  <si>
    <t>GASOLI</t>
  </si>
  <si>
    <t xml:space="preserve">  KERO</t>
  </si>
  <si>
    <t xml:space="preserve">  FUEL</t>
  </si>
  <si>
    <t>COQUE</t>
  </si>
  <si>
    <t xml:space="preserve"> GASES</t>
  </si>
  <si>
    <t xml:space="preserve">    NO </t>
  </si>
  <si>
    <t xml:space="preserve">   LEO</t>
  </si>
  <si>
    <t xml:space="preserve">    DE</t>
  </si>
  <si>
    <t xml:space="preserve"> NA/AL</t>
  </si>
  <si>
    <t xml:space="preserve">  SENE</t>
  </si>
  <si>
    <t xml:space="preserve">   OIL</t>
  </si>
  <si>
    <t>VEGETAL</t>
  </si>
  <si>
    <t>ENERGE</t>
  </si>
  <si>
    <t xml:space="preserve">  SECUN</t>
  </si>
  <si>
    <t xml:space="preserve"> CAÑA</t>
  </si>
  <si>
    <t xml:space="preserve"> COHOL</t>
  </si>
  <si>
    <t xml:space="preserve"> TURBO</t>
  </si>
  <si>
    <t xml:space="preserve"> TICOS</t>
  </si>
  <si>
    <t>T</t>
  </si>
  <si>
    <t>VARIACION INVENTARIO</t>
  </si>
  <si>
    <t>NO APROVECHADO</t>
  </si>
  <si>
    <t>OFERTA TOTAL</t>
  </si>
  <si>
    <t>REFINERIA</t>
  </si>
  <si>
    <t>CENTRALES ELECTRICAS</t>
  </si>
  <si>
    <t>AUTOPRODUCTORES</t>
  </si>
  <si>
    <t>CENTRO DE GAS</t>
  </si>
  <si>
    <t>CARBONERA</t>
  </si>
  <si>
    <t>COQUERIA/ALTO HORNO</t>
  </si>
  <si>
    <t>M</t>
  </si>
  <si>
    <t>DESTILERIA</t>
  </si>
  <si>
    <t>OTROS CENTROS</t>
  </si>
  <si>
    <t>TOTAL TRANSFORMACION</t>
  </si>
  <si>
    <t>CONSUMO PROPIO</t>
  </si>
  <si>
    <t>PERDIDAS(TR,AL,DI)</t>
  </si>
  <si>
    <t>AJUSTE</t>
  </si>
  <si>
    <t>TRANSPORTE</t>
  </si>
  <si>
    <t>INDUSTRIAL</t>
  </si>
  <si>
    <t>COMERCIAL,PUB,SERV.</t>
  </si>
  <si>
    <t>AGRO,PESCA,MINERIA</t>
  </si>
  <si>
    <t>CONSTRUCCION Y OTROS</t>
  </si>
  <si>
    <t>CONSUMO ENERGETICO</t>
  </si>
  <si>
    <t>CONS NO ENERGETICO</t>
  </si>
  <si>
    <t xml:space="preserve">CONSUMO FINAL </t>
  </si>
  <si>
    <t>Petróleo Crudo</t>
  </si>
  <si>
    <t>Electricidad</t>
  </si>
  <si>
    <t>Consumo Sectorial</t>
  </si>
  <si>
    <t>Sectores</t>
  </si>
  <si>
    <t>Industrial y Minero</t>
  </si>
  <si>
    <t>Comercial Público Residencial</t>
  </si>
  <si>
    <t>Considera electricidad con equivalente calórico de 860 Kcal/KWh.</t>
  </si>
  <si>
    <t>Dependencia Energética</t>
  </si>
  <si>
    <t xml:space="preserve"> Teracalorías</t>
  </si>
  <si>
    <t>Origen</t>
  </si>
  <si>
    <t>Gas Natural</t>
  </si>
  <si>
    <t>Coal</t>
  </si>
  <si>
    <t>Crude</t>
  </si>
  <si>
    <t>Petrole.</t>
  </si>
  <si>
    <t xml:space="preserve">Town </t>
  </si>
  <si>
    <t>Hydro</t>
  </si>
  <si>
    <t>Nuclear</t>
  </si>
  <si>
    <t>Geother</t>
  </si>
  <si>
    <t>Electricity</t>
  </si>
  <si>
    <t>Heat</t>
  </si>
  <si>
    <t>Product</t>
  </si>
  <si>
    <t>Oil</t>
  </si>
  <si>
    <t>Products</t>
  </si>
  <si>
    <t>Nat.</t>
  </si>
  <si>
    <t>Solar, etc</t>
  </si>
  <si>
    <t>1.- Indigenous Production</t>
  </si>
  <si>
    <t>2.- Import</t>
  </si>
  <si>
    <t>3.- Export</t>
  </si>
  <si>
    <t>4.- International Marine Bunkers</t>
  </si>
  <si>
    <t>5.- Stock Changes</t>
  </si>
  <si>
    <t>6.- Total Primary Energy Supply</t>
  </si>
  <si>
    <t>7.- Public Electricity</t>
  </si>
  <si>
    <t>8.- Autoprod. of Electricity</t>
  </si>
  <si>
    <t>9.- Gas Procesing</t>
  </si>
  <si>
    <t>10.- Petroleum Refineries</t>
  </si>
  <si>
    <t>11.- Coal Transformation</t>
  </si>
  <si>
    <t>12.- Loss &amp; Own Use</t>
  </si>
  <si>
    <t>15.- Industry Sector</t>
  </si>
  <si>
    <t>16.- Transport Sector</t>
  </si>
  <si>
    <t>17.- Other Sector (Mining)</t>
  </si>
  <si>
    <t>18.- Agriculture</t>
  </si>
  <si>
    <t>19.- Residential &amp; Commercial</t>
  </si>
  <si>
    <t>21.- Non-Energy</t>
  </si>
  <si>
    <t>Others</t>
  </si>
  <si>
    <t>14.- Total Transformation Energy</t>
  </si>
  <si>
    <t>22.- Total Final Energy</t>
  </si>
  <si>
    <t>23.- Total Energy</t>
  </si>
  <si>
    <t>Total Secundary Energy</t>
  </si>
  <si>
    <t>Notes:</t>
  </si>
  <si>
    <t>Others:  High Furnance gas (gas de altos hornos)+ methanol (metanol)</t>
  </si>
  <si>
    <t xml:space="preserve">13.- Discrepancy </t>
  </si>
  <si>
    <t>The Gap in Natural Gas is the absorved gas</t>
  </si>
  <si>
    <t>The Gap in Petrole Productos is the non energy products</t>
  </si>
  <si>
    <t>Coal Products: coke + alquitran</t>
  </si>
  <si>
    <t>(*) This result does not consider Crude oil neither non - energy</t>
  </si>
  <si>
    <t>(*)</t>
  </si>
  <si>
    <t>APEC  BALANCE</t>
  </si>
  <si>
    <t>TERMIA</t>
  </si>
  <si>
    <t>NUCLEAR</t>
  </si>
  <si>
    <t xml:space="preserve">             OFERTA</t>
  </si>
  <si>
    <t xml:space="preserve">                   TRANSFORMACIÓN</t>
  </si>
  <si>
    <t xml:space="preserve">                     CONSUMO   FINAL</t>
  </si>
  <si>
    <t xml:space="preserve"> PETRO</t>
  </si>
  <si>
    <t xml:space="preserve">  NATUTAL</t>
  </si>
  <si>
    <t xml:space="preserve">  MINERAL</t>
  </si>
  <si>
    <t xml:space="preserve">  ENERGIA</t>
  </si>
  <si>
    <t xml:space="preserve">  PRIMARIA</t>
  </si>
  <si>
    <t xml:space="preserve"> TRICIDAD</t>
  </si>
  <si>
    <t xml:space="preserve"> LICUADO</t>
  </si>
  <si>
    <t>CONSUMO TOTAL</t>
  </si>
  <si>
    <t>Notas:</t>
  </si>
  <si>
    <t>(1) Gasolina/Alcohol = gas93SP + gas93CP + gasolina aviación</t>
  </si>
  <si>
    <t>(2) Kerosene Turbo = Kerosene + Kerosene aviación</t>
  </si>
  <si>
    <t>(3) Gases = Gas de refinería + Gas corriente + Gas Alto Horno</t>
  </si>
  <si>
    <t>(4) Otros = Nafta + Metanol + Alquitran</t>
  </si>
  <si>
    <t>(5) El consumo total de energía primaria de cuadro 3, equivale a la oferta total del Total Primario de este cuadro.</t>
  </si>
  <si>
    <t>M E R C O S U R</t>
  </si>
  <si>
    <t xml:space="preserve">         INTRA MERCOSUR</t>
  </si>
  <si>
    <t xml:space="preserve">         EXTRA MERCOSUR</t>
  </si>
  <si>
    <t xml:space="preserve">         Hidroeléctrica</t>
  </si>
  <si>
    <t xml:space="preserve">         Térmica</t>
  </si>
  <si>
    <t xml:space="preserve">                                 OFERTA</t>
  </si>
  <si>
    <t xml:space="preserve">                               TRANSFORMACIÓN</t>
  </si>
  <si>
    <t>descontando los no energéticos</t>
  </si>
  <si>
    <t xml:space="preserve">(6) El consumo de energia Total total secundaria de cuadro 4, equivale al consumo total de este cuadro </t>
  </si>
  <si>
    <t>BALANCE NACIONAL</t>
  </si>
  <si>
    <t>Santiago - Chile</t>
  </si>
  <si>
    <t>Ton/m3</t>
  </si>
  <si>
    <t xml:space="preserve">  (**)</t>
  </si>
  <si>
    <t>(*)     Promedio Isla, Continente y Costa Afuera</t>
  </si>
  <si>
    <t>(**)    KCal/m3</t>
  </si>
  <si>
    <t>(1) Equivalente Calórico práctico para Chile 2.750 KCal/KWh hasta 1997</t>
  </si>
  <si>
    <t>(1) Equivalente Calórico práctico para Chile 2.504 KCal/KWh desde 1998</t>
  </si>
  <si>
    <t>(Nota: E + x = 10 elevado a x )</t>
  </si>
  <si>
    <t>(Bpe = Barril de Petroleo Equivalente, Balance)</t>
  </si>
  <si>
    <t>GW</t>
  </si>
  <si>
    <t>K</t>
  </si>
  <si>
    <t>G</t>
  </si>
  <si>
    <t>P</t>
  </si>
  <si>
    <t>fuente de la Cámara de Comercio de Santiago.</t>
  </si>
  <si>
    <t xml:space="preserve">(7) Porcentajes de exportaciones/importaciones dentro o fuera del Mercosur, se obtuvieron con </t>
  </si>
  <si>
    <t>CUADRO1</t>
  </si>
  <si>
    <t>CUADRO2</t>
  </si>
  <si>
    <t>INDICE</t>
  </si>
  <si>
    <t>VOLVER A INDICE</t>
  </si>
  <si>
    <t>CUADRO3</t>
  </si>
  <si>
    <t>A. Balance Calórico (Teracalorías)</t>
  </si>
  <si>
    <t>CUADRO4</t>
  </si>
  <si>
    <t>CUADRO5</t>
  </si>
  <si>
    <t>CUADRO6</t>
  </si>
  <si>
    <t>CUADRO7</t>
  </si>
  <si>
    <t>CUADRO8</t>
  </si>
  <si>
    <t>CUADRO9</t>
  </si>
  <si>
    <t>CUADRO10</t>
  </si>
  <si>
    <t>B. Balance Físico (Unidades Físicas)</t>
  </si>
  <si>
    <t>CUADRO11</t>
  </si>
  <si>
    <t>CUADRO12</t>
  </si>
  <si>
    <t>CUADRO13</t>
  </si>
  <si>
    <t>CUADRO14</t>
  </si>
  <si>
    <t>CUADRO15</t>
  </si>
  <si>
    <t>CUADRO16</t>
  </si>
  <si>
    <t>CUADRO17</t>
  </si>
  <si>
    <t>CUADRO18</t>
  </si>
  <si>
    <t>CUADRO19</t>
  </si>
  <si>
    <t>CUADRO20</t>
  </si>
  <si>
    <t>CUADROA2</t>
  </si>
  <si>
    <t>CUADROA3</t>
  </si>
  <si>
    <t xml:space="preserve">(6) El consumo de energia  total secundaria de cuadro 4, equivale al consumo total de este cuadro </t>
  </si>
  <si>
    <t>Energético</t>
  </si>
  <si>
    <t>CUADRO21</t>
  </si>
  <si>
    <t>Nota 4: El Consumo Total equivale a la suma del Consumo Final y Consumo en Centros de Transformación</t>
  </si>
  <si>
    <t>20.- Other: Energy sector</t>
  </si>
  <si>
    <t>Heat is  wood and wood waste</t>
  </si>
  <si>
    <t>Hydro is included in Electricity</t>
  </si>
  <si>
    <t xml:space="preserve">  DARIA '</t>
  </si>
  <si>
    <t xml:space="preserve">  DARIA'</t>
  </si>
  <si>
    <t>Energy Balance Table of Chile 2004</t>
  </si>
  <si>
    <t>(1) Incluye a Generadoras de Servicio Público y Auto Generadoras</t>
  </si>
  <si>
    <t>(2) Incluye a la Siderurgia y a Plantas de Gas Corriente</t>
  </si>
  <si>
    <t>(3) Incluye el consumo de carboneras.</t>
  </si>
  <si>
    <t>(4) Planta  elaboradora de Metanol</t>
  </si>
  <si>
    <t>ITEM</t>
  </si>
  <si>
    <t>Energía Hídrica</t>
  </si>
  <si>
    <t>Energía Eólica</t>
  </si>
  <si>
    <t>Petróleo Diesel</t>
  </si>
  <si>
    <t>Petróleo Combustible</t>
  </si>
  <si>
    <t>Gas Licuado</t>
  </si>
  <si>
    <t>Gasolina de Aviación</t>
  </si>
  <si>
    <t>Kerosene de Aviación</t>
  </si>
  <si>
    <t>Gas de Refinería</t>
  </si>
  <si>
    <t>Coque de Petróleo</t>
  </si>
  <si>
    <t>D.I. de Petróleo</t>
  </si>
  <si>
    <t>Gas Coque</t>
  </si>
  <si>
    <t>Gas de Altos Hornos</t>
  </si>
  <si>
    <t>Gas Corriente</t>
  </si>
  <si>
    <t>Importación</t>
  </si>
  <si>
    <t>Exportación</t>
  </si>
  <si>
    <t>Plantas de Gas</t>
  </si>
  <si>
    <t>Sector Energético: Auto Consumo</t>
  </si>
  <si>
    <t>Sector Industrial y Minero</t>
  </si>
  <si>
    <t>Sector Transporte</t>
  </si>
  <si>
    <t>Sector Comercial, Público y Residencial</t>
  </si>
  <si>
    <t>Cons. No Energético - Industrial</t>
  </si>
  <si>
    <t xml:space="preserve">Notas: </t>
  </si>
  <si>
    <t>Producción Primaria</t>
  </si>
  <si>
    <t>Oferta Total</t>
  </si>
  <si>
    <t>La producción primaria corresponde a la producción de energía que proviene de recursos naturales o primarios.</t>
  </si>
  <si>
    <t>Coque Mineral</t>
  </si>
  <si>
    <t>Fuente: Encuestas a empresas del sector energía e industrias intensivas en consumo energético</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</si>
  <si>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</si>
  <si>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PRIMARIO</t>
  </si>
  <si>
    <t>SECUNDARIO</t>
  </si>
  <si>
    <t>CENT. DE TR.</t>
  </si>
  <si>
    <t>TPES</t>
  </si>
  <si>
    <t>IMP</t>
  </si>
  <si>
    <t>IMP/TPES</t>
  </si>
  <si>
    <t>NAC</t>
  </si>
  <si>
    <t>PRIM</t>
  </si>
  <si>
    <t>PROD/(PROD+IMP)</t>
  </si>
  <si>
    <t>INT</t>
  </si>
  <si>
    <t>TOT</t>
  </si>
  <si>
    <t>INT/TPES</t>
  </si>
  <si>
    <t>NETAS</t>
  </si>
  <si>
    <t>Importaciones netas</t>
  </si>
  <si>
    <t>Consumo total de energía *</t>
  </si>
  <si>
    <t>Imp.Netas/ Consumo Total</t>
  </si>
  <si>
    <t>La aporte de energía eléctrica se consideró con un equivalente de 860 Kcal/KWh</t>
  </si>
  <si>
    <t>Elaborado por la División de Prospectiva</t>
  </si>
  <si>
    <r>
      <rPr>
        <b/>
        <sz val="10"/>
        <rFont val="Arial"/>
        <family val="2"/>
      </rPr>
      <t>1.</t>
    </r>
    <r>
      <rPr>
        <sz val="10"/>
        <rFont val="Arial"/>
        <family val="2"/>
      </rPr>
      <t xml:space="preserve"> Variación Consumo Bruto Energía Primaria.</t>
    </r>
  </si>
  <si>
    <r>
      <rPr>
        <b/>
        <sz val="10"/>
        <rFont val="Arial"/>
        <family val="2"/>
      </rPr>
      <t>5.</t>
    </r>
    <r>
      <rPr>
        <sz val="10"/>
        <rFont val="Arial"/>
        <family val="2"/>
      </rPr>
      <t xml:space="preserve"> Distribución Consumo Total.</t>
    </r>
  </si>
  <si>
    <r>
      <rPr>
        <b/>
        <sz val="10"/>
        <rFont val="Arial"/>
        <family val="2"/>
      </rPr>
      <t xml:space="preserve">6. </t>
    </r>
    <r>
      <rPr>
        <sz val="10"/>
        <rFont val="Arial"/>
        <family val="2"/>
      </rPr>
      <t>Distribución Consumo sector Transporte.</t>
    </r>
  </si>
  <si>
    <r>
      <rPr>
        <b/>
        <sz val="10"/>
        <rFont val="Arial"/>
        <family val="2"/>
      </rPr>
      <t>7.</t>
    </r>
    <r>
      <rPr>
        <sz val="10"/>
        <rFont val="Arial"/>
        <family val="2"/>
      </rPr>
      <t xml:space="preserve"> Distribución Consumo sector Industrial y Minero.</t>
    </r>
  </si>
  <si>
    <r>
      <rPr>
        <b/>
        <sz val="10"/>
        <rFont val="Arial"/>
        <family val="2"/>
      </rPr>
      <t>8.</t>
    </r>
    <r>
      <rPr>
        <sz val="10"/>
        <rFont val="Arial"/>
        <family val="2"/>
      </rPr>
      <t xml:space="preserve"> Distribución Consumo sector Residencial.</t>
    </r>
  </si>
  <si>
    <r>
      <rPr>
        <b/>
        <sz val="10"/>
        <rFont val="Arial"/>
        <family val="2"/>
      </rPr>
      <t>9.</t>
    </r>
    <r>
      <rPr>
        <sz val="10"/>
        <rFont val="Arial"/>
        <family val="2"/>
      </rPr>
      <t xml:space="preserve"> Distribución Consumo del Sector Energético</t>
    </r>
  </si>
  <si>
    <r>
      <rPr>
        <b/>
        <sz val="10"/>
        <rFont val="Arial"/>
        <family val="2"/>
      </rPr>
      <t xml:space="preserve">10. </t>
    </r>
    <r>
      <rPr>
        <sz val="10"/>
        <rFont val="Arial"/>
        <family val="2"/>
      </rPr>
      <t>Distribución Consumo sector Centros de Transformación.</t>
    </r>
  </si>
  <si>
    <r>
      <t xml:space="preserve">12. </t>
    </r>
    <r>
      <rPr>
        <sz val="10"/>
        <rFont val="Arial"/>
        <family val="2"/>
      </rPr>
      <t>Cuadro consolidado de consumos sectoriales</t>
    </r>
  </si>
  <si>
    <r>
      <t>13.</t>
    </r>
    <r>
      <rPr>
        <sz val="10"/>
        <rFont val="Arial"/>
        <family val="2"/>
      </rPr>
      <t xml:space="preserve"> Balance de Energía Global</t>
    </r>
  </si>
  <si>
    <r>
      <rPr>
        <b/>
        <sz val="10"/>
        <rFont val="Arial"/>
        <family val="2"/>
      </rPr>
      <t>3.</t>
    </r>
    <r>
      <rPr>
        <sz val="10"/>
        <rFont val="Arial"/>
        <family val="2"/>
      </rPr>
      <t xml:space="preserve"> Distribución Consumo Total.</t>
    </r>
  </si>
  <si>
    <r>
      <rPr>
        <b/>
        <sz val="10"/>
        <rFont val="Arial"/>
        <family val="2"/>
      </rPr>
      <t xml:space="preserve">4. </t>
    </r>
    <r>
      <rPr>
        <sz val="10"/>
        <rFont val="Arial"/>
        <family val="2"/>
      </rPr>
      <t>Distribución Consumo Sector Transporte.</t>
    </r>
  </si>
  <si>
    <r>
      <rPr>
        <b/>
        <sz val="10"/>
        <rFont val="Arial"/>
        <family val="2"/>
      </rPr>
      <t>5.</t>
    </r>
    <r>
      <rPr>
        <sz val="10"/>
        <rFont val="Arial"/>
        <family val="2"/>
      </rPr>
      <t xml:space="preserve"> Distribución Consumo Sector Industrial y Minero.</t>
    </r>
  </si>
  <si>
    <r>
      <rPr>
        <b/>
        <sz val="10"/>
        <rFont val="Arial"/>
        <family val="2"/>
      </rPr>
      <t>6.</t>
    </r>
    <r>
      <rPr>
        <sz val="10"/>
        <rFont val="Arial"/>
        <family val="2"/>
      </rPr>
      <t xml:space="preserve">  Distribución Consumo sector Residencial.</t>
    </r>
  </si>
  <si>
    <r>
      <rPr>
        <b/>
        <sz val="10"/>
        <rFont val="Arial"/>
        <family val="2"/>
      </rPr>
      <t xml:space="preserve">7. </t>
    </r>
    <r>
      <rPr>
        <sz val="10"/>
        <rFont val="Arial"/>
        <family val="2"/>
      </rPr>
      <t>Distribución Consumo del Sector Energético</t>
    </r>
  </si>
  <si>
    <r>
      <rPr>
        <b/>
        <sz val="10"/>
        <rFont val="Arial"/>
        <family val="2"/>
      </rPr>
      <t xml:space="preserve">8. </t>
    </r>
    <r>
      <rPr>
        <sz val="10"/>
        <rFont val="Arial"/>
        <family val="2"/>
      </rPr>
      <t>Distribución en Centros de Transformación.</t>
    </r>
  </si>
  <si>
    <r>
      <t xml:space="preserve">11. </t>
    </r>
    <r>
      <rPr>
        <sz val="10"/>
        <rFont val="Arial"/>
        <family val="2"/>
      </rPr>
      <t>Cuadro consolidado de consumos sectoriales</t>
    </r>
  </si>
  <si>
    <r>
      <rPr>
        <b/>
        <sz val="10"/>
        <rFont val="Arial"/>
        <family val="2"/>
      </rPr>
      <t>1.</t>
    </r>
    <r>
      <rPr>
        <sz val="10"/>
        <rFont val="Arial"/>
        <family val="2"/>
      </rPr>
      <t xml:space="preserve"> Evolución Energía Primaria, Secundaria y  Consumo Sectorial.</t>
    </r>
  </si>
  <si>
    <t>Gasolina de Motor (*)</t>
  </si>
  <si>
    <t xml:space="preserve">Contacto: </t>
  </si>
  <si>
    <t>bne@minenergia.cl</t>
  </si>
  <si>
    <t>Terrestre</t>
  </si>
  <si>
    <t>Electricidad Incluye a Generadoras de Servicio Público y Auto Generadoras</t>
  </si>
  <si>
    <t>Carbon y Leña Incluye el consumo de carboneras.</t>
  </si>
  <si>
    <t>Gas Natural y Metanol considera Planta  elaboradora de Metanol</t>
  </si>
  <si>
    <t>Sector Centros de Transforamcion</t>
  </si>
  <si>
    <t xml:space="preserve">internacional de generación de balances equivalente a 860 Kcal/Kwh </t>
  </si>
  <si>
    <t>C. Anexos</t>
  </si>
  <si>
    <t>Var.Stock + Perdidas + Error Est.</t>
  </si>
  <si>
    <t>Alquitrán (***)</t>
  </si>
  <si>
    <t>Sector Comercial, Público, Residencial (CPR)</t>
  </si>
  <si>
    <t>Años</t>
  </si>
  <si>
    <t>Variación</t>
  </si>
  <si>
    <t>Total Derivados de Petróleo</t>
  </si>
  <si>
    <t>[TeraCalorías]</t>
  </si>
  <si>
    <t>(Unidades Físicas)</t>
  </si>
  <si>
    <t xml:space="preserve">Nota 3: El Consumo Final equivale a la suma de los sectores: Transporte, Industrial y Minero (IyM), Com.Pub.Res. y Energético </t>
  </si>
  <si>
    <t>Nota 2: CPR corresponde al sector Comercial, Público y Residencial.</t>
  </si>
  <si>
    <t>Carbón y Leña Incluye el consumo de carboneras.</t>
  </si>
  <si>
    <t>Producto</t>
  </si>
  <si>
    <t>Densidades y Poderes Caloríficos</t>
  </si>
  <si>
    <t>Utilizados en el Balance</t>
  </si>
  <si>
    <t>Petróleo Crudo Importado</t>
  </si>
  <si>
    <t>Petróleo Crudo Nacional</t>
  </si>
  <si>
    <t>Petróleo Combustible 5</t>
  </si>
  <si>
    <t>Petróleo Combustible IFO 180</t>
  </si>
  <si>
    <t>Petróleo Combustible  6</t>
  </si>
  <si>
    <t>Gas Natural Procesado</t>
  </si>
  <si>
    <t>Coque</t>
  </si>
  <si>
    <t>Tabla de Conversión unidades energéticas</t>
  </si>
  <si>
    <t xml:space="preserve">     Internacionales  (OLADE) (*)</t>
  </si>
  <si>
    <t>Tjoule</t>
  </si>
  <si>
    <t>Tep</t>
  </si>
  <si>
    <t>Beep</t>
  </si>
  <si>
    <t>MWh</t>
  </si>
  <si>
    <t>Kg GLP</t>
  </si>
  <si>
    <r>
      <t>(Millones m</t>
    </r>
    <r>
      <rPr>
        <vertAlign val="superscript"/>
        <sz val="10"/>
        <color indexed="8"/>
        <rFont val="Arial"/>
        <family val="2"/>
      </rPr>
      <t>3</t>
    </r>
    <r>
      <rPr>
        <sz val="10"/>
        <color indexed="8"/>
        <rFont val="Arial"/>
        <family val="2"/>
      </rPr>
      <t>)</t>
    </r>
  </si>
  <si>
    <t>Sector Energético</t>
  </si>
  <si>
    <t>Electricidad incluye a Generadoras de Servicio Público y Auto Generadoras</t>
  </si>
  <si>
    <t>Carbón y Leña incluye el consumo de carboneras.</t>
  </si>
  <si>
    <t>Gas Natural y Metanol: Planta elaboradora de Metanol</t>
  </si>
  <si>
    <r>
      <t>10E+3</t>
    </r>
    <r>
      <rPr>
        <b/>
        <vertAlign val="superscript"/>
        <sz val="10"/>
        <rFont val="Arial"/>
        <family val="2"/>
      </rPr>
      <t xml:space="preserve"> </t>
    </r>
    <r>
      <rPr>
        <b/>
        <sz val="10"/>
        <rFont val="Arial"/>
        <family val="2"/>
      </rPr>
      <t>BTU</t>
    </r>
  </si>
  <si>
    <r>
      <t>10</t>
    </r>
    <r>
      <rPr>
        <vertAlign val="superscript"/>
        <sz val="10"/>
        <rFont val="Arial"/>
        <family val="2"/>
      </rPr>
      <t xml:space="preserve">3 </t>
    </r>
    <r>
      <rPr>
        <sz val="10"/>
        <rFont val="Arial"/>
        <family val="2"/>
      </rPr>
      <t>BTU</t>
    </r>
  </si>
  <si>
    <r>
      <t>M</t>
    </r>
    <r>
      <rPr>
        <vertAlign val="superscript"/>
        <sz val="10"/>
        <rFont val="Arial"/>
        <family val="2"/>
      </rPr>
      <t>3</t>
    </r>
    <r>
      <rPr>
        <sz val="10"/>
        <rFont val="Arial"/>
        <family val="2"/>
      </rPr>
      <t xml:space="preserve"> Gas Natural</t>
    </r>
  </si>
  <si>
    <r>
      <t>Pie</t>
    </r>
    <r>
      <rPr>
        <vertAlign val="superscript"/>
        <sz val="10"/>
        <rFont val="Arial"/>
        <family val="2"/>
      </rPr>
      <t>3</t>
    </r>
    <r>
      <rPr>
        <sz val="10"/>
        <rFont val="Arial"/>
        <family val="2"/>
      </rPr>
      <t xml:space="preserve"> Gas Natural</t>
    </r>
  </si>
  <si>
    <t>Teracalorías</t>
  </si>
  <si>
    <t xml:space="preserve">(*) Para obtener equivalencias internacionales, se deben tener en cuenta las equivalencias del balance nacional de energía, principalmente </t>
  </si>
  <si>
    <t xml:space="preserve"> respecto a poderes caloríficos y densidades</t>
  </si>
  <si>
    <t>Abreviaturas</t>
  </si>
  <si>
    <t>Equivalencia</t>
  </si>
  <si>
    <t>Símbolo</t>
  </si>
  <si>
    <t>Barril Equivalente de Petróleo</t>
  </si>
  <si>
    <t>Tonelada Equivalente de Petróleo</t>
  </si>
  <si>
    <t>Barriles</t>
  </si>
  <si>
    <t>Metros Cúbicos</t>
  </si>
  <si>
    <t>Toneladas Métricas</t>
  </si>
  <si>
    <t>GigaWatts</t>
  </si>
  <si>
    <t>GigaWatts-hora</t>
  </si>
  <si>
    <t>TeraWatts-hora</t>
  </si>
  <si>
    <t>KiloWatts-hora</t>
  </si>
  <si>
    <t>MegaWatts-hora</t>
  </si>
  <si>
    <t>Bbl</t>
  </si>
  <si>
    <t>Ton</t>
  </si>
  <si>
    <t>TWh</t>
  </si>
  <si>
    <t>KWh</t>
  </si>
  <si>
    <t>Equivalencia Olade</t>
  </si>
  <si>
    <r>
      <t>m</t>
    </r>
    <r>
      <rPr>
        <vertAlign val="superscript"/>
        <sz val="10"/>
        <rFont val="Arial"/>
        <family val="2"/>
      </rPr>
      <t>3</t>
    </r>
  </si>
  <si>
    <t>0,670 Bep</t>
  </si>
  <si>
    <r>
      <t>0,15893 m</t>
    </r>
    <r>
      <rPr>
        <vertAlign val="superscript"/>
        <sz val="10"/>
        <rFont val="Arial"/>
        <family val="2"/>
      </rPr>
      <t>3</t>
    </r>
  </si>
  <si>
    <t>552,4 Kg</t>
  </si>
  <si>
    <t>Equivalencia Balance Nacional</t>
  </si>
  <si>
    <t>1 Bpe</t>
  </si>
  <si>
    <t>1 Bbl GLP</t>
  </si>
  <si>
    <r>
      <t>1 m</t>
    </r>
    <r>
      <rPr>
        <vertAlign val="superscript"/>
        <sz val="8"/>
        <rFont val="MS Sans Serif"/>
        <family val="2"/>
      </rPr>
      <t>3</t>
    </r>
    <r>
      <rPr>
        <sz val="8"/>
        <rFont val="MS Sans Serif"/>
        <family val="2"/>
      </rPr>
      <t xml:space="preserve"> GLP</t>
    </r>
  </si>
  <si>
    <r>
      <t>1 Pie</t>
    </r>
    <r>
      <rPr>
        <vertAlign val="superscript"/>
        <sz val="10"/>
        <rFont val="Arial"/>
        <family val="2"/>
      </rPr>
      <t>3</t>
    </r>
  </si>
  <si>
    <r>
      <t>0,028317 m</t>
    </r>
    <r>
      <rPr>
        <vertAlign val="superscript"/>
        <sz val="10"/>
        <rFont val="Arial"/>
        <family val="2"/>
      </rPr>
      <t>3</t>
    </r>
  </si>
  <si>
    <t>1,05 Beep</t>
  </si>
  <si>
    <r>
      <t>1 m</t>
    </r>
    <r>
      <rPr>
        <vertAlign val="superscript"/>
        <sz val="10"/>
        <rFont val="Arial"/>
        <family val="2"/>
      </rPr>
      <t>3</t>
    </r>
    <r>
      <rPr>
        <sz val="10"/>
        <rFont val="Arial"/>
        <family val="2"/>
      </rPr>
      <t xml:space="preserve"> Gas Nat.</t>
    </r>
  </si>
  <si>
    <r>
      <t>1,13 m</t>
    </r>
    <r>
      <rPr>
        <vertAlign val="superscript"/>
        <sz val="10"/>
        <rFont val="Arial"/>
        <family val="2"/>
      </rPr>
      <t>3</t>
    </r>
    <r>
      <rPr>
        <sz val="10"/>
        <rFont val="Arial"/>
        <family val="2"/>
      </rPr>
      <t xml:space="preserve"> Gas Nat.</t>
    </r>
  </si>
  <si>
    <t>Múltiplos</t>
  </si>
  <si>
    <t>Prefijo</t>
  </si>
  <si>
    <t>Factor</t>
  </si>
  <si>
    <t>Kilo</t>
  </si>
  <si>
    <t>Mega</t>
  </si>
  <si>
    <t>Giga</t>
  </si>
  <si>
    <t>Tera</t>
  </si>
  <si>
    <t>Peta</t>
  </si>
  <si>
    <t>Variación de Stock</t>
  </si>
  <si>
    <t>Error Estadístico</t>
  </si>
  <si>
    <t>Pérdidas</t>
  </si>
  <si>
    <t>DIAGRAMA DE FLUJO DE ENERGÍA</t>
  </si>
  <si>
    <t>La siguiente figura resume las transacciones involucradas en la cadena energética nacional, pasando desde su adquisición o generación hasta sus transformaciones y consumos finales. Las flechas corresponden aproximadamente a la proporción de su participación dentro de la matriz nacional en cada flujo. De esta manera es posible apreciar los distintos aportes de los energéticos según cada fase de la cadena productiva.</t>
  </si>
  <si>
    <r>
      <rPr>
        <b/>
        <sz val="10"/>
        <rFont val="Arial"/>
        <family val="2"/>
      </rPr>
      <t>2.</t>
    </r>
    <r>
      <rPr>
        <sz val="10"/>
        <rFont val="Arial"/>
        <family val="2"/>
      </rPr>
      <t xml:space="preserve"> Cuadro Densidades y Poderes Caloríficos usados.</t>
    </r>
  </si>
  <si>
    <r>
      <rPr>
        <b/>
        <sz val="10"/>
        <rFont val="Arial"/>
        <family val="2"/>
      </rPr>
      <t xml:space="preserve">3. </t>
    </r>
    <r>
      <rPr>
        <sz val="10"/>
        <rFont val="Arial"/>
        <family val="2"/>
      </rPr>
      <t>Cuadro Factores Internacionales de Conversión</t>
    </r>
  </si>
  <si>
    <r>
      <rPr>
        <b/>
        <sz val="10"/>
        <rFont val="Arial"/>
        <family val="2"/>
      </rPr>
      <t xml:space="preserve">3. </t>
    </r>
    <r>
      <rPr>
        <sz val="10"/>
        <rFont val="Arial"/>
        <family val="2"/>
      </rPr>
      <t>Diagrama de flujos energéticos</t>
    </r>
  </si>
  <si>
    <t>DE ENERGÍA</t>
  </si>
  <si>
    <t>y Política Energética del Ministerio de Energía</t>
  </si>
  <si>
    <t>INTRODUCCIÓN</t>
  </si>
  <si>
    <t>IR A ÍNDICE</t>
  </si>
  <si>
    <t>Energía Solar</t>
  </si>
  <si>
    <t>Produccion Bruta</t>
  </si>
  <si>
    <t>Importaciones</t>
  </si>
  <si>
    <t>Exportaciones</t>
  </si>
  <si>
    <t>Var. Stock + perd. y Dif.</t>
  </si>
  <si>
    <t>Consumo Sector Energético</t>
  </si>
  <si>
    <t>Ventas Industriales</t>
  </si>
  <si>
    <t>Propileno</t>
  </si>
  <si>
    <t>Componente Asfáltico</t>
  </si>
  <si>
    <t>(Miles de ton)</t>
  </si>
  <si>
    <t>Consumo Sector Comercial</t>
  </si>
  <si>
    <t>Introducción BNE</t>
  </si>
  <si>
    <t>Descripción del BNE</t>
  </si>
  <si>
    <t xml:space="preserve">En la presente versión 2014 del Balance Nacional de Energía se ha elaborado un formato global de balance que resulta de una adaptación del formato estándar que utiliza la Agencia Internacional de Energía (AIE).                                           </t>
  </si>
  <si>
    <t xml:space="preserve">El BNE se realiza tanto a nivel de energía primaria como secundaria.           </t>
  </si>
  <si>
    <t>Año 2015</t>
  </si>
  <si>
    <t>Biomasa</t>
  </si>
  <si>
    <t>Electricidad Servicio Público</t>
  </si>
  <si>
    <t>Electricidad Autoproducción</t>
  </si>
  <si>
    <t>Siderurgia Hornos de Coque</t>
  </si>
  <si>
    <t>Siderurgia Altos Hornos</t>
  </si>
  <si>
    <t>Refinería y Extracción Petr-Gn</t>
  </si>
  <si>
    <t>Producción de Metanol</t>
  </si>
  <si>
    <t>Centro de Transformación</t>
  </si>
  <si>
    <t>PODER CALORIFICO</t>
  </si>
  <si>
    <t>KCAL/KG</t>
  </si>
  <si>
    <t>DENSIDAD</t>
  </si>
  <si>
    <t>TON/M3</t>
  </si>
  <si>
    <t>Energía Hídrica (Gwh)</t>
  </si>
  <si>
    <t>Energía Eólica (Gwh)</t>
  </si>
  <si>
    <t>Energía Solar (Gwh)</t>
  </si>
  <si>
    <t>Gas Natural (Mill m3)</t>
  </si>
  <si>
    <t>Carbón (Miles ton)</t>
  </si>
  <si>
    <t>Biogás (Mill m3)</t>
  </si>
  <si>
    <t>Electricidad (Gwh)</t>
  </si>
  <si>
    <t>Petróleo Crudo (Miles m3)</t>
  </si>
  <si>
    <t>GCAL/MIL M3</t>
  </si>
  <si>
    <t>KCal/m3</t>
  </si>
  <si>
    <t xml:space="preserve"> KCal/KWh </t>
  </si>
  <si>
    <t>Kcal/m3</t>
  </si>
  <si>
    <t>BALANCE DE ENERGÍA    [UNIDADES FÍSICAS]</t>
  </si>
  <si>
    <t>AÑO 2015</t>
  </si>
  <si>
    <t>TON/M3 SOL</t>
  </si>
  <si>
    <t xml:space="preserve">Gas Natural </t>
  </si>
  <si>
    <t>Producción Bruta</t>
  </si>
  <si>
    <t>El BALANCE NACIONAL DE ENERGÍA 2015</t>
  </si>
  <si>
    <t>Gasolina de Motor</t>
  </si>
  <si>
    <t>Gas de Alto Horno</t>
  </si>
  <si>
    <t>Derivados Industriales de Petróleo</t>
  </si>
  <si>
    <t>Gasolina Motor</t>
  </si>
  <si>
    <t>Petróleo Diésel</t>
  </si>
  <si>
    <t>(GWh)</t>
  </si>
  <si>
    <t>Unidad</t>
  </si>
  <si>
    <t xml:space="preserve">Petróleo Crudo </t>
  </si>
  <si>
    <t xml:space="preserve">Leña y Biomasa </t>
  </si>
  <si>
    <t xml:space="preserve">Energía Hídrica </t>
  </si>
  <si>
    <t xml:space="preserve">Energía Eólica </t>
  </si>
  <si>
    <t xml:space="preserve">Energía Solar </t>
  </si>
  <si>
    <t xml:space="preserve">Biogás </t>
  </si>
  <si>
    <t>(Mil m3)</t>
  </si>
  <si>
    <t>(Millones m3)</t>
  </si>
  <si>
    <r>
      <t>(Mil m</t>
    </r>
    <r>
      <rPr>
        <vertAlign val="superscript"/>
        <sz val="10"/>
        <color indexed="8"/>
        <rFont val="Arial"/>
        <family val="2"/>
      </rPr>
      <t>3</t>
    </r>
    <r>
      <rPr>
        <sz val="10"/>
        <color indexed="8"/>
        <rFont val="Arial"/>
        <family val="2"/>
      </rPr>
      <t>)</t>
    </r>
  </si>
  <si>
    <t>Petróleo Crudo (Mil m3)</t>
  </si>
  <si>
    <t>Gas Natural (Millones m3)</t>
  </si>
  <si>
    <t xml:space="preserve">Biomasa </t>
  </si>
  <si>
    <t>Biogás (Millones m3)</t>
  </si>
  <si>
    <t>Biomasa (Mil ton)</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</si>
  <si>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</si>
  <si>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</si>
  <si>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</si>
  <si>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</si>
  <si>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</si>
  <si>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</si>
  <si>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</si>
  <si>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</si>
  <si>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</si>
  <si>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</si>
  <si>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</si>
  <si>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</si>
  <si>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</si>
  <si>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</si>
  <si>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Corriente (Millones m3)</t>
  </si>
  <si>
    <t>Metanol (Mil ton)</t>
  </si>
  <si>
    <t>Carbón (Mil ton)</t>
  </si>
  <si>
    <t>(Mil ton)</t>
  </si>
  <si>
    <t>Etileno, Gas Oil y Pitch Asfáltico</t>
  </si>
  <si>
    <t>Biomasa  (Miles ton)</t>
  </si>
  <si>
    <t>Derivados de Petróleo</t>
  </si>
  <si>
    <t>Variación %</t>
  </si>
  <si>
    <t>Consumo Bruto (1)</t>
  </si>
  <si>
    <t>Consumo CTR</t>
  </si>
  <si>
    <t>Sector IyM</t>
  </si>
  <si>
    <t>Sector CPR</t>
  </si>
  <si>
    <t>Consumo Bruto</t>
  </si>
  <si>
    <t>Densidad Ton/m3</t>
  </si>
  <si>
    <t>Poder Calorífico KCal/Kg</t>
  </si>
  <si>
    <t>Elaboración: Ministerio de Energía, Octubre 2016</t>
  </si>
  <si>
    <t>Gas de Altos Hornos (Mil m3)</t>
  </si>
  <si>
    <t>Balance Energético</t>
  </si>
  <si>
    <t>Derivados de Carbón</t>
  </si>
  <si>
    <t>Otros secundarios</t>
  </si>
  <si>
    <t>Energéticos Primarios</t>
  </si>
  <si>
    <t>Energéticos Secundarios</t>
  </si>
  <si>
    <r>
      <t xml:space="preserve">12. </t>
    </r>
    <r>
      <rPr>
        <sz val="10"/>
        <rFont val="Arial"/>
        <family val="2"/>
      </rPr>
      <t>Producción bruta de energía</t>
    </r>
  </si>
  <si>
    <r>
      <t>M</t>
    </r>
    <r>
      <rPr>
        <b/>
        <sz val="10"/>
        <rFont val="Calibri"/>
        <family val="2"/>
      </rPr>
      <t>³</t>
    </r>
    <r>
      <rPr>
        <b/>
        <sz val="10"/>
        <rFont val="Arial"/>
        <family val="2"/>
      </rPr>
      <t xml:space="preserve"> Gas Natural</t>
    </r>
  </si>
  <si>
    <t>Conversión de / a</t>
  </si>
  <si>
    <r>
      <t>Pie</t>
    </r>
    <r>
      <rPr>
        <b/>
        <sz val="10"/>
        <rFont val="Calibri"/>
        <family val="2"/>
      </rPr>
      <t>³</t>
    </r>
    <r>
      <rPr>
        <b/>
        <sz val="10"/>
        <rFont val="Arial"/>
        <family val="2"/>
      </rPr>
      <t xml:space="preserve"> Gas Natural</t>
    </r>
  </si>
  <si>
    <r>
      <t xml:space="preserve">10. </t>
    </r>
    <r>
      <rPr>
        <sz val="10"/>
        <rFont val="Arial"/>
        <family val="2"/>
      </rPr>
      <t>Producción bruta de energía</t>
    </r>
  </si>
  <si>
    <r>
      <t>12.</t>
    </r>
    <r>
      <rPr>
        <sz val="10"/>
        <rFont val="Arial"/>
        <family val="2"/>
      </rPr>
      <t xml:space="preserve"> Balance de Energía Global</t>
    </r>
  </si>
  <si>
    <t xml:space="preserve">Energéticos </t>
  </si>
  <si>
    <t>GLOSARIO</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</si>
  <si>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</si>
  <si>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</si>
  <si>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</si>
  <si>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</si>
  <si>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</si>
  <si>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</si>
  <si>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</si>
  <si>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</si>
  <si>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</si>
  <si>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</si>
  <si>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</si>
  <si>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</si>
  <si>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</si>
  <si>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</si>
  <si>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</si>
  <si>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</si>
  <si>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</si>
  <si>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</si>
  <si>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</si>
  <si>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</si>
  <si>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</si>
  <si>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</si>
  <si>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</si>
  <si>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</si>
  <si>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</si>
  <si>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</si>
  <si>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</si>
  <si>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</si>
  <si>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</si>
  <si>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</si>
  <si>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</si>
  <si>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</si>
  <si>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</si>
  <si>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</si>
  <si>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</si>
  <si>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</si>
  <si>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</si>
  <si>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</si>
  <si>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r>
      <rPr>
        <b/>
        <sz val="10"/>
        <rFont val="Arial"/>
        <family val="2"/>
      </rPr>
      <t>4</t>
    </r>
    <r>
      <rPr>
        <sz val="10"/>
        <rFont val="Arial"/>
        <family val="2"/>
      </rPr>
      <t>, Glosario</t>
    </r>
  </si>
  <si>
    <t xml:space="preserve">                                   (Unidades Físicas)</t>
  </si>
  <si>
    <t>Consolidado de Consumos</t>
  </si>
  <si>
    <t>Introducción</t>
  </si>
  <si>
    <t>Descripción</t>
  </si>
  <si>
    <t xml:space="preserve"> Derivados Industriales de Petróleo</t>
  </si>
  <si>
    <r>
      <rPr>
        <b/>
        <sz val="10"/>
        <rFont val="Arial"/>
        <family val="2"/>
      </rPr>
      <t>11. D</t>
    </r>
    <r>
      <rPr>
        <sz val="10"/>
        <rFont val="Arial"/>
        <family val="2"/>
      </rPr>
      <t>erivados Industriales de Petróleo.</t>
    </r>
  </si>
  <si>
    <r>
      <rPr>
        <b/>
        <sz val="10"/>
        <rFont val="Arial"/>
        <family val="2"/>
      </rPr>
      <t xml:space="preserve">9. </t>
    </r>
    <r>
      <rPr>
        <sz val="10"/>
        <rFont val="Arial"/>
        <family val="2"/>
      </rPr>
      <t>Derivados Industriales de Petróleo.</t>
    </r>
  </si>
  <si>
    <t>Diagrama</t>
  </si>
  <si>
    <t>Glosario</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</si>
  <si>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</si>
  <si>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</si>
  <si>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ENERGÍA</t>
  </si>
  <si>
    <t xml:space="preserve"> Primaria</t>
  </si>
  <si>
    <t xml:space="preserve"> Secundaria</t>
  </si>
  <si>
    <t xml:space="preserve">             (Teracalorías)</t>
  </si>
  <si>
    <t>ENERGÉTICOS</t>
  </si>
  <si>
    <t>Biogas</t>
  </si>
  <si>
    <t>Producción Bruta Año 2015</t>
  </si>
  <si>
    <t>Var. Stock+ Perd y Error Est.</t>
  </si>
  <si>
    <t>Matriz Energética Secundaria</t>
  </si>
  <si>
    <t>Matriz Energética Primaria</t>
  </si>
  <si>
    <r>
      <rPr>
        <b/>
        <sz val="10"/>
        <rFont val="Arial"/>
        <family val="2"/>
      </rPr>
      <t>1.</t>
    </r>
    <r>
      <rPr>
        <sz val="10"/>
        <rFont val="Arial"/>
        <family val="2"/>
      </rPr>
      <t xml:space="preserve"> Matriz Energética Primaria.</t>
    </r>
  </si>
  <si>
    <r>
      <rPr>
        <b/>
        <sz val="10"/>
        <rFont val="Arial"/>
        <family val="2"/>
      </rPr>
      <t xml:space="preserve">2. </t>
    </r>
    <r>
      <rPr>
        <sz val="10"/>
        <rFont val="Arial"/>
        <family val="2"/>
      </rPr>
      <t>Matriz Energética Secundaria.</t>
    </r>
  </si>
  <si>
    <r>
      <rPr>
        <b/>
        <sz val="10"/>
        <rFont val="Arial"/>
        <family val="2"/>
      </rPr>
      <t>3.</t>
    </r>
    <r>
      <rPr>
        <sz val="10"/>
        <rFont val="Arial"/>
        <family val="2"/>
      </rPr>
      <t xml:space="preserve"> Matriz Energética Primaria.</t>
    </r>
  </si>
  <si>
    <r>
      <rPr>
        <b/>
        <sz val="10"/>
        <rFont val="Arial"/>
        <family val="2"/>
      </rPr>
      <t>4.</t>
    </r>
    <r>
      <rPr>
        <sz val="10"/>
        <rFont val="Arial"/>
        <family val="2"/>
      </rPr>
      <t xml:space="preserve"> Matriz Energética Secundaria.</t>
    </r>
  </si>
  <si>
    <t>Variación Consumo Bruto Energia Primaria</t>
  </si>
  <si>
    <t>Variación Consumo Final de Energía</t>
  </si>
  <si>
    <t>Consumo Sectorial de Energía (Teracalorías)</t>
  </si>
  <si>
    <t>Consumo Sectorial de Energía (Unidades Físicas)</t>
  </si>
  <si>
    <t>Pérdidas y Error Estadístico para cada energético</t>
  </si>
  <si>
    <t>Alquitrán (**)</t>
  </si>
  <si>
    <t>(** ) Alquitrán de uso energético  (producido en siderurgia)</t>
  </si>
  <si>
    <t xml:space="preserve">Carbón </t>
  </si>
  <si>
    <t>(** ) Alquitrán de uso energético  (poducido en siderurgia)</t>
  </si>
  <si>
    <t>Sector Energético: Consumo Propio</t>
  </si>
  <si>
    <t>Electricidad (**)</t>
  </si>
  <si>
    <t>(**) Incluye a Generadoras de Servicio Público</t>
  </si>
  <si>
    <t>Gas y Coque Incluye a la Siderurgia y a Plantas de Gas Corriente</t>
  </si>
  <si>
    <r>
      <rPr>
        <b/>
        <sz val="10"/>
        <rFont val="Arial"/>
        <family val="2"/>
      </rPr>
      <t>2.</t>
    </r>
    <r>
      <rPr>
        <sz val="10"/>
        <rFont val="Arial"/>
        <family val="2"/>
      </rPr>
      <t xml:space="preserve"> Variación Consumo Final de Energía</t>
    </r>
  </si>
  <si>
    <t xml:space="preserve">La División de Prospectiva y Política Energética Ministerio de Energía presenta el Balance Nacional de Energía de Chile (BNE) año 2015.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2015.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</si>
  <si>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r>
      <t xml:space="preserve">El Balance Nacional de Energía es la contabilización del flujo anual de energía disponible y consumida a nivel nacional. El BNE identifica la producción, importación, exportación, pérdidas , variaciones de </t>
    </r>
    <r>
      <rPr>
        <i/>
        <sz val="10"/>
        <rFont val="Arial"/>
        <family val="2"/>
      </rPr>
      <t xml:space="preserve">stock </t>
    </r>
    <r>
      <rPr>
        <sz val="10"/>
        <rFont val="Arial"/>
        <family val="2"/>
      </rPr>
      <t xml:space="preserve">y el uso que se da a cada energético disponible en el mercado chileno.                                          </t>
    </r>
  </si>
  <si>
    <t xml:space="preserve">Nota 1: El Consumo Bruto equivale a la suma de Producción Bruta e Importaciones menos las Exportaciones, Variación de Stocks </t>
  </si>
  <si>
    <t xml:space="preserve">Nota 2: El Consumo Total equivale a la suma de Producción Bruta e Importaciones menos las Exportacione y Variación de Stocks </t>
  </si>
  <si>
    <t>Pérdidas y Error Estadístico para cada energético, y a la vez equivale a la suma del Consumo Final y Consumo en Centros de Transformación (CTR)</t>
  </si>
  <si>
    <t>(***)  KCal/KWh (Equivelente Calórico Teórico Internacional)</t>
  </si>
  <si>
    <t xml:space="preserve"> (**)</t>
  </si>
  <si>
    <t>(***)(1)</t>
  </si>
  <si>
    <t>t cal</t>
  </si>
  <si>
    <t>* El consumo total de energía presentado en el cuadro es una aproximación al TPES (Total Primary Energy Supply o Demand) de los balances de energía que publica la Agencia Internacional de energía. Este equivale al consumo primario de energía, más importaciones secundarias menos exportaciones secundarias y menos variación de stock secundario. Este consumo difiere del TPES calculado en la hoja "BALANCE" debido a que el gas natural del balance primario incluye el gas absorbido y el gas propano producido como sustituto al gas natural, mientras que el gas natural de la hoja "BALANCE" no incluye estos dos últimos conceptos.</t>
  </si>
  <si>
    <t>Nota: El factor de conversión utilizado para la hidroelectricidad, energía eólica y solar corresponde al utilizado en metodología</t>
  </si>
  <si>
    <t>(**) Alquitrán de uso energético  (poducido en siderurgia)</t>
  </si>
  <si>
    <t>Refinería Petróleo - Gas 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</si>
</sst>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1" formatCode="_ * #,##0_ ;_ * \-#,##0_ ;_ * &quot;-&quot;_ ;_ @_ "/>
    <numFmt numFmtId="164" formatCode="_-* #,##0.00_-;\-* #,##0.00_-;_-* &quot;-&quot;??_-;_-@_-"/>
    <numFmt numFmtId="165" formatCode="#,##0.0"/>
    <numFmt numFmtId="166" formatCode="0.0"/>
    <numFmt numFmtId="167" formatCode="0.0%"/>
    <numFmt numFmtId="168" formatCode="mm/dd/yy"/>
    <numFmt numFmtId="169" formatCode="0.000"/>
    <numFmt numFmtId="170" formatCode="0.00000%"/>
    <numFmt numFmtId="171" formatCode="#,##0.0000"/>
    <numFmt numFmtId="172" formatCode="#,##0.000000"/>
    <numFmt numFmtId="173" formatCode="_(* #,##0_);_(* \(#,##0\);_(* &quot;-&quot;??_);_(@_)"/>
    <numFmt numFmtId="174" formatCode="_(* #,##0.00_);_(* \(#,##0.00\);_(* &quot;-&quot;??_);_(@_)"/>
    <numFmt numFmtId="175" formatCode="_(* #,##0.00000_);_(* \(#,##0.00000\);_(* &quot;-&quot;??_);_(@_)"/>
    <numFmt numFmtId="176" formatCode="#,##0.00;#,##0.00;&quot;-&quot;"/>
    <numFmt numFmtId="177" formatCode="#,##0.00;\-#,##0.00;&quot;-&quot;"/>
    <numFmt numFmtId="178" formatCode="#,##0_ ;[Red]\-#,##0\ "/>
  </numFmts>
  <fonts count="90">
    <font>
      <sz val="10"/>
      <name val="Arial"/>
    </font>
    <font>
      <sz val="11"/>
      <color indexed="8"/>
      <name val="Calibri"/>
      <family val="2"/>
    </font>
    <font>
      <sz val="10"/>
      <name val="Arial"/>
      <family val="2"/>
    </font>
    <font>
      <sz val="10"/>
      <name val="MS Sans Serif"/>
      <family val="2"/>
    </font>
    <font>
      <b/>
      <sz val="10"/>
      <name val="MS Sans Serif"/>
      <family val="2"/>
    </font>
    <font>
      <b/>
      <sz val="8"/>
      <name val="MS Sans Serif"/>
      <family val="2"/>
    </font>
    <font>
      <sz val="10"/>
      <name val="Arial"/>
      <family val="2"/>
    </font>
    <font>
      <b/>
      <sz val="10"/>
      <name val="Arial"/>
      <family val="2"/>
    </font>
    <font>
      <sz val="8.5"/>
      <color indexed="9"/>
      <name val="MS Sans Serif"/>
      <family val="2"/>
    </font>
    <font>
      <b/>
      <sz val="10"/>
      <name val="MS Sans Serif"/>
      <family val="2"/>
    </font>
    <font>
      <sz val="8"/>
      <name val="MS Sans Serif"/>
      <family val="2"/>
    </font>
    <font>
      <sz val="10"/>
      <name val="MS Sans Serif"/>
      <family val="2"/>
    </font>
    <font>
      <b/>
      <sz val="10"/>
      <color indexed="8"/>
      <name val="Arial"/>
      <family val="2"/>
    </font>
    <font>
      <sz val="10"/>
      <name val="Geneva"/>
    </font>
    <font>
      <sz val="10"/>
      <color indexed="12"/>
      <name val="Geneva"/>
    </font>
    <font>
      <b/>
      <sz val="10"/>
      <color indexed="12"/>
      <name val="Geneva"/>
    </font>
    <font>
      <b/>
      <sz val="8"/>
      <color indexed="8"/>
      <name val="Arial"/>
      <family val="2"/>
    </font>
    <font>
      <sz val="8"/>
      <name val="Arial"/>
      <family val="2"/>
    </font>
    <font>
      <b/>
      <sz val="10"/>
      <color indexed="48"/>
      <name val="Arial"/>
      <family val="2"/>
    </font>
    <font>
      <sz val="10"/>
      <color indexed="48"/>
      <name val="Arial"/>
      <family val="2"/>
    </font>
    <font>
      <sz val="10"/>
      <name val="Arial"/>
      <family val="2"/>
    </font>
    <font>
      <b/>
      <sz val="8"/>
      <name val="Arial"/>
      <family val="2"/>
    </font>
    <font>
      <b/>
      <sz val="14"/>
      <name val="Arial"/>
      <family val="2"/>
    </font>
    <font>
      <b/>
      <sz val="12"/>
      <name val="Arial"/>
      <family val="2"/>
    </font>
    <font>
      <sz val="11"/>
      <name val="Arial"/>
      <family val="2"/>
    </font>
    <font>
      <b/>
      <sz val="26"/>
      <name val="Arial"/>
      <family val="2"/>
    </font>
    <font>
      <sz val="8"/>
      <color indexed="8"/>
      <name val="MS Sans Serif"/>
      <family val="2"/>
    </font>
    <font>
      <u/>
      <sz val="10"/>
      <color indexed="12"/>
      <name val="Arial"/>
      <family val="2"/>
    </font>
    <font>
      <sz val="8"/>
      <name val="Arial"/>
      <family val="2"/>
    </font>
    <font>
      <sz val="10"/>
      <color indexed="12"/>
      <name val="Arial"/>
      <family val="2"/>
    </font>
    <font>
      <sz val="10"/>
      <color indexed="8"/>
      <name val="Arial"/>
      <family val="2"/>
    </font>
    <font>
      <b/>
      <sz val="10"/>
      <color indexed="12"/>
      <name val="Arial"/>
      <family val="2"/>
    </font>
    <font>
      <b/>
      <sz val="12"/>
      <color indexed="12"/>
      <name val="Arial"/>
      <family val="2"/>
    </font>
    <font>
      <sz val="10"/>
      <color indexed="12"/>
      <name val="Arial"/>
      <family val="2"/>
    </font>
    <font>
      <b/>
      <sz val="8.5"/>
      <color indexed="9"/>
      <name val="Arial"/>
      <family val="2"/>
    </font>
    <font>
      <b/>
      <i/>
      <sz val="10"/>
      <color indexed="8"/>
      <name val="Arial"/>
      <family val="2"/>
    </font>
    <font>
      <u/>
      <sz val="10"/>
      <color indexed="12"/>
      <name val="Arial"/>
      <family val="2"/>
    </font>
    <font>
      <b/>
      <sz val="10"/>
      <color indexed="18"/>
      <name val="Arial"/>
      <family val="2"/>
    </font>
    <font>
      <sz val="20"/>
      <name val="Arial"/>
      <family val="2"/>
    </font>
    <font>
      <sz val="10"/>
      <name val="Arial"/>
      <family val="2"/>
    </font>
    <font>
      <b/>
      <sz val="10"/>
      <name val="Arial"/>
      <family val="2"/>
    </font>
    <font>
      <sz val="10"/>
      <name val="Arial"/>
      <family val="2"/>
    </font>
    <font>
      <b/>
      <sz val="9"/>
      <color indexed="9"/>
      <name val="Arial"/>
      <family val="2"/>
    </font>
    <font>
      <sz val="10"/>
      <color indexed="9"/>
      <name val="Arial"/>
      <family val="2"/>
    </font>
    <font>
      <sz val="10"/>
      <name val="Arial"/>
      <family val="2"/>
    </font>
    <font>
      <sz val="10"/>
      <name val="Arial"/>
      <family val="2"/>
    </font>
    <font>
      <sz val="10"/>
      <name val="Arial"/>
      <family val="2"/>
    </font>
    <font>
      <b/>
      <sz val="10"/>
      <color indexed="62"/>
      <name val="Arial"/>
      <family val="2"/>
    </font>
    <font>
      <sz val="10"/>
      <name val="Arial"/>
      <family val="2"/>
    </font>
    <font>
      <sz val="10"/>
      <name val="Arial"/>
      <family val="2"/>
    </font>
    <font>
      <b/>
      <sz val="10"/>
      <color indexed="9"/>
      <name val="Arial"/>
      <family val="2"/>
    </font>
    <font>
      <b/>
      <sz val="8.5"/>
      <color indexed="9"/>
      <name val="MS Sans Serif"/>
      <family val="2"/>
    </font>
    <font>
      <b/>
      <sz val="8.5"/>
      <color indexed="9"/>
      <name val="MS Sans Serif"/>
      <family val="2"/>
    </font>
    <font>
      <b/>
      <sz val="22"/>
      <name val="Arial"/>
      <family val="2"/>
    </font>
    <font>
      <sz val="10"/>
      <name val="Courier"/>
      <family val="3"/>
    </font>
    <font>
      <b/>
      <vertAlign val="superscript"/>
      <sz val="10"/>
      <name val="Arial"/>
      <family val="2"/>
    </font>
    <font>
      <vertAlign val="superscript"/>
      <sz val="10"/>
      <color indexed="8"/>
      <name val="Arial"/>
      <family val="2"/>
    </font>
    <font>
      <vertAlign val="superscript"/>
      <sz val="10"/>
      <name val="Arial"/>
      <family val="2"/>
    </font>
    <font>
      <vertAlign val="superscript"/>
      <sz val="8"/>
      <name val="MS Sans Serif"/>
      <family val="2"/>
    </font>
    <font>
      <b/>
      <sz val="11"/>
      <name val="Arial"/>
      <family val="2"/>
    </font>
    <font>
      <b/>
      <sz val="18"/>
      <name val="Arial"/>
      <family val="2"/>
    </font>
    <font>
      <sz val="10"/>
      <name val="Arial"/>
      <family val="2"/>
    </font>
    <font>
      <i/>
      <sz val="10"/>
      <name val="Arial"/>
      <family val="2"/>
    </font>
    <font>
      <sz val="11"/>
      <color theme="1"/>
      <name val="Calibri"/>
      <family val="2"/>
      <scheme val="minor"/>
    </font>
    <font>
      <u/>
      <sz val="10"/>
      <color rgb="FF0000FF"/>
      <name val="Arial"/>
      <family val="2"/>
    </font>
    <font>
      <b/>
      <sz val="20"/>
      <color theme="0" tint="-0.499984740745262"/>
      <name val="Arial"/>
      <family val="2"/>
    </font>
    <font>
      <b/>
      <sz val="17"/>
      <color theme="0" tint="-0.499984740745262"/>
      <name val="Arial"/>
      <family val="2"/>
    </font>
    <font>
      <b/>
      <sz val="8"/>
      <color theme="0" tint="-0.499984740745262"/>
      <name val="Arial"/>
      <family val="2"/>
    </font>
    <font>
      <sz val="8"/>
      <color theme="0" tint="-0.499984740745262"/>
      <name val="Arial"/>
      <family val="2"/>
    </font>
    <font>
      <sz val="10"/>
      <color theme="0" tint="-0.499984740745262"/>
      <name val="Arial"/>
      <family val="2"/>
    </font>
    <font>
      <b/>
      <sz val="10"/>
      <color theme="0" tint="-0.499984740745262"/>
      <name val="Arial"/>
      <family val="2"/>
    </font>
    <font>
      <sz val="10"/>
      <color rgb="FF000000"/>
      <name val="Arial"/>
      <family val="2"/>
    </font>
    <font>
      <b/>
      <sz val="10"/>
      <color theme="0"/>
      <name val="Arial"/>
      <family val="2"/>
    </font>
    <font>
      <sz val="8"/>
      <name val="Calibri"/>
      <family val="2"/>
      <scheme val="minor"/>
    </font>
    <font>
      <sz val="8"/>
      <color theme="1"/>
      <name val="Calibri"/>
      <family val="2"/>
      <scheme val="minor"/>
    </font>
    <font>
      <b/>
      <sz val="8"/>
      <color theme="1"/>
      <name val="Calibri"/>
      <family val="2"/>
      <scheme val="minor"/>
    </font>
    <font>
      <b/>
      <sz val="8.5"/>
      <color theme="0" tint="-0.499984740745262"/>
      <name val="Arial"/>
      <family val="2"/>
    </font>
    <font>
      <b/>
      <sz val="9"/>
      <color theme="0"/>
      <name val="Arial"/>
      <family val="2"/>
    </font>
    <font>
      <sz val="9"/>
      <name val="Arial"/>
      <family val="2"/>
    </font>
    <font>
      <b/>
      <sz val="9"/>
      <name val="Arial"/>
      <family val="2"/>
    </font>
    <font>
      <b/>
      <sz val="11"/>
      <color theme="0"/>
      <name val="Arial"/>
      <family val="2"/>
    </font>
    <font>
      <u/>
      <sz val="10"/>
      <name val="Arial"/>
      <family val="2"/>
    </font>
    <font>
      <b/>
      <sz val="10"/>
      <name val="Calibri"/>
      <family val="2"/>
    </font>
    <font>
      <b/>
      <sz val="18"/>
      <color theme="0"/>
      <name val="Arial"/>
      <family val="2"/>
    </font>
    <font>
      <sz val="10.5"/>
      <name val="Calibri"/>
      <family val="2"/>
    </font>
    <font>
      <sz val="11"/>
      <name val="Calibri"/>
      <family val="2"/>
    </font>
    <font>
      <b/>
      <sz val="16"/>
      <color theme="0"/>
      <name val="Times New Roman"/>
      <family val="1"/>
    </font>
    <font>
      <sz val="9"/>
      <name val="Arial Narrow"/>
      <family val="2"/>
    </font>
    <font>
      <sz val="9"/>
      <color theme="0"/>
      <name val="Arial Narrow"/>
      <family val="2"/>
    </font>
    <font>
      <sz val="9"/>
      <color indexed="12"/>
      <name val="Arial Narrow"/>
      <family val="2"/>
    </font>
  </fonts>
  <fills count="22">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22"/>
        <bgColor indexed="64"/>
      </patternFill>
    </fill>
    <fill>
      <patternFill patternType="solid">
        <fgColor indexed="65"/>
        <bgColor indexed="64"/>
      </patternFill>
    </fill>
    <fill>
      <patternFill patternType="solid">
        <fgColor indexed="9"/>
        <bgColor indexed="24"/>
      </patternFill>
    </fill>
    <fill>
      <patternFill patternType="solid">
        <fgColor indexed="20"/>
        <bgColor indexed="24"/>
      </patternFill>
    </fill>
    <fill>
      <patternFill patternType="solid">
        <fgColor indexed="41"/>
        <bgColor indexed="64"/>
      </patternFill>
    </fill>
    <fill>
      <patternFill patternType="solid">
        <fgColor indexed="43"/>
        <bgColor indexed="64"/>
      </patternFill>
    </fill>
    <fill>
      <patternFill patternType="solid">
        <fgColor theme="0"/>
        <bgColor indexed="64"/>
      </patternFill>
    </fill>
    <fill>
      <patternFill patternType="solid">
        <fgColor theme="9" tint="0.79998168889431442"/>
        <bgColor indexed="64"/>
      </patternFill>
    </fill>
    <fill>
      <patternFill patternType="solid">
        <fgColor rgb="FFF48232"/>
        <bgColor indexed="64"/>
      </patternFill>
    </fill>
    <fill>
      <patternFill patternType="solid">
        <fgColor rgb="FFF48232"/>
        <bgColor indexed="2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9" tint="-0.249977111117893"/>
        <bgColor indexed="64"/>
      </patternFill>
    </fill>
  </fills>
  <borders count="74">
    <border>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double">
        <color theme="4" tint="-0.24994659260841701"/>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style="double">
        <color theme="4" tint="-0.24994659260841701"/>
      </right>
      <top/>
      <bottom style="double">
        <color theme="4" tint="-0.24994659260841701"/>
      </bottom>
      <diagonal/>
    </border>
    <border>
      <left/>
      <right/>
      <top style="double">
        <color theme="4" tint="-0.24994659260841701"/>
      </top>
      <bottom/>
      <diagonal/>
    </border>
    <border>
      <left/>
      <right/>
      <top/>
      <bottom style="thin">
        <color theme="4" tint="0.39994506668294322"/>
      </bottom>
      <diagonal/>
    </border>
    <border>
      <left/>
      <right/>
      <top style="thin">
        <color theme="4" tint="0.39994506668294322"/>
      </top>
      <bottom/>
      <diagonal/>
    </border>
    <border>
      <left/>
      <right style="thin">
        <color indexed="64"/>
      </right>
      <top style="thin">
        <color indexed="64"/>
      </top>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theme="9" tint="-0.499984740745262"/>
      </left>
      <right style="thin">
        <color theme="9" tint="-0.499984740745262"/>
      </right>
      <top/>
      <bottom style="thin">
        <color theme="9" tint="-0.499984740745262"/>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medium">
        <color theme="9" tint="-0.499984740745262"/>
      </left>
      <right/>
      <top style="medium">
        <color theme="9" tint="-0.499984740745262"/>
      </top>
      <bottom/>
      <diagonal/>
    </border>
    <border>
      <left style="medium">
        <color theme="9" tint="-0.499984740745262"/>
      </left>
      <right/>
      <top/>
      <bottom/>
      <diagonal/>
    </border>
    <border>
      <left style="medium">
        <color theme="9" tint="-0.499984740745262"/>
      </left>
      <right/>
      <top/>
      <bottom style="medium">
        <color theme="9" tint="-0.499984740745262"/>
      </bottom>
      <diagonal/>
    </border>
    <border>
      <left style="thin">
        <color theme="9" tint="-0.499984740745262"/>
      </left>
      <right style="thin">
        <color indexed="64"/>
      </right>
      <top/>
      <bottom/>
      <diagonal/>
    </border>
  </borders>
  <cellStyleXfs count="35">
    <xf numFmtId="0" fontId="0" fillId="0" borderId="0"/>
    <xf numFmtId="0" fontId="54" fillId="0" borderId="0"/>
    <xf numFmtId="0" fontId="27"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164" fontId="61"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0" fontId="6" fillId="0" borderId="0"/>
    <xf numFmtId="0" fontId="2" fillId="0" borderId="0"/>
    <xf numFmtId="0" fontId="2" fillId="0" borderId="0">
      <alignment vertical="center"/>
    </xf>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54" fillId="0" borderId="0"/>
    <xf numFmtId="0" fontId="2" fillId="0" borderId="0"/>
    <xf numFmtId="9" fontId="2" fillId="0" borderId="0" applyFont="0" applyFill="0" applyBorder="0" applyAlignment="0" applyProtection="0"/>
    <xf numFmtId="0" fontId="1" fillId="2" borderId="0" applyNumberFormat="0" applyBorder="0" applyAlignment="0" applyProtection="0"/>
    <xf numFmtId="0" fontId="2" fillId="0" borderId="0"/>
    <xf numFmtId="41" fontId="63" fillId="0" borderId="0" applyFont="0" applyFill="0" applyBorder="0" applyAlignment="0" applyProtection="0"/>
  </cellStyleXfs>
  <cellXfs count="918">
    <xf numFmtId="0" fontId="0" fillId="0" borderId="0" xfId="0"/>
    <xf numFmtId="1" fontId="5" fillId="3" borderId="0" xfId="6" applyNumberFormat="1" applyFont="1" applyFill="1"/>
    <xf numFmtId="0" fontId="0" fillId="3" borderId="0" xfId="0" applyFill="1"/>
    <xf numFmtId="0" fontId="3" fillId="3" borderId="0" xfId="21" applyFill="1"/>
    <xf numFmtId="3" fontId="0" fillId="3" borderId="0" xfId="0" applyNumberFormat="1" applyFill="1"/>
    <xf numFmtId="1" fontId="9" fillId="3" borderId="0" xfId="6" applyNumberFormat="1" applyFont="1" applyFill="1"/>
    <xf numFmtId="3" fontId="4" fillId="3" borderId="0" xfId="22" applyNumberFormat="1" applyFont="1" applyFill="1" applyBorder="1" applyAlignment="1"/>
    <xf numFmtId="3" fontId="3" fillId="3" borderId="0" xfId="22" applyNumberFormat="1" applyFill="1"/>
    <xf numFmtId="0" fontId="3" fillId="3" borderId="0" xfId="22" applyFill="1"/>
    <xf numFmtId="0" fontId="3" fillId="3" borderId="0" xfId="22" applyFill="1" applyBorder="1" applyAlignment="1"/>
    <xf numFmtId="0" fontId="3" fillId="3" borderId="0" xfId="24" applyFill="1"/>
    <xf numFmtId="3" fontId="3" fillId="3" borderId="0" xfId="24" applyNumberFormat="1" applyFill="1"/>
    <xf numFmtId="0" fontId="3" fillId="3" borderId="0" xfId="24" applyFont="1" applyFill="1"/>
    <xf numFmtId="0" fontId="11" fillId="3" borderId="0" xfId="25" applyFont="1" applyFill="1"/>
    <xf numFmtId="0" fontId="10" fillId="3" borderId="0" xfId="25" applyFont="1" applyFill="1"/>
    <xf numFmtId="3" fontId="11" fillId="3" borderId="0" xfId="25" applyNumberFormat="1" applyFont="1" applyFill="1"/>
    <xf numFmtId="0" fontId="3" fillId="3" borderId="0" xfId="26" applyFill="1"/>
    <xf numFmtId="0" fontId="3" fillId="3" borderId="0" xfId="12" applyFill="1"/>
    <xf numFmtId="0" fontId="0" fillId="3" borderId="0" xfId="0" applyFill="1" applyBorder="1"/>
    <xf numFmtId="0" fontId="3" fillId="3" borderId="0" xfId="20" applyFill="1"/>
    <xf numFmtId="0" fontId="17" fillId="3" borderId="0" xfId="0" applyFont="1" applyFill="1"/>
    <xf numFmtId="0" fontId="0" fillId="3" borderId="0" xfId="0" applyFill="1" applyAlignment="1">
      <alignment horizontal="center"/>
    </xf>
    <xf numFmtId="0" fontId="18" fillId="3" borderId="0" xfId="0" applyFont="1" applyFill="1"/>
    <xf numFmtId="0" fontId="19" fillId="3" borderId="0" xfId="0" applyFont="1" applyFill="1"/>
    <xf numFmtId="0" fontId="20" fillId="3" borderId="0" xfId="0" applyFont="1" applyFill="1"/>
    <xf numFmtId="3" fontId="0" fillId="3" borderId="1" xfId="0" applyNumberFormat="1" applyFill="1" applyBorder="1" applyAlignment="1">
      <alignment horizontal="center"/>
    </xf>
    <xf numFmtId="3" fontId="0" fillId="3" borderId="2" xfId="0" applyNumberFormat="1" applyFill="1" applyBorder="1" applyAlignment="1">
      <alignment horizontal="center"/>
    </xf>
    <xf numFmtId="3" fontId="0" fillId="3" borderId="3" xfId="0" applyNumberFormat="1"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3" fontId="0" fillId="3" borderId="0" xfId="0" applyNumberFormat="1" applyFill="1" applyBorder="1" applyAlignment="1">
      <alignment horizontal="center"/>
    </xf>
    <xf numFmtId="3" fontId="0" fillId="3" borderId="4" xfId="0" applyNumberFormat="1" applyFill="1" applyBorder="1" applyAlignment="1">
      <alignment horizontal="center"/>
    </xf>
    <xf numFmtId="3" fontId="0" fillId="3" borderId="5" xfId="0" applyNumberFormat="1" applyFill="1" applyBorder="1" applyAlignment="1">
      <alignment horizontal="center"/>
    </xf>
    <xf numFmtId="3" fontId="0" fillId="3" borderId="6" xfId="0" applyNumberFormat="1" applyFill="1" applyBorder="1" applyAlignment="1">
      <alignment horizontal="center"/>
    </xf>
    <xf numFmtId="3" fontId="0" fillId="3" borderId="0" xfId="0" applyNumberFormat="1" applyFill="1" applyAlignment="1">
      <alignment horizontal="center"/>
    </xf>
    <xf numFmtId="0" fontId="19" fillId="3" borderId="7" xfId="0" applyFont="1" applyFill="1" applyBorder="1"/>
    <xf numFmtId="0" fontId="19" fillId="3" borderId="7" xfId="0" applyFont="1" applyFill="1" applyBorder="1" applyAlignment="1">
      <alignment horizontal="center"/>
    </xf>
    <xf numFmtId="0" fontId="19" fillId="3" borderId="1" xfId="0" applyFont="1" applyFill="1" applyBorder="1" applyAlignment="1">
      <alignment horizontal="center"/>
    </xf>
    <xf numFmtId="0" fontId="19" fillId="3" borderId="2" xfId="0" applyFont="1" applyFill="1" applyBorder="1" applyAlignment="1">
      <alignment horizontal="center"/>
    </xf>
    <xf numFmtId="0" fontId="19" fillId="3" borderId="8" xfId="0" applyFont="1" applyFill="1" applyBorder="1"/>
    <xf numFmtId="0" fontId="19" fillId="3" borderId="8" xfId="0" applyFont="1" applyFill="1" applyBorder="1" applyAlignment="1">
      <alignment horizontal="center"/>
    </xf>
    <xf numFmtId="0" fontId="19" fillId="3" borderId="5" xfId="0" applyFont="1" applyFill="1" applyBorder="1" applyAlignment="1">
      <alignment horizontal="center"/>
    </xf>
    <xf numFmtId="0" fontId="19" fillId="3" borderId="6" xfId="0" applyFont="1" applyFill="1" applyBorder="1" applyAlignment="1">
      <alignment horizontal="center"/>
    </xf>
    <xf numFmtId="0" fontId="19" fillId="3" borderId="9" xfId="0" applyFont="1" applyFill="1" applyBorder="1"/>
    <xf numFmtId="3" fontId="19" fillId="3" borderId="9" xfId="0" applyNumberFormat="1" applyFont="1" applyFill="1" applyBorder="1" applyAlignment="1">
      <alignment horizontal="center"/>
    </xf>
    <xf numFmtId="3" fontId="19" fillId="3" borderId="3" xfId="0" applyNumberFormat="1" applyFont="1" applyFill="1" applyBorder="1" applyAlignment="1">
      <alignment horizontal="center"/>
    </xf>
    <xf numFmtId="3" fontId="19" fillId="3" borderId="0" xfId="0" applyNumberFormat="1" applyFont="1" applyFill="1" applyBorder="1" applyAlignment="1">
      <alignment horizontal="center"/>
    </xf>
    <xf numFmtId="0" fontId="19" fillId="3" borderId="3" xfId="0" applyFont="1" applyFill="1" applyBorder="1" applyAlignment="1">
      <alignment horizontal="center"/>
    </xf>
    <xf numFmtId="0" fontId="19" fillId="3" borderId="0" xfId="0" applyFont="1" applyFill="1" applyBorder="1" applyAlignment="1">
      <alignment horizontal="center"/>
    </xf>
    <xf numFmtId="0" fontId="19" fillId="3" borderId="9" xfId="0" applyFont="1" applyFill="1" applyBorder="1" applyAlignment="1">
      <alignment horizontal="center"/>
    </xf>
    <xf numFmtId="0" fontId="19" fillId="3" borderId="10" xfId="0" applyFont="1" applyFill="1" applyBorder="1"/>
    <xf numFmtId="3" fontId="19" fillId="3" borderId="10" xfId="0" applyNumberFormat="1" applyFont="1" applyFill="1" applyBorder="1" applyAlignment="1">
      <alignment horizontal="center"/>
    </xf>
    <xf numFmtId="3" fontId="19" fillId="3" borderId="11" xfId="0" applyNumberFormat="1" applyFont="1" applyFill="1" applyBorder="1" applyAlignment="1">
      <alignment horizontal="center"/>
    </xf>
    <xf numFmtId="3" fontId="19" fillId="3" borderId="12" xfId="0" applyNumberFormat="1" applyFont="1" applyFill="1" applyBorder="1" applyAlignment="1">
      <alignment horizontal="center"/>
    </xf>
    <xf numFmtId="0" fontId="18" fillId="3" borderId="9" xfId="0" applyFont="1" applyFill="1" applyBorder="1"/>
    <xf numFmtId="3" fontId="19" fillId="3" borderId="8" xfId="0" applyNumberFormat="1" applyFont="1" applyFill="1" applyBorder="1" applyAlignment="1">
      <alignment horizontal="center"/>
    </xf>
    <xf numFmtId="3" fontId="19" fillId="3" borderId="5" xfId="0" applyNumberFormat="1" applyFont="1" applyFill="1" applyBorder="1" applyAlignment="1">
      <alignment horizontal="center"/>
    </xf>
    <xf numFmtId="3" fontId="19" fillId="3" borderId="6" xfId="0" applyNumberFormat="1" applyFont="1" applyFill="1" applyBorder="1" applyAlignment="1">
      <alignment horizontal="center"/>
    </xf>
    <xf numFmtId="0" fontId="19" fillId="3" borderId="0" xfId="0" applyFont="1" applyFill="1" applyBorder="1"/>
    <xf numFmtId="3" fontId="19" fillId="3" borderId="0" xfId="0" applyNumberFormat="1" applyFont="1" applyFill="1" applyBorder="1"/>
    <xf numFmtId="0" fontId="20" fillId="3" borderId="0" xfId="0" applyFont="1" applyFill="1" applyBorder="1"/>
    <xf numFmtId="0" fontId="0" fillId="3" borderId="0" xfId="0" applyNumberFormat="1" applyFill="1"/>
    <xf numFmtId="168" fontId="0" fillId="3" borderId="0" xfId="0" applyNumberFormat="1" applyFill="1"/>
    <xf numFmtId="0" fontId="0" fillId="3" borderId="0" xfId="0" applyNumberFormat="1" applyFill="1" applyAlignment="1">
      <alignment horizontal="center"/>
    </xf>
    <xf numFmtId="0" fontId="12" fillId="4" borderId="13" xfId="0" applyNumberFormat="1" applyFont="1" applyFill="1" applyBorder="1"/>
    <xf numFmtId="0" fontId="12" fillId="4" borderId="14" xfId="0" applyNumberFormat="1" applyFont="1" applyFill="1" applyBorder="1"/>
    <xf numFmtId="0" fontId="12" fillId="4" borderId="15" xfId="0" applyNumberFormat="1" applyFont="1" applyFill="1" applyBorder="1"/>
    <xf numFmtId="0" fontId="0" fillId="3" borderId="16" xfId="0" applyNumberFormat="1" applyFill="1" applyBorder="1"/>
    <xf numFmtId="0" fontId="0" fillId="3" borderId="17" xfId="0" applyNumberFormat="1" applyFill="1" applyBorder="1"/>
    <xf numFmtId="0" fontId="0" fillId="4" borderId="18" xfId="0" applyNumberFormat="1" applyFill="1" applyBorder="1"/>
    <xf numFmtId="0" fontId="7" fillId="3" borderId="13" xfId="0" applyNumberFormat="1" applyFont="1" applyFill="1" applyBorder="1"/>
    <xf numFmtId="0" fontId="7" fillId="3" borderId="14" xfId="0" applyNumberFormat="1" applyFont="1" applyFill="1" applyBorder="1"/>
    <xf numFmtId="0" fontId="0" fillId="3" borderId="14" xfId="0" applyNumberFormat="1" applyFill="1" applyBorder="1"/>
    <xf numFmtId="3" fontId="0" fillId="3" borderId="19" xfId="0" applyNumberFormat="1" applyFill="1" applyBorder="1" applyAlignment="1">
      <alignment horizontal="center"/>
    </xf>
    <xf numFmtId="3" fontId="0" fillId="3" borderId="20" xfId="0" applyNumberFormat="1" applyFill="1" applyBorder="1" applyAlignment="1">
      <alignment horizontal="center"/>
    </xf>
    <xf numFmtId="3" fontId="0" fillId="3" borderId="16" xfId="0" applyNumberFormat="1" applyFill="1" applyBorder="1" applyAlignment="1">
      <alignment horizontal="center"/>
    </xf>
    <xf numFmtId="3" fontId="0" fillId="3" borderId="17" xfId="0" applyNumberFormat="1" applyFill="1" applyBorder="1" applyAlignment="1">
      <alignment horizontal="center"/>
    </xf>
    <xf numFmtId="0" fontId="12" fillId="4" borderId="21" xfId="0" applyNumberFormat="1" applyFont="1" applyFill="1" applyBorder="1" applyAlignment="1">
      <alignment horizontal="center"/>
    </xf>
    <xf numFmtId="3" fontId="0" fillId="4" borderId="19" xfId="0" applyNumberFormat="1" applyFill="1" applyBorder="1" applyAlignment="1">
      <alignment horizontal="center"/>
    </xf>
    <xf numFmtId="0" fontId="0" fillId="4" borderId="22" xfId="0" applyNumberFormat="1" applyFill="1" applyBorder="1"/>
    <xf numFmtId="3" fontId="0" fillId="4" borderId="16" xfId="0" applyNumberFormat="1" applyFill="1" applyBorder="1" applyAlignment="1">
      <alignment horizontal="center"/>
    </xf>
    <xf numFmtId="3" fontId="0" fillId="4" borderId="17" xfId="0" applyNumberFormat="1" applyFill="1" applyBorder="1" applyAlignment="1">
      <alignment horizontal="center"/>
    </xf>
    <xf numFmtId="3" fontId="0" fillId="4" borderId="22" xfId="0" applyNumberFormat="1" applyFill="1" applyBorder="1" applyAlignment="1">
      <alignment horizontal="center"/>
    </xf>
    <xf numFmtId="0" fontId="7" fillId="3" borderId="0" xfId="0" applyNumberFormat="1" applyFont="1" applyFill="1" applyAlignment="1">
      <alignment horizontal="center"/>
    </xf>
    <xf numFmtId="17" fontId="0" fillId="3" borderId="0" xfId="0" applyNumberFormat="1" applyFill="1" applyAlignment="1">
      <alignment horizontal="center"/>
    </xf>
    <xf numFmtId="0" fontId="12" fillId="4" borderId="23" xfId="0" applyNumberFormat="1" applyFont="1" applyFill="1" applyBorder="1" applyAlignment="1">
      <alignment horizontal="center"/>
    </xf>
    <xf numFmtId="3" fontId="0" fillId="4" borderId="23" xfId="0" applyNumberFormat="1" applyFill="1" applyBorder="1" applyAlignment="1">
      <alignment horizontal="center"/>
    </xf>
    <xf numFmtId="3" fontId="0" fillId="3" borderId="24" xfId="0" applyNumberFormat="1" applyFill="1" applyBorder="1" applyAlignment="1">
      <alignment horizontal="center"/>
    </xf>
    <xf numFmtId="3" fontId="0" fillId="4" borderId="25" xfId="0" applyNumberFormat="1" applyFill="1" applyBorder="1" applyAlignment="1">
      <alignment horizontal="center"/>
    </xf>
    <xf numFmtId="3" fontId="0" fillId="4" borderId="24" xfId="0" applyNumberFormat="1" applyFill="1" applyBorder="1" applyAlignment="1">
      <alignment horizontal="center"/>
    </xf>
    <xf numFmtId="3" fontId="0" fillId="3" borderId="26" xfId="0" applyNumberFormat="1" applyFill="1" applyBorder="1" applyAlignment="1">
      <alignment horizontal="center"/>
    </xf>
    <xf numFmtId="3" fontId="0" fillId="4" borderId="21" xfId="0" applyNumberFormat="1" applyFill="1" applyBorder="1" applyAlignment="1">
      <alignment horizontal="center"/>
    </xf>
    <xf numFmtId="3" fontId="0" fillId="4" borderId="26" xfId="0" applyNumberFormat="1" applyFill="1" applyBorder="1" applyAlignment="1">
      <alignment horizontal="center"/>
    </xf>
    <xf numFmtId="3" fontId="0" fillId="4" borderId="20" xfId="0" applyNumberFormat="1" applyFill="1" applyBorder="1" applyAlignment="1">
      <alignment horizontal="center"/>
    </xf>
    <xf numFmtId="3" fontId="0" fillId="4" borderId="3" xfId="0" applyNumberFormat="1" applyFill="1" applyBorder="1" applyAlignment="1">
      <alignment horizontal="center"/>
    </xf>
    <xf numFmtId="3" fontId="0" fillId="4" borderId="0" xfId="0" applyNumberFormat="1" applyFill="1" applyBorder="1" applyAlignment="1">
      <alignment horizontal="center"/>
    </xf>
    <xf numFmtId="3" fontId="0" fillId="4" borderId="27" xfId="0" applyNumberFormat="1" applyFill="1" applyBorder="1" applyAlignment="1">
      <alignment horizontal="center"/>
    </xf>
    <xf numFmtId="3" fontId="0" fillId="4" borderId="28" xfId="0" applyNumberFormat="1" applyFill="1" applyBorder="1" applyAlignment="1">
      <alignment horizontal="center"/>
    </xf>
    <xf numFmtId="3" fontId="0" fillId="4" borderId="29" xfId="0" applyNumberFormat="1" applyFill="1" applyBorder="1" applyAlignment="1">
      <alignment horizontal="center"/>
    </xf>
    <xf numFmtId="0" fontId="12" fillId="4" borderId="20" xfId="0" applyNumberFormat="1" applyFont="1" applyFill="1" applyBorder="1" applyAlignment="1">
      <alignment horizontal="center"/>
    </xf>
    <xf numFmtId="0" fontId="12" fillId="4" borderId="26" xfId="0" applyNumberFormat="1" applyFont="1" applyFill="1" applyBorder="1" applyAlignment="1">
      <alignment horizontal="center"/>
    </xf>
    <xf numFmtId="0" fontId="16" fillId="4" borderId="26" xfId="0" applyNumberFormat="1" applyFont="1" applyFill="1" applyBorder="1" applyAlignment="1">
      <alignment horizontal="center"/>
    </xf>
    <xf numFmtId="0" fontId="12" fillId="4" borderId="3" xfId="0" applyNumberFormat="1" applyFont="1" applyFill="1" applyBorder="1" applyAlignment="1">
      <alignment horizontal="center"/>
    </xf>
    <xf numFmtId="0" fontId="12" fillId="4" borderId="0" xfId="0" applyNumberFormat="1" applyFont="1" applyFill="1" applyBorder="1" applyAlignment="1">
      <alignment horizontal="center"/>
    </xf>
    <xf numFmtId="0" fontId="16" fillId="4" borderId="0" xfId="0" applyNumberFormat="1" applyFont="1" applyFill="1" applyBorder="1" applyAlignment="1">
      <alignment horizontal="center"/>
    </xf>
    <xf numFmtId="0" fontId="0" fillId="4" borderId="3" xfId="0" applyFill="1" applyBorder="1" applyAlignment="1">
      <alignment horizontal="center"/>
    </xf>
    <xf numFmtId="3" fontId="0" fillId="4" borderId="30" xfId="0" applyNumberFormat="1" applyFill="1" applyBorder="1" applyAlignment="1">
      <alignment horizontal="center"/>
    </xf>
    <xf numFmtId="0" fontId="0" fillId="4" borderId="17" xfId="0" applyNumberFormat="1" applyFill="1" applyBorder="1"/>
    <xf numFmtId="0" fontId="0" fillId="3" borderId="0" xfId="0" applyFill="1" applyAlignment="1">
      <alignment horizontal="left"/>
    </xf>
    <xf numFmtId="0" fontId="0" fillId="3" borderId="31" xfId="0" applyFill="1" applyBorder="1"/>
    <xf numFmtId="0" fontId="12" fillId="4" borderId="18" xfId="0" applyNumberFormat="1" applyFont="1" applyFill="1" applyBorder="1"/>
    <xf numFmtId="0" fontId="7" fillId="4" borderId="18" xfId="0" applyFont="1" applyFill="1" applyBorder="1"/>
    <xf numFmtId="0" fontId="16" fillId="4" borderId="14" xfId="0" applyNumberFormat="1" applyFont="1" applyFill="1" applyBorder="1"/>
    <xf numFmtId="3" fontId="17" fillId="3" borderId="0" xfId="0" applyNumberFormat="1" applyFont="1" applyFill="1" applyBorder="1" applyAlignment="1">
      <alignment horizontal="center"/>
    </xf>
    <xf numFmtId="3" fontId="17" fillId="3" borderId="3" xfId="0" applyNumberFormat="1" applyFont="1" applyFill="1" applyBorder="1" applyAlignment="1">
      <alignment horizontal="center"/>
    </xf>
    <xf numFmtId="3" fontId="17" fillId="4" borderId="3" xfId="0" applyNumberFormat="1" applyFont="1" applyFill="1" applyBorder="1" applyAlignment="1">
      <alignment horizontal="center"/>
    </xf>
    <xf numFmtId="3" fontId="17" fillId="3" borderId="0" xfId="0" applyNumberFormat="1" applyFont="1" applyFill="1"/>
    <xf numFmtId="165" fontId="17" fillId="3" borderId="3" xfId="0" applyNumberFormat="1" applyFont="1" applyFill="1" applyBorder="1" applyAlignment="1">
      <alignment horizontal="center"/>
    </xf>
    <xf numFmtId="3" fontId="17" fillId="4" borderId="23" xfId="0" applyNumberFormat="1" applyFont="1" applyFill="1" applyBorder="1" applyAlignment="1">
      <alignment horizontal="center"/>
    </xf>
    <xf numFmtId="3" fontId="3" fillId="3" borderId="0" xfId="24" applyNumberFormat="1" applyFill="1" applyBorder="1"/>
    <xf numFmtId="0" fontId="3" fillId="3" borderId="0" xfId="24" applyFill="1" applyBorder="1"/>
    <xf numFmtId="0" fontId="3" fillId="3" borderId="0" xfId="15" applyFill="1"/>
    <xf numFmtId="0" fontId="13" fillId="3" borderId="0" xfId="27" applyFill="1"/>
    <xf numFmtId="0" fontId="10" fillId="3" borderId="0" xfId="28" applyNumberFormat="1" applyFont="1" applyFill="1"/>
    <xf numFmtId="0" fontId="10" fillId="3" borderId="0" xfId="28" applyFont="1" applyFill="1"/>
    <xf numFmtId="3" fontId="17" fillId="3" borderId="32" xfId="0" applyNumberFormat="1" applyFont="1" applyFill="1" applyBorder="1" applyAlignment="1">
      <alignment horizontal="center"/>
    </xf>
    <xf numFmtId="3" fontId="0" fillId="3" borderId="9" xfId="0" applyNumberFormat="1" applyFill="1" applyBorder="1" applyAlignment="1">
      <alignment horizontal="center"/>
    </xf>
    <xf numFmtId="3" fontId="17" fillId="3" borderId="9" xfId="0" applyNumberFormat="1" applyFont="1" applyFill="1" applyBorder="1" applyAlignment="1">
      <alignment horizontal="center"/>
    </xf>
    <xf numFmtId="0" fontId="27" fillId="3" borderId="0" xfId="2" applyFill="1" applyAlignment="1" applyProtection="1"/>
    <xf numFmtId="0" fontId="27" fillId="3" borderId="0" xfId="2" applyNumberFormat="1" applyFill="1" applyAlignment="1" applyProtection="1">
      <alignment horizontal="center"/>
    </xf>
    <xf numFmtId="3" fontId="9" fillId="3" borderId="0" xfId="6" applyNumberFormat="1" applyFont="1" applyFill="1"/>
    <xf numFmtId="0" fontId="6" fillId="3" borderId="0" xfId="0" applyFont="1" applyFill="1" applyBorder="1"/>
    <xf numFmtId="3" fontId="6" fillId="3" borderId="0" xfId="0" applyNumberFormat="1" applyFont="1" applyFill="1" applyBorder="1"/>
    <xf numFmtId="0" fontId="0" fillId="5" borderId="0" xfId="0" applyFill="1" applyBorder="1"/>
    <xf numFmtId="0" fontId="0" fillId="5" borderId="0" xfId="0" applyFill="1"/>
    <xf numFmtId="3" fontId="0" fillId="5" borderId="0" xfId="0" applyNumberFormat="1" applyFill="1"/>
    <xf numFmtId="0" fontId="17" fillId="5" borderId="0" xfId="0" applyFont="1" applyFill="1"/>
    <xf numFmtId="3" fontId="0" fillId="0" borderId="3" xfId="0" applyNumberFormat="1" applyFill="1" applyBorder="1" applyAlignment="1">
      <alignment horizontal="center"/>
    </xf>
    <xf numFmtId="3" fontId="0" fillId="0" borderId="0" xfId="0" applyNumberFormat="1" applyFill="1" applyBorder="1" applyAlignment="1">
      <alignment horizontal="center"/>
    </xf>
    <xf numFmtId="3" fontId="20" fillId="4" borderId="21" xfId="0" applyNumberFormat="1" applyFont="1" applyFill="1" applyBorder="1" applyAlignment="1">
      <alignment horizontal="center"/>
    </xf>
    <xf numFmtId="3" fontId="7" fillId="4" borderId="29" xfId="0" applyNumberFormat="1" applyFont="1" applyFill="1" applyBorder="1" applyAlignment="1">
      <alignment horizontal="center"/>
    </xf>
    <xf numFmtId="0" fontId="12" fillId="4" borderId="17" xfId="0" applyNumberFormat="1" applyFont="1" applyFill="1" applyBorder="1"/>
    <xf numFmtId="0" fontId="12" fillId="4" borderId="22" xfId="0" applyNumberFormat="1" applyFont="1" applyFill="1" applyBorder="1"/>
    <xf numFmtId="3" fontId="0" fillId="4" borderId="33" xfId="0" applyNumberFormat="1" applyFill="1" applyBorder="1" applyAlignment="1">
      <alignment horizontal="center"/>
    </xf>
    <xf numFmtId="3" fontId="0" fillId="4" borderId="4" xfId="0" applyNumberFormat="1" applyFill="1" applyBorder="1" applyAlignment="1">
      <alignment horizontal="center"/>
    </xf>
    <xf numFmtId="3" fontId="0" fillId="4" borderId="34" xfId="0" applyNumberFormat="1" applyFill="1" applyBorder="1" applyAlignment="1">
      <alignment horizontal="center"/>
    </xf>
    <xf numFmtId="3" fontId="0" fillId="3" borderId="21" xfId="0" applyNumberFormat="1" applyFill="1" applyBorder="1" applyAlignment="1">
      <alignment horizontal="center"/>
    </xf>
    <xf numFmtId="3" fontId="0" fillId="3" borderId="23" xfId="0" applyNumberFormat="1" applyFill="1" applyBorder="1" applyAlignment="1">
      <alignment horizontal="center"/>
    </xf>
    <xf numFmtId="3" fontId="0" fillId="3" borderId="25" xfId="0" applyNumberFormat="1" applyFill="1" applyBorder="1" applyAlignment="1">
      <alignment horizontal="center"/>
    </xf>
    <xf numFmtId="3" fontId="0" fillId="3" borderId="7" xfId="0" applyNumberFormat="1" applyFill="1" applyBorder="1" applyAlignment="1">
      <alignment horizontal="center"/>
    </xf>
    <xf numFmtId="3" fontId="0" fillId="3" borderId="8" xfId="0" applyNumberFormat="1" applyFill="1" applyBorder="1" applyAlignment="1">
      <alignment horizontal="center"/>
    </xf>
    <xf numFmtId="3" fontId="0" fillId="4" borderId="18" xfId="0" applyNumberFormat="1" applyFill="1" applyBorder="1" applyAlignment="1">
      <alignment horizontal="center"/>
    </xf>
    <xf numFmtId="3" fontId="0" fillId="4" borderId="35" xfId="0" applyNumberFormat="1" applyFill="1" applyBorder="1" applyAlignment="1">
      <alignment horizontal="center"/>
    </xf>
    <xf numFmtId="3" fontId="0" fillId="4" borderId="36" xfId="0" applyNumberFormat="1" applyFill="1" applyBorder="1" applyAlignment="1">
      <alignment horizontal="center"/>
    </xf>
    <xf numFmtId="0" fontId="12" fillId="4" borderId="16" xfId="0" applyNumberFormat="1" applyFont="1" applyFill="1" applyBorder="1"/>
    <xf numFmtId="3" fontId="0" fillId="3" borderId="37" xfId="0" applyNumberFormat="1" applyFill="1" applyBorder="1" applyAlignment="1">
      <alignment horizontal="center"/>
    </xf>
    <xf numFmtId="3" fontId="0" fillId="3" borderId="38" xfId="0" applyNumberFormat="1" applyFill="1" applyBorder="1" applyAlignment="1">
      <alignment horizontal="center"/>
    </xf>
    <xf numFmtId="3" fontId="0" fillId="3" borderId="39" xfId="0" applyNumberFormat="1" applyFill="1" applyBorder="1" applyAlignment="1">
      <alignment horizontal="center"/>
    </xf>
    <xf numFmtId="3" fontId="0" fillId="3" borderId="40" xfId="0" applyNumberFormat="1" applyFill="1" applyBorder="1" applyAlignment="1">
      <alignment horizontal="center"/>
    </xf>
    <xf numFmtId="3" fontId="20" fillId="3" borderId="0" xfId="22" applyNumberFormat="1" applyFont="1" applyFill="1" applyBorder="1" applyAlignment="1"/>
    <xf numFmtId="0" fontId="2" fillId="3" borderId="0" xfId="0" applyFont="1" applyFill="1"/>
    <xf numFmtId="3" fontId="20" fillId="3" borderId="0" xfId="0" applyNumberFormat="1" applyFont="1" applyFill="1" applyBorder="1"/>
    <xf numFmtId="1" fontId="7" fillId="3" borderId="0" xfId="6" applyNumberFormat="1" applyFont="1" applyFill="1"/>
    <xf numFmtId="3" fontId="20" fillId="5" borderId="0" xfId="0" applyNumberFormat="1" applyFont="1" applyFill="1"/>
    <xf numFmtId="3" fontId="35" fillId="6" borderId="0" xfId="22" applyNumberFormat="1" applyFont="1" applyFill="1" applyBorder="1" applyAlignment="1">
      <alignment horizontal="left"/>
    </xf>
    <xf numFmtId="3" fontId="7" fillId="3" borderId="0" xfId="22" applyNumberFormat="1" applyFont="1" applyFill="1" applyBorder="1" applyAlignment="1"/>
    <xf numFmtId="3" fontId="20" fillId="3" borderId="0" xfId="22" applyNumberFormat="1" applyFont="1" applyFill="1"/>
    <xf numFmtId="3" fontId="20" fillId="5" borderId="0" xfId="22" applyNumberFormat="1" applyFont="1" applyFill="1" applyBorder="1" applyAlignment="1"/>
    <xf numFmtId="3" fontId="17" fillId="3" borderId="0" xfId="6" applyNumberFormat="1" applyFont="1" applyFill="1" applyBorder="1" applyAlignment="1">
      <alignment horizontal="center"/>
    </xf>
    <xf numFmtId="3" fontId="21" fillId="3" borderId="0" xfId="6" applyNumberFormat="1" applyFont="1" applyFill="1"/>
    <xf numFmtId="3" fontId="7" fillId="5" borderId="0" xfId="6" applyNumberFormat="1" applyFont="1" applyFill="1" applyBorder="1"/>
    <xf numFmtId="1" fontId="21" fillId="3" borderId="0" xfId="6" applyNumberFormat="1" applyFont="1" applyFill="1"/>
    <xf numFmtId="3" fontId="21" fillId="3" borderId="0" xfId="6" applyNumberFormat="1" applyFont="1" applyFill="1" applyBorder="1"/>
    <xf numFmtId="3" fontId="20" fillId="3" borderId="0" xfId="22" applyNumberFormat="1" applyFont="1" applyFill="1" applyBorder="1"/>
    <xf numFmtId="3" fontId="20" fillId="3" borderId="0" xfId="0" applyNumberFormat="1" applyFont="1" applyFill="1"/>
    <xf numFmtId="0" fontId="20" fillId="5" borderId="0" xfId="0" applyFont="1" applyFill="1"/>
    <xf numFmtId="0" fontId="36" fillId="3" borderId="0" xfId="2" applyFont="1" applyFill="1" applyAlignment="1" applyProtection="1"/>
    <xf numFmtId="0" fontId="16" fillId="3" borderId="0" xfId="13" applyFont="1" applyFill="1"/>
    <xf numFmtId="4" fontId="16" fillId="3" borderId="0" xfId="13" applyNumberFormat="1" applyFont="1" applyFill="1" applyAlignment="1">
      <alignment horizontal="left"/>
    </xf>
    <xf numFmtId="3" fontId="16" fillId="3" borderId="0" xfId="13" applyNumberFormat="1" applyFont="1" applyFill="1" applyAlignment="1">
      <alignment horizontal="left"/>
    </xf>
    <xf numFmtId="166" fontId="17" fillId="3" borderId="0" xfId="6" applyNumberFormat="1" applyFont="1" applyFill="1" applyBorder="1" applyAlignment="1">
      <alignment horizontal="center"/>
    </xf>
    <xf numFmtId="167" fontId="17" fillId="3" borderId="0" xfId="6" applyNumberFormat="1" applyFont="1" applyFill="1" applyBorder="1" applyAlignment="1">
      <alignment horizontal="center"/>
    </xf>
    <xf numFmtId="3" fontId="7" fillId="3" borderId="0" xfId="6" applyNumberFormat="1" applyFont="1" applyFill="1"/>
    <xf numFmtId="0" fontId="20" fillId="3" borderId="0" xfId="21" applyFont="1" applyFill="1"/>
    <xf numFmtId="166" fontId="20" fillId="3" borderId="0" xfId="21" applyNumberFormat="1" applyFont="1" applyFill="1"/>
    <xf numFmtId="10" fontId="20" fillId="3" borderId="0" xfId="21" applyNumberFormat="1" applyFont="1" applyFill="1"/>
    <xf numFmtId="0" fontId="20" fillId="5" borderId="0" xfId="0" applyFont="1" applyFill="1" applyBorder="1"/>
    <xf numFmtId="0" fontId="39" fillId="3" borderId="0" xfId="0" applyFont="1" applyFill="1"/>
    <xf numFmtId="0" fontId="40" fillId="3" borderId="0" xfId="0" applyFont="1" applyFill="1"/>
    <xf numFmtId="0" fontId="41" fillId="3" borderId="0" xfId="0" applyFont="1" applyFill="1"/>
    <xf numFmtId="0" fontId="20" fillId="3" borderId="0" xfId="23" applyFont="1" applyFill="1"/>
    <xf numFmtId="3" fontId="20" fillId="3" borderId="0" xfId="23" applyNumberFormat="1" applyFont="1" applyFill="1"/>
    <xf numFmtId="0" fontId="20" fillId="3" borderId="0" xfId="22" applyFont="1" applyFill="1" applyBorder="1" applyAlignment="1"/>
    <xf numFmtId="9" fontId="20" fillId="3" borderId="0" xfId="22" applyNumberFormat="1" applyFont="1" applyFill="1" applyBorder="1" applyAlignment="1"/>
    <xf numFmtId="0" fontId="20" fillId="3" borderId="0" xfId="22" applyFont="1" applyFill="1"/>
    <xf numFmtId="0" fontId="20" fillId="3" borderId="0" xfId="24" applyFont="1" applyFill="1"/>
    <xf numFmtId="3" fontId="20" fillId="3" borderId="0" xfId="24" applyNumberFormat="1" applyFont="1" applyFill="1"/>
    <xf numFmtId="0" fontId="30" fillId="3" borderId="0" xfId="13" applyFont="1" applyFill="1"/>
    <xf numFmtId="1" fontId="16" fillId="3" borderId="0" xfId="6" applyNumberFormat="1" applyFont="1" applyFill="1"/>
    <xf numFmtId="0" fontId="20" fillId="3" borderId="0" xfId="13" applyFont="1" applyFill="1"/>
    <xf numFmtId="3" fontId="20" fillId="3" borderId="0" xfId="13" applyNumberFormat="1" applyFont="1" applyFill="1"/>
    <xf numFmtId="0" fontId="20" fillId="3" borderId="0" xfId="15" applyFont="1" applyFill="1"/>
    <xf numFmtId="0" fontId="20" fillId="3" borderId="0" xfId="16" applyFont="1" applyFill="1"/>
    <xf numFmtId="0" fontId="20" fillId="3" borderId="0" xfId="16" applyFont="1" applyFill="1" applyAlignment="1">
      <alignment horizontal="center"/>
    </xf>
    <xf numFmtId="0" fontId="20" fillId="0" borderId="0" xfId="0" applyFont="1"/>
    <xf numFmtId="0" fontId="41" fillId="3" borderId="0" xfId="0" applyFont="1" applyFill="1" applyAlignment="1">
      <alignment vertical="center"/>
    </xf>
    <xf numFmtId="0" fontId="39" fillId="3" borderId="0" xfId="0" applyFont="1" applyFill="1" applyAlignment="1">
      <alignment vertical="center"/>
    </xf>
    <xf numFmtId="0" fontId="0" fillId="3" borderId="0" xfId="0" applyFill="1" applyAlignment="1">
      <alignment vertical="center"/>
    </xf>
    <xf numFmtId="0" fontId="39" fillId="3" borderId="0" xfId="0" applyFont="1" applyFill="1" applyAlignment="1">
      <alignment horizontal="right" vertical="center"/>
    </xf>
    <xf numFmtId="0" fontId="27" fillId="3" borderId="0" xfId="2" quotePrefix="1" applyFont="1" applyFill="1" applyAlignment="1" applyProtection="1">
      <alignment vertical="center"/>
    </xf>
    <xf numFmtId="0" fontId="27" fillId="3" borderId="0" xfId="2" applyFill="1" applyAlignment="1" applyProtection="1">
      <alignment vertical="center"/>
    </xf>
    <xf numFmtId="0" fontId="17" fillId="3" borderId="0" xfId="21" applyFont="1" applyFill="1"/>
    <xf numFmtId="3" fontId="17" fillId="3" borderId="0" xfId="21" applyNumberFormat="1" applyFont="1" applyFill="1"/>
    <xf numFmtId="3" fontId="20" fillId="5" borderId="0" xfId="22" applyNumberFormat="1" applyFont="1" applyFill="1" applyBorder="1"/>
    <xf numFmtId="10" fontId="7" fillId="5" borderId="0" xfId="6" applyNumberFormat="1" applyFont="1" applyFill="1" applyBorder="1"/>
    <xf numFmtId="3" fontId="20" fillId="3" borderId="0" xfId="25" applyNumberFormat="1" applyFont="1" applyFill="1" applyBorder="1" applyAlignment="1"/>
    <xf numFmtId="0" fontId="17" fillId="3" borderId="0" xfId="25" applyFont="1" applyFill="1"/>
    <xf numFmtId="0" fontId="20" fillId="3" borderId="0" xfId="26" applyFont="1" applyFill="1"/>
    <xf numFmtId="3" fontId="20" fillId="3" borderId="0" xfId="26" applyNumberFormat="1" applyFont="1" applyFill="1" applyAlignment="1">
      <alignment horizontal="center"/>
    </xf>
    <xf numFmtId="3" fontId="17" fillId="3" borderId="0" xfId="0" applyNumberFormat="1" applyFont="1" applyFill="1" applyBorder="1" applyAlignment="1"/>
    <xf numFmtId="3" fontId="20" fillId="3" borderId="0" xfId="0" applyNumberFormat="1" applyFont="1" applyFill="1" applyBorder="1" applyAlignment="1"/>
    <xf numFmtId="0" fontId="20" fillId="3" borderId="0" xfId="12" applyFont="1" applyFill="1"/>
    <xf numFmtId="0" fontId="20" fillId="3" borderId="0" xfId="20" applyFont="1" applyFill="1"/>
    <xf numFmtId="0" fontId="48" fillId="3" borderId="0" xfId="0" applyFont="1" applyFill="1"/>
    <xf numFmtId="0" fontId="48" fillId="5" borderId="0" xfId="0" applyFont="1" applyFill="1"/>
    <xf numFmtId="2" fontId="48" fillId="3" borderId="0" xfId="0" applyNumberFormat="1" applyFont="1" applyFill="1"/>
    <xf numFmtId="10" fontId="20" fillId="3" borderId="0" xfId="0" applyNumberFormat="1" applyFont="1" applyFill="1" applyBorder="1"/>
    <xf numFmtId="167" fontId="20" fillId="3" borderId="0" xfId="21" applyNumberFormat="1" applyFont="1" applyFill="1"/>
    <xf numFmtId="167" fontId="3" fillId="3" borderId="0" xfId="21" applyNumberFormat="1" applyFill="1"/>
    <xf numFmtId="1" fontId="8" fillId="7" borderId="0" xfId="6" applyNumberFormat="1" applyFont="1" applyFill="1" applyBorder="1" applyAlignment="1">
      <alignment horizontal="right"/>
    </xf>
    <xf numFmtId="1" fontId="51" fillId="7" borderId="23" xfId="6" applyNumberFormat="1" applyFont="1" applyFill="1" applyBorder="1" applyAlignment="1">
      <alignment horizontal="right"/>
    </xf>
    <xf numFmtId="1" fontId="8" fillId="7" borderId="6" xfId="6" applyNumberFormat="1" applyFont="1" applyFill="1" applyBorder="1" applyAlignment="1">
      <alignment horizontal="right"/>
    </xf>
    <xf numFmtId="1" fontId="51" fillId="7" borderId="38" xfId="6" applyNumberFormat="1" applyFont="1" applyFill="1" applyBorder="1" applyAlignment="1">
      <alignment horizontal="right"/>
    </xf>
    <xf numFmtId="0" fontId="51" fillId="7" borderId="0" xfId="22" applyFont="1" applyFill="1" applyBorder="1" applyAlignment="1">
      <alignment horizontal="right"/>
    </xf>
    <xf numFmtId="0" fontId="51" fillId="7" borderId="0" xfId="22" applyFont="1" applyFill="1" applyBorder="1" applyAlignment="1">
      <alignment horizontal="center"/>
    </xf>
    <xf numFmtId="0" fontId="52" fillId="7" borderId="0" xfId="22" applyFont="1" applyFill="1" applyBorder="1" applyAlignment="1">
      <alignment horizontal="center"/>
    </xf>
    <xf numFmtId="0" fontId="51" fillId="7" borderId="6" xfId="22" applyFont="1" applyFill="1" applyBorder="1" applyAlignment="1">
      <alignment horizontal="center"/>
    </xf>
    <xf numFmtId="0" fontId="51" fillId="7" borderId="6" xfId="22" applyFont="1" applyFill="1" applyBorder="1" applyAlignment="1">
      <alignment horizontal="right"/>
    </xf>
    <xf numFmtId="0" fontId="52" fillId="7" borderId="6" xfId="22" applyFont="1" applyFill="1" applyBorder="1" applyAlignment="1">
      <alignment horizontal="center"/>
    </xf>
    <xf numFmtId="0" fontId="51" fillId="7" borderId="38" xfId="22" applyFont="1" applyFill="1" applyBorder="1" applyAlignment="1">
      <alignment horizontal="center"/>
    </xf>
    <xf numFmtId="3" fontId="0" fillId="8" borderId="0" xfId="0" applyNumberFormat="1" applyFill="1" applyAlignment="1">
      <alignment horizontal="center"/>
    </xf>
    <xf numFmtId="3" fontId="0" fillId="9" borderId="0" xfId="0" applyNumberFormat="1" applyFill="1" applyAlignment="1">
      <alignment horizontal="center"/>
    </xf>
    <xf numFmtId="0" fontId="0" fillId="9" borderId="0" xfId="0" applyFill="1" applyAlignment="1">
      <alignment horizontal="center"/>
    </xf>
    <xf numFmtId="167" fontId="0" fillId="9" borderId="0" xfId="0" applyNumberFormat="1" applyFill="1" applyAlignment="1">
      <alignment horizontal="center"/>
    </xf>
    <xf numFmtId="169" fontId="0" fillId="3" borderId="0" xfId="0" applyNumberFormat="1" applyFill="1" applyAlignment="1">
      <alignment horizontal="center"/>
    </xf>
    <xf numFmtId="0" fontId="48" fillId="3" borderId="0" xfId="0" applyFont="1" applyFill="1" applyBorder="1" applyAlignment="1">
      <alignment wrapText="1"/>
    </xf>
    <xf numFmtId="0" fontId="6" fillId="3" borderId="0" xfId="7" applyFont="1" applyFill="1"/>
    <xf numFmtId="0" fontId="22" fillId="3" borderId="0" xfId="7" applyFont="1" applyFill="1" applyBorder="1" applyAlignment="1">
      <alignment horizontal="center"/>
    </xf>
    <xf numFmtId="0" fontId="6" fillId="3" borderId="0" xfId="7" applyFont="1" applyFill="1" applyAlignment="1">
      <alignment horizontal="center"/>
    </xf>
    <xf numFmtId="0" fontId="6" fillId="3" borderId="0" xfId="7" applyFill="1"/>
    <xf numFmtId="0" fontId="23" fillId="3" borderId="45" xfId="7" applyFont="1" applyFill="1" applyBorder="1"/>
    <xf numFmtId="0" fontId="23" fillId="3" borderId="46" xfId="7" applyFont="1" applyFill="1" applyBorder="1"/>
    <xf numFmtId="0" fontId="6" fillId="3" borderId="0" xfId="7" applyFont="1" applyFill="1" applyBorder="1"/>
    <xf numFmtId="0" fontId="23" fillId="3" borderId="47" xfId="7" applyFont="1" applyFill="1" applyBorder="1"/>
    <xf numFmtId="0" fontId="23" fillId="3" borderId="48" xfId="7" applyFont="1" applyFill="1" applyBorder="1"/>
    <xf numFmtId="0" fontId="23" fillId="3" borderId="0" xfId="7" applyFont="1" applyFill="1" applyBorder="1"/>
    <xf numFmtId="0" fontId="24" fillId="3" borderId="47" xfId="7" applyFont="1" applyFill="1" applyBorder="1"/>
    <xf numFmtId="0" fontId="6" fillId="3" borderId="48" xfId="7" applyFill="1" applyBorder="1"/>
    <xf numFmtId="0" fontId="24" fillId="3" borderId="0" xfId="7" applyFont="1" applyFill="1" applyBorder="1"/>
    <xf numFmtId="17" fontId="25" fillId="3" borderId="48" xfId="7" applyNumberFormat="1" applyFont="1" applyFill="1" applyBorder="1" applyAlignment="1">
      <alignment horizontal="center"/>
    </xf>
    <xf numFmtId="0" fontId="24" fillId="3" borderId="48" xfId="7" applyFont="1" applyFill="1" applyBorder="1"/>
    <xf numFmtId="0" fontId="65" fillId="3" borderId="48" xfId="7" applyFont="1" applyFill="1" applyBorder="1" applyAlignment="1">
      <alignment horizontal="center"/>
    </xf>
    <xf numFmtId="0" fontId="22" fillId="3" borderId="47" xfId="7" applyFont="1" applyFill="1" applyBorder="1"/>
    <xf numFmtId="0" fontId="6" fillId="3" borderId="0" xfId="0" applyFont="1" applyFill="1" applyAlignment="1">
      <alignment vertical="center"/>
    </xf>
    <xf numFmtId="0" fontId="66" fillId="3" borderId="48" xfId="7" applyFont="1" applyFill="1" applyBorder="1" applyAlignment="1">
      <alignment horizontal="center"/>
    </xf>
    <xf numFmtId="0" fontId="22" fillId="3" borderId="49" xfId="7" applyFont="1" applyFill="1" applyBorder="1"/>
    <xf numFmtId="0" fontId="6" fillId="3" borderId="50" xfId="7" applyFill="1" applyBorder="1"/>
    <xf numFmtId="0" fontId="24" fillId="3" borderId="51" xfId="7" applyFont="1" applyFill="1" applyBorder="1" applyAlignment="1">
      <alignment horizontal="left"/>
    </xf>
    <xf numFmtId="0" fontId="53" fillId="3" borderId="48" xfId="7" applyFont="1" applyFill="1" applyBorder="1" applyAlignment="1">
      <alignment horizontal="center"/>
    </xf>
    <xf numFmtId="0" fontId="67" fillId="3" borderId="0" xfId="13" applyFont="1" applyFill="1" applyBorder="1"/>
    <xf numFmtId="0" fontId="68" fillId="3" borderId="0" xfId="0" applyFont="1" applyFill="1" applyBorder="1"/>
    <xf numFmtId="1" fontId="67" fillId="3" borderId="0" xfId="6" applyNumberFormat="1" applyFont="1" applyFill="1" applyBorder="1"/>
    <xf numFmtId="1" fontId="67" fillId="3" borderId="0" xfId="6" applyNumberFormat="1" applyFont="1" applyFill="1"/>
    <xf numFmtId="0" fontId="69" fillId="3" borderId="0" xfId="0" applyFont="1" applyFill="1" applyBorder="1"/>
    <xf numFmtId="0" fontId="67" fillId="3" borderId="0" xfId="13" applyFont="1" applyFill="1"/>
    <xf numFmtId="3" fontId="67" fillId="3" borderId="0" xfId="22" applyNumberFormat="1" applyFont="1" applyFill="1"/>
    <xf numFmtId="3" fontId="67" fillId="3" borderId="0" xfId="13" applyNumberFormat="1" applyFont="1" applyFill="1"/>
    <xf numFmtId="3" fontId="67" fillId="3" borderId="0" xfId="6" applyNumberFormat="1" applyFont="1" applyFill="1"/>
    <xf numFmtId="0" fontId="67" fillId="3" borderId="0" xfId="22" applyFont="1" applyFill="1"/>
    <xf numFmtId="0" fontId="67" fillId="5" borderId="0" xfId="0" applyFont="1" applyFill="1"/>
    <xf numFmtId="0" fontId="70" fillId="3" borderId="0" xfId="14" applyFont="1" applyFill="1"/>
    <xf numFmtId="1" fontId="70" fillId="3" borderId="0" xfId="6" applyNumberFormat="1" applyFont="1" applyFill="1"/>
    <xf numFmtId="0" fontId="67" fillId="3" borderId="0" xfId="14" applyFont="1" applyFill="1"/>
    <xf numFmtId="0" fontId="17" fillId="3" borderId="48" xfId="7" applyFont="1" applyFill="1" applyBorder="1"/>
    <xf numFmtId="0" fontId="17" fillId="3" borderId="51" xfId="7" applyFont="1" applyFill="1" applyBorder="1" applyAlignment="1">
      <alignment horizontal="left"/>
    </xf>
    <xf numFmtId="0" fontId="27" fillId="3" borderId="0" xfId="2" applyFill="1" applyBorder="1" applyAlignment="1" applyProtection="1"/>
    <xf numFmtId="0" fontId="23" fillId="3" borderId="48" xfId="7" applyFont="1" applyFill="1" applyBorder="1" applyAlignment="1">
      <alignment horizontal="center"/>
    </xf>
    <xf numFmtId="0" fontId="6" fillId="5" borderId="0" xfId="0" applyFont="1" applyFill="1"/>
    <xf numFmtId="0" fontId="6" fillId="3" borderId="0" xfId="0" applyFont="1" applyFill="1"/>
    <xf numFmtId="0" fontId="6" fillId="3" borderId="0" xfId="14" applyFont="1" applyFill="1"/>
    <xf numFmtId="0" fontId="3" fillId="3" borderId="0" xfId="14" applyFont="1" applyFill="1"/>
    <xf numFmtId="9" fontId="6" fillId="3" borderId="0" xfId="14" applyNumberFormat="1" applyFont="1" applyFill="1"/>
    <xf numFmtId="1" fontId="4" fillId="3" borderId="0" xfId="6" applyNumberFormat="1" applyFont="1" applyFill="1"/>
    <xf numFmtId="170" fontId="20" fillId="3" borderId="0" xfId="21" applyNumberFormat="1" applyFont="1" applyFill="1"/>
    <xf numFmtId="9" fontId="68" fillId="3" borderId="0" xfId="31" applyFont="1" applyFill="1" applyBorder="1"/>
    <xf numFmtId="3" fontId="20" fillId="3" borderId="0" xfId="23" applyNumberFormat="1" applyFont="1" applyFill="1" applyBorder="1" applyAlignment="1"/>
    <xf numFmtId="3" fontId="20" fillId="3" borderId="0" xfId="24" applyNumberFormat="1" applyFont="1" applyFill="1" applyBorder="1" applyAlignment="1"/>
    <xf numFmtId="0" fontId="37" fillId="0" borderId="0" xfId="25" applyFont="1" applyFill="1" applyBorder="1" applyAlignment="1">
      <alignment horizontal="left"/>
    </xf>
    <xf numFmtId="0" fontId="20" fillId="5" borderId="0" xfId="0" applyFont="1" applyFill="1" applyAlignment="1">
      <alignment vertical="center"/>
    </xf>
    <xf numFmtId="0" fontId="20" fillId="3" borderId="0" xfId="26" applyFont="1" applyFill="1" applyAlignment="1">
      <alignment vertical="center"/>
    </xf>
    <xf numFmtId="0" fontId="3" fillId="3" borderId="0" xfId="26" applyFill="1" applyAlignment="1">
      <alignment vertical="center"/>
    </xf>
    <xf numFmtId="0" fontId="0" fillId="5" borderId="0" xfId="0" applyFill="1" applyAlignment="1">
      <alignment vertical="center"/>
    </xf>
    <xf numFmtId="3" fontId="20" fillId="3" borderId="0" xfId="26" applyNumberFormat="1" applyFont="1" applyFill="1" applyAlignment="1">
      <alignment vertical="center"/>
    </xf>
    <xf numFmtId="3" fontId="3" fillId="3" borderId="0" xfId="26" applyNumberFormat="1" applyFill="1" applyAlignment="1">
      <alignment vertical="center"/>
    </xf>
    <xf numFmtId="0" fontId="37" fillId="0" borderId="0" xfId="0" applyFont="1" applyFill="1" applyBorder="1" applyAlignment="1">
      <alignment horizontal="left"/>
    </xf>
    <xf numFmtId="3" fontId="20" fillId="0" borderId="0" xfId="0" applyNumberFormat="1" applyFont="1" applyFill="1" applyBorder="1" applyAlignment="1"/>
    <xf numFmtId="3" fontId="20" fillId="3" borderId="0" xfId="0" applyNumberFormat="1" applyFont="1" applyFill="1" applyAlignment="1">
      <alignment vertical="center"/>
    </xf>
    <xf numFmtId="0" fontId="20" fillId="0" borderId="0" xfId="0" applyFont="1" applyAlignment="1">
      <alignment vertical="center"/>
    </xf>
    <xf numFmtId="0" fontId="7" fillId="5" borderId="0" xfId="0" applyFont="1" applyFill="1" applyAlignment="1">
      <alignment vertical="center"/>
    </xf>
    <xf numFmtId="0" fontId="20" fillId="3" borderId="0" xfId="12" applyFont="1" applyFill="1" applyAlignment="1">
      <alignment vertical="center"/>
    </xf>
    <xf numFmtId="0" fontId="3" fillId="3" borderId="0" xfId="12" applyFill="1" applyAlignment="1">
      <alignment vertical="center"/>
    </xf>
    <xf numFmtId="3" fontId="20" fillId="3" borderId="0" xfId="21" applyNumberFormat="1" applyFont="1" applyFill="1" applyBorder="1" applyAlignment="1"/>
    <xf numFmtId="0" fontId="20" fillId="3" borderId="0" xfId="21" applyFont="1" applyFill="1" applyBorder="1" applyAlignment="1"/>
    <xf numFmtId="0" fontId="67" fillId="5" borderId="0" xfId="0" applyFont="1" applyFill="1" applyBorder="1" applyAlignment="1"/>
    <xf numFmtId="0" fontId="10" fillId="3" borderId="0" xfId="25" applyFont="1" applyFill="1" applyAlignment="1">
      <alignment vertical="center"/>
    </xf>
    <xf numFmtId="3" fontId="10" fillId="3" borderId="0" xfId="25" applyNumberFormat="1" applyFont="1" applyFill="1" applyAlignment="1">
      <alignment vertical="center"/>
    </xf>
    <xf numFmtId="0" fontId="13" fillId="3" borderId="0" xfId="27" applyFill="1" applyAlignment="1">
      <alignment vertical="center"/>
    </xf>
    <xf numFmtId="0" fontId="2" fillId="3" borderId="0" xfId="28" applyNumberFormat="1" applyFont="1" applyFill="1" applyAlignment="1">
      <alignment vertical="center"/>
    </xf>
    <xf numFmtId="0" fontId="2" fillId="3" borderId="0" xfId="0" applyFont="1" applyFill="1" applyAlignment="1">
      <alignment vertical="center"/>
    </xf>
    <xf numFmtId="0" fontId="2" fillId="5" borderId="0" xfId="0" applyFont="1" applyFill="1" applyAlignment="1">
      <alignment vertical="center"/>
    </xf>
    <xf numFmtId="0" fontId="6" fillId="5" borderId="0" xfId="0" applyFont="1" applyFill="1" applyAlignment="1">
      <alignment vertical="center"/>
    </xf>
    <xf numFmtId="0" fontId="3" fillId="3" borderId="0" xfId="14" applyFont="1" applyFill="1" applyAlignment="1">
      <alignment vertical="center"/>
    </xf>
    <xf numFmtId="3" fontId="3" fillId="3" borderId="0" xfId="14" applyNumberFormat="1" applyFont="1" applyFill="1" applyAlignment="1">
      <alignment vertical="center"/>
    </xf>
    <xf numFmtId="0" fontId="6" fillId="5" borderId="0" xfId="0" applyFont="1" applyFill="1" applyAlignment="1">
      <alignment horizontal="right" indent="1"/>
    </xf>
    <xf numFmtId="0" fontId="67" fillId="3" borderId="0" xfId="14" applyFont="1" applyFill="1" applyAlignment="1">
      <alignment horizontal="right" indent="1"/>
    </xf>
    <xf numFmtId="1" fontId="67" fillId="3" borderId="0" xfId="6" applyNumberFormat="1" applyFont="1" applyFill="1" applyAlignment="1">
      <alignment horizontal="right" indent="1"/>
    </xf>
    <xf numFmtId="0" fontId="6" fillId="3" borderId="0" xfId="14" applyFont="1" applyFill="1" applyAlignment="1">
      <alignment horizontal="right" indent="1"/>
    </xf>
    <xf numFmtId="0" fontId="6" fillId="3" borderId="0" xfId="0" applyFont="1" applyFill="1" applyAlignment="1">
      <alignment horizontal="right" indent="1"/>
    </xf>
    <xf numFmtId="0" fontId="20" fillId="3" borderId="0" xfId="15" applyFont="1" applyFill="1" applyAlignment="1">
      <alignment vertical="center"/>
    </xf>
    <xf numFmtId="0" fontId="3" fillId="3" borderId="0" xfId="15" applyFill="1" applyAlignment="1">
      <alignment vertical="center"/>
    </xf>
    <xf numFmtId="3" fontId="20" fillId="3" borderId="0" xfId="15" applyNumberFormat="1" applyFont="1" applyFill="1" applyAlignment="1">
      <alignment vertical="center"/>
    </xf>
    <xf numFmtId="0" fontId="20" fillId="3" borderId="0" xfId="20" applyFont="1" applyFill="1" applyAlignment="1">
      <alignment vertical="center"/>
    </xf>
    <xf numFmtId="0" fontId="3" fillId="3" borderId="0" xfId="20" applyFill="1" applyAlignment="1">
      <alignment vertical="center"/>
    </xf>
    <xf numFmtId="0" fontId="41" fillId="5" borderId="0" xfId="0" applyFont="1" applyFill="1" applyAlignment="1">
      <alignment vertical="center"/>
    </xf>
    <xf numFmtId="0" fontId="45" fillId="5" borderId="0" xfId="0" applyFont="1" applyFill="1" applyAlignment="1">
      <alignment vertical="center"/>
    </xf>
    <xf numFmtId="0" fontId="49" fillId="5" borderId="0" xfId="0" applyFont="1" applyFill="1" applyAlignment="1">
      <alignment vertical="center"/>
    </xf>
    <xf numFmtId="0" fontId="44" fillId="5" borderId="0" xfId="0" applyFont="1" applyFill="1" applyAlignment="1">
      <alignment vertical="center"/>
    </xf>
    <xf numFmtId="0" fontId="48" fillId="5" borderId="0" xfId="0" applyFont="1" applyFill="1" applyAlignment="1">
      <alignment vertical="center"/>
    </xf>
    <xf numFmtId="0" fontId="44" fillId="3" borderId="0" xfId="0" applyFont="1" applyFill="1" applyAlignment="1">
      <alignment vertical="center"/>
    </xf>
    <xf numFmtId="167" fontId="44" fillId="3" borderId="0" xfId="0" applyNumberFormat="1" applyFont="1" applyFill="1" applyAlignment="1">
      <alignment vertical="center"/>
    </xf>
    <xf numFmtId="3" fontId="44" fillId="3" borderId="0" xfId="0" applyNumberFormat="1" applyFont="1" applyFill="1" applyAlignment="1">
      <alignment vertical="center"/>
    </xf>
    <xf numFmtId="0" fontId="40" fillId="3" borderId="0" xfId="0" applyFont="1" applyFill="1" applyAlignment="1">
      <alignment vertical="center"/>
    </xf>
    <xf numFmtId="0" fontId="46" fillId="5" borderId="0" xfId="0" applyFont="1" applyFill="1" applyAlignment="1">
      <alignment vertical="center"/>
    </xf>
    <xf numFmtId="0" fontId="68" fillId="3" borderId="0" xfId="0" applyFont="1" applyFill="1"/>
    <xf numFmtId="0" fontId="10" fillId="3" borderId="0" xfId="28" applyFont="1" applyFill="1" applyBorder="1"/>
    <xf numFmtId="0" fontId="2" fillId="3" borderId="0" xfId="7" applyFont="1" applyFill="1"/>
    <xf numFmtId="0" fontId="0" fillId="3" borderId="0" xfId="0" applyFill="1" applyAlignment="1">
      <alignment vertical="top" wrapText="1"/>
    </xf>
    <xf numFmtId="0" fontId="17" fillId="10" borderId="0" xfId="0" applyFont="1" applyFill="1" applyBorder="1"/>
    <xf numFmtId="3" fontId="20" fillId="10" borderId="0" xfId="0" applyNumberFormat="1" applyFont="1" applyFill="1" applyBorder="1"/>
    <xf numFmtId="3" fontId="0" fillId="10" borderId="0" xfId="0" applyNumberFormat="1" applyFill="1" applyBorder="1"/>
    <xf numFmtId="0" fontId="0" fillId="10" borderId="0" xfId="0" applyFill="1" applyBorder="1"/>
    <xf numFmtId="0" fontId="0" fillId="10" borderId="0" xfId="0" applyFill="1"/>
    <xf numFmtId="0" fontId="20" fillId="10" borderId="0" xfId="0" applyFont="1" applyFill="1" applyBorder="1"/>
    <xf numFmtId="165" fontId="31" fillId="10" borderId="0" xfId="0" applyNumberFormat="1" applyFont="1" applyFill="1" applyBorder="1" applyAlignment="1">
      <alignment horizontal="center" vertical="center" wrapText="1"/>
    </xf>
    <xf numFmtId="165" fontId="33" fillId="10" borderId="0" xfId="2" applyNumberFormat="1" applyFont="1" applyFill="1" applyBorder="1" applyAlignment="1" applyProtection="1">
      <alignment vertical="center"/>
    </xf>
    <xf numFmtId="3" fontId="29" fillId="10" borderId="0" xfId="0" applyNumberFormat="1" applyFont="1" applyFill="1" applyBorder="1" applyAlignment="1">
      <alignment horizontal="center" vertical="center"/>
    </xf>
    <xf numFmtId="165" fontId="31" fillId="10" borderId="0" xfId="2" applyNumberFormat="1" applyFont="1" applyFill="1" applyBorder="1" applyAlignment="1" applyProtection="1">
      <alignment vertical="center"/>
    </xf>
    <xf numFmtId="3" fontId="31" fillId="10" borderId="0" xfId="0" applyNumberFormat="1" applyFont="1" applyFill="1" applyBorder="1" applyAlignment="1">
      <alignment horizontal="center" vertical="center"/>
    </xf>
    <xf numFmtId="3" fontId="0" fillId="10" borderId="0" xfId="0" applyNumberFormat="1" applyFill="1"/>
    <xf numFmtId="3" fontId="12" fillId="0" borderId="0" xfId="22" applyNumberFormat="1" applyFont="1" applyFill="1" applyBorder="1" applyAlignment="1">
      <alignment horizontal="left" vertical="center"/>
    </xf>
    <xf numFmtId="0" fontId="0" fillId="10" borderId="0" xfId="0" applyFill="1"/>
    <xf numFmtId="0" fontId="0" fillId="10" borderId="0" xfId="0" applyFill="1" applyAlignment="1">
      <alignment vertical="center"/>
    </xf>
    <xf numFmtId="165" fontId="31" fillId="10" borderId="0" xfId="0" applyNumberFormat="1" applyFont="1" applyFill="1"/>
    <xf numFmtId="165" fontId="29" fillId="10" borderId="0" xfId="0" applyNumberFormat="1" applyFont="1" applyFill="1" applyAlignment="1">
      <alignment horizontal="center"/>
    </xf>
    <xf numFmtId="165" fontId="32" fillId="10" borderId="0" xfId="0" applyNumberFormat="1" applyFont="1" applyFill="1" applyAlignment="1">
      <alignment horizontal="center"/>
    </xf>
    <xf numFmtId="0" fontId="36" fillId="10" borderId="0" xfId="2" applyFont="1" applyFill="1" applyBorder="1" applyAlignment="1" applyProtection="1"/>
    <xf numFmtId="165" fontId="29" fillId="10" borderId="0" xfId="0" applyNumberFormat="1" applyFont="1" applyFill="1"/>
    <xf numFmtId="165" fontId="59" fillId="10" borderId="0" xfId="0" applyNumberFormat="1" applyFont="1" applyFill="1"/>
    <xf numFmtId="4" fontId="0" fillId="10" borderId="0" xfId="0" applyNumberFormat="1" applyFill="1"/>
    <xf numFmtId="4" fontId="0" fillId="0" borderId="0" xfId="0" applyNumberFormat="1"/>
    <xf numFmtId="173" fontId="73" fillId="10" borderId="0" xfId="27" applyNumberFormat="1" applyFont="1" applyFill="1" applyBorder="1" applyAlignment="1">
      <alignment horizontal="right" vertical="center" indent="1"/>
    </xf>
    <xf numFmtId="174" fontId="74" fillId="10" borderId="0" xfId="0" applyNumberFormat="1" applyFont="1" applyFill="1"/>
    <xf numFmtId="4" fontId="59" fillId="10" borderId="0" xfId="0" applyNumberFormat="1" applyFont="1" applyFill="1"/>
    <xf numFmtId="4" fontId="29" fillId="10" borderId="0" xfId="0" applyNumberFormat="1" applyFont="1" applyFill="1" applyAlignment="1">
      <alignment horizontal="center"/>
    </xf>
    <xf numFmtId="4" fontId="32" fillId="10" borderId="0" xfId="0" applyNumberFormat="1" applyFont="1" applyFill="1" applyAlignment="1">
      <alignment horizontal="center"/>
    </xf>
    <xf numFmtId="4" fontId="36" fillId="10" borderId="0" xfId="2" applyNumberFormat="1" applyFont="1" applyFill="1" applyBorder="1" applyAlignment="1" applyProtection="1"/>
    <xf numFmtId="4" fontId="29" fillId="10" borderId="0" xfId="0" applyNumberFormat="1" applyFont="1" applyFill="1"/>
    <xf numFmtId="4" fontId="31" fillId="10" borderId="0" xfId="0" applyNumberFormat="1" applyFont="1" applyFill="1"/>
    <xf numFmtId="4" fontId="0" fillId="10" borderId="0" xfId="0" applyNumberFormat="1" applyFill="1" applyAlignment="1">
      <alignment vertical="center"/>
    </xf>
    <xf numFmtId="4" fontId="74" fillId="10" borderId="0" xfId="0" applyNumberFormat="1" applyFont="1" applyFill="1"/>
    <xf numFmtId="4" fontId="75" fillId="10" borderId="0" xfId="0" applyNumberFormat="1" applyFont="1" applyFill="1"/>
    <xf numFmtId="4" fontId="17" fillId="10" borderId="0" xfId="27" applyNumberFormat="1" applyFont="1" applyFill="1" applyBorder="1" applyAlignment="1">
      <alignment horizontal="right" vertical="center" indent="1"/>
    </xf>
    <xf numFmtId="4" fontId="73" fillId="10" borderId="0" xfId="27" applyNumberFormat="1" applyFont="1" applyFill="1" applyBorder="1" applyAlignment="1">
      <alignment horizontal="right" vertical="center" indent="1"/>
    </xf>
    <xf numFmtId="4" fontId="74" fillId="10" borderId="0" xfId="4" applyNumberFormat="1" applyFont="1" applyFill="1"/>
    <xf numFmtId="4" fontId="74" fillId="10" borderId="0" xfId="0" applyNumberFormat="1" applyFont="1" applyFill="1" applyAlignment="1">
      <alignment horizontal="right"/>
    </xf>
    <xf numFmtId="0" fontId="74" fillId="10" borderId="0" xfId="0" applyFont="1" applyFill="1" applyBorder="1"/>
    <xf numFmtId="1" fontId="74" fillId="10" borderId="0" xfId="0" applyNumberFormat="1" applyFont="1" applyFill="1"/>
    <xf numFmtId="2" fontId="74" fillId="10" borderId="0" xfId="0" applyNumberFormat="1" applyFont="1" applyFill="1"/>
    <xf numFmtId="3" fontId="74" fillId="10" borderId="0" xfId="0" applyNumberFormat="1" applyFont="1" applyFill="1" applyBorder="1"/>
    <xf numFmtId="0" fontId="73" fillId="10" borderId="0" xfId="29" applyFont="1" applyFill="1" applyBorder="1" applyAlignment="1" applyProtection="1">
      <alignment horizontal="center"/>
      <protection locked="0"/>
    </xf>
    <xf numFmtId="173" fontId="74" fillId="10" borderId="0" xfId="4" applyNumberFormat="1" applyFont="1" applyFill="1"/>
    <xf numFmtId="174" fontId="63" fillId="10" borderId="0" xfId="4" applyNumberFormat="1" applyFont="1" applyFill="1"/>
    <xf numFmtId="3" fontId="13" fillId="10" borderId="0" xfId="30" applyNumberFormat="1" applyFont="1" applyFill="1" applyAlignment="1">
      <alignment horizontal="left"/>
    </xf>
    <xf numFmtId="4" fontId="20" fillId="3" borderId="0" xfId="13" applyNumberFormat="1" applyFont="1" applyFill="1"/>
    <xf numFmtId="4" fontId="20" fillId="3" borderId="0" xfId="5" applyNumberFormat="1" applyFont="1" applyFill="1"/>
    <xf numFmtId="4" fontId="6" fillId="3" borderId="0" xfId="14" applyNumberFormat="1" applyFont="1" applyFill="1" applyBorder="1" applyAlignment="1">
      <alignment vertical="center"/>
    </xf>
    <xf numFmtId="4" fontId="6" fillId="3" borderId="0" xfId="14" applyNumberFormat="1" applyFont="1" applyFill="1" applyAlignment="1">
      <alignment vertical="center"/>
    </xf>
    <xf numFmtId="4" fontId="17" fillId="3" borderId="0" xfId="15" applyNumberFormat="1" applyFont="1" applyFill="1" applyBorder="1" applyAlignment="1">
      <alignment vertical="center"/>
    </xf>
    <xf numFmtId="4" fontId="20" fillId="3" borderId="0" xfId="15" applyNumberFormat="1" applyFont="1" applyFill="1" applyAlignment="1">
      <alignment vertical="center"/>
    </xf>
    <xf numFmtId="4" fontId="20" fillId="3" borderId="0" xfId="15" applyNumberFormat="1" applyFont="1" applyFill="1"/>
    <xf numFmtId="4" fontId="7" fillId="3" borderId="0" xfId="6" applyNumberFormat="1" applyFont="1" applyFill="1"/>
    <xf numFmtId="4" fontId="20" fillId="3" borderId="0" xfId="16" applyNumberFormat="1" applyFont="1" applyFill="1"/>
    <xf numFmtId="4" fontId="21" fillId="3" borderId="0" xfId="6" applyNumberFormat="1" applyFont="1" applyFill="1"/>
    <xf numFmtId="4" fontId="20" fillId="3" borderId="0" xfId="0" applyNumberFormat="1" applyFont="1" applyFill="1"/>
    <xf numFmtId="4" fontId="20" fillId="5" borderId="0" xfId="0" applyNumberFormat="1" applyFont="1" applyFill="1"/>
    <xf numFmtId="4" fontId="20" fillId="0" borderId="0" xfId="0" applyNumberFormat="1" applyFont="1"/>
    <xf numFmtId="4" fontId="0" fillId="5" borderId="0" xfId="0" applyNumberFormat="1" applyFill="1"/>
    <xf numFmtId="4" fontId="67" fillId="3" borderId="0" xfId="6" applyNumberFormat="1" applyFont="1" applyFill="1"/>
    <xf numFmtId="2" fontId="20" fillId="5" borderId="0" xfId="0" applyNumberFormat="1" applyFont="1" applyFill="1"/>
    <xf numFmtId="2" fontId="20" fillId="3" borderId="0" xfId="0" applyNumberFormat="1" applyFont="1" applyFill="1"/>
    <xf numFmtId="2" fontId="0" fillId="3" borderId="0" xfId="0" applyNumberFormat="1" applyFill="1"/>
    <xf numFmtId="2" fontId="0" fillId="5" borderId="0" xfId="0" applyNumberFormat="1" applyFill="1"/>
    <xf numFmtId="2" fontId="20" fillId="5" borderId="0" xfId="0" applyNumberFormat="1" applyFont="1" applyFill="1" applyAlignment="1">
      <alignment vertical="center"/>
    </xf>
    <xf numFmtId="2" fontId="20" fillId="3" borderId="0" xfId="18" applyNumberFormat="1" applyFont="1" applyFill="1" applyAlignment="1">
      <alignment vertical="center"/>
    </xf>
    <xf numFmtId="2" fontId="0" fillId="3" borderId="0" xfId="0" applyNumberFormat="1" applyFill="1" applyAlignment="1">
      <alignment vertical="center"/>
    </xf>
    <xf numFmtId="2" fontId="0" fillId="5" borderId="0" xfId="0" applyNumberFormat="1" applyFill="1" applyAlignment="1">
      <alignment vertical="center"/>
    </xf>
    <xf numFmtId="2" fontId="20" fillId="3" borderId="0" xfId="18" applyNumberFormat="1" applyFont="1" applyFill="1"/>
    <xf numFmtId="2" fontId="21" fillId="3" borderId="0" xfId="6" applyNumberFormat="1" applyFont="1" applyFill="1"/>
    <xf numFmtId="2" fontId="7" fillId="3" borderId="0" xfId="6" applyNumberFormat="1" applyFont="1" applyFill="1"/>
    <xf numFmtId="2" fontId="67" fillId="3" borderId="0" xfId="6" applyNumberFormat="1" applyFont="1" applyFill="1"/>
    <xf numFmtId="4" fontId="76" fillId="5" borderId="0" xfId="0" applyNumberFormat="1" applyFont="1" applyFill="1"/>
    <xf numFmtId="4" fontId="0" fillId="5" borderId="0" xfId="0" applyNumberFormat="1" applyFill="1" applyAlignment="1">
      <alignment vertical="center"/>
    </xf>
    <xf numFmtId="4" fontId="7" fillId="3" borderId="0" xfId="26" applyNumberFormat="1" applyFont="1" applyFill="1" applyAlignment="1">
      <alignment horizontal="left"/>
    </xf>
    <xf numFmtId="4" fontId="34" fillId="0" borderId="0" xfId="26" applyNumberFormat="1" applyFont="1" applyFill="1" applyBorder="1" applyAlignment="1">
      <alignment horizontal="right"/>
    </xf>
    <xf numFmtId="4" fontId="17" fillId="3" borderId="0" xfId="22" applyNumberFormat="1" applyFont="1" applyFill="1" applyBorder="1"/>
    <xf numFmtId="4" fontId="20" fillId="3" borderId="0" xfId="22" applyNumberFormat="1" applyFont="1" applyFill="1"/>
    <xf numFmtId="4" fontId="17" fillId="3" borderId="0" xfId="23" applyNumberFormat="1" applyFont="1" applyFill="1" applyBorder="1"/>
    <xf numFmtId="4" fontId="20" fillId="3" borderId="0" xfId="23" applyNumberFormat="1" applyFont="1" applyFill="1"/>
    <xf numFmtId="4" fontId="20" fillId="3" borderId="0" xfId="24" applyNumberFormat="1" applyFont="1" applyFill="1"/>
    <xf numFmtId="4" fontId="11" fillId="3" borderId="0" xfId="25" applyNumberFormat="1" applyFont="1" applyFill="1" applyAlignment="1">
      <alignment vertical="center"/>
    </xf>
    <xf numFmtId="4" fontId="20" fillId="5" borderId="0" xfId="0" applyNumberFormat="1" applyFont="1" applyFill="1" applyAlignment="1">
      <alignment vertical="center"/>
    </xf>
    <xf numFmtId="4" fontId="17" fillId="3" borderId="0" xfId="19" applyNumberFormat="1" applyFont="1" applyFill="1" applyAlignment="1">
      <alignment vertical="center"/>
    </xf>
    <xf numFmtId="165" fontId="29" fillId="10" borderId="0" xfId="0" applyNumberFormat="1" applyFont="1" applyFill="1" applyAlignment="1">
      <alignment horizontal="center" vertical="center" wrapText="1"/>
    </xf>
    <xf numFmtId="0" fontId="2" fillId="10" borderId="0" xfId="0" applyFont="1" applyFill="1"/>
    <xf numFmtId="4" fontId="2" fillId="10" borderId="0" xfId="0" applyNumberFormat="1" applyFont="1" applyFill="1"/>
    <xf numFmtId="4" fontId="0" fillId="10" borderId="0" xfId="31" applyNumberFormat="1" applyFont="1" applyFill="1"/>
    <xf numFmtId="171" fontId="0" fillId="10" borderId="0" xfId="0" applyNumberFormat="1" applyFill="1"/>
    <xf numFmtId="172" fontId="0" fillId="10" borderId="0" xfId="0" applyNumberFormat="1" applyFill="1"/>
    <xf numFmtId="9" fontId="0" fillId="10" borderId="0" xfId="31" applyFont="1" applyFill="1"/>
    <xf numFmtId="0" fontId="7" fillId="3" borderId="0" xfId="0" applyFont="1" applyFill="1"/>
    <xf numFmtId="0" fontId="37" fillId="10" borderId="0" xfId="11" applyFont="1" applyFill="1" applyBorder="1" applyAlignment="1">
      <alignment horizontal="left"/>
    </xf>
    <xf numFmtId="0" fontId="20" fillId="10" borderId="0" xfId="0" applyFont="1" applyFill="1"/>
    <xf numFmtId="0" fontId="37" fillId="10" borderId="0" xfId="0" applyFont="1" applyFill="1" applyBorder="1" applyAlignment="1">
      <alignment horizontal="left"/>
    </xf>
    <xf numFmtId="3" fontId="20" fillId="10" borderId="0" xfId="0" applyNumberFormat="1" applyFont="1" applyFill="1" applyBorder="1" applyAlignment="1"/>
    <xf numFmtId="0" fontId="17" fillId="10" borderId="0" xfId="0" applyFont="1" applyFill="1"/>
    <xf numFmtId="3" fontId="67" fillId="10" borderId="0" xfId="22" applyNumberFormat="1" applyFont="1" applyFill="1"/>
    <xf numFmtId="3" fontId="17" fillId="10" borderId="0" xfId="0" applyNumberFormat="1" applyFont="1" applyFill="1" applyBorder="1" applyAlignment="1"/>
    <xf numFmtId="0" fontId="67" fillId="10" borderId="0" xfId="0" applyFont="1" applyFill="1"/>
    <xf numFmtId="166" fontId="17" fillId="10" borderId="0" xfId="6" applyNumberFormat="1" applyFont="1" applyFill="1" applyBorder="1" applyAlignment="1">
      <alignment horizontal="center"/>
    </xf>
    <xf numFmtId="167" fontId="17" fillId="10" borderId="0" xfId="6" applyNumberFormat="1" applyFont="1" applyFill="1" applyBorder="1" applyAlignment="1">
      <alignment horizontal="center"/>
    </xf>
    <xf numFmtId="3" fontId="17" fillId="10" borderId="0" xfId="6" applyNumberFormat="1" applyFont="1" applyFill="1" applyBorder="1" applyAlignment="1">
      <alignment horizontal="center"/>
    </xf>
    <xf numFmtId="1" fontId="21" fillId="10" borderId="0" xfId="6" applyNumberFormat="1" applyFont="1" applyFill="1"/>
    <xf numFmtId="1" fontId="67" fillId="10" borderId="0" xfId="6" applyNumberFormat="1" applyFont="1" applyFill="1"/>
    <xf numFmtId="4" fontId="20" fillId="3" borderId="0" xfId="22" applyNumberFormat="1" applyFont="1" applyFill="1" applyBorder="1"/>
    <xf numFmtId="4" fontId="7" fillId="14" borderId="0" xfId="6" applyNumberFormat="1" applyFont="1" applyFill="1" applyBorder="1" applyAlignment="1">
      <alignment horizontal="center" vertical="center"/>
    </xf>
    <xf numFmtId="4" fontId="7" fillId="14" borderId="0" xfId="6" applyNumberFormat="1" applyFont="1" applyFill="1" applyBorder="1" applyAlignment="1">
      <alignment horizontal="right" vertical="center" indent="1"/>
    </xf>
    <xf numFmtId="49" fontId="7" fillId="14" borderId="0" xfId="4" applyNumberFormat="1" applyFont="1" applyFill="1" applyBorder="1" applyAlignment="1">
      <alignment horizontal="center" vertical="center"/>
    </xf>
    <xf numFmtId="4" fontId="30" fillId="10" borderId="0" xfId="11" applyNumberFormat="1" applyFont="1" applyFill="1" applyBorder="1" applyAlignment="1">
      <alignment horizontal="left" vertical="center"/>
    </xf>
    <xf numFmtId="2" fontId="7" fillId="14" borderId="0" xfId="6" applyNumberFormat="1" applyFont="1" applyFill="1" applyBorder="1" applyAlignment="1">
      <alignment horizontal="center" vertical="center"/>
    </xf>
    <xf numFmtId="1" fontId="7" fillId="14" borderId="0" xfId="6" applyNumberFormat="1" applyFont="1" applyFill="1" applyBorder="1" applyAlignment="1">
      <alignment horizontal="center" vertical="center"/>
    </xf>
    <xf numFmtId="2" fontId="7" fillId="14" borderId="0" xfId="6" applyNumberFormat="1" applyFont="1" applyFill="1" applyBorder="1" applyAlignment="1">
      <alignment horizontal="left" vertical="center"/>
    </xf>
    <xf numFmtId="2" fontId="7" fillId="14" borderId="0" xfId="6" applyNumberFormat="1" applyFont="1" applyFill="1" applyBorder="1" applyAlignment="1">
      <alignment horizontal="right" vertical="center" indent="1"/>
    </xf>
    <xf numFmtId="2" fontId="2" fillId="10" borderId="0" xfId="21" applyNumberFormat="1" applyFont="1" applyFill="1" applyBorder="1" applyAlignment="1">
      <alignment horizontal="left" vertical="center"/>
    </xf>
    <xf numFmtId="4" fontId="7" fillId="14" borderId="53" xfId="6" applyNumberFormat="1" applyFont="1" applyFill="1" applyBorder="1" applyAlignment="1">
      <alignment horizontal="left" vertical="center"/>
    </xf>
    <xf numFmtId="4" fontId="7" fillId="14" borderId="53" xfId="6" applyNumberFormat="1" applyFont="1" applyFill="1" applyBorder="1" applyAlignment="1">
      <alignment horizontal="right" vertical="center" indent="1"/>
    </xf>
    <xf numFmtId="4" fontId="30" fillId="10" borderId="0" xfId="6" applyNumberFormat="1" applyFont="1" applyFill="1" applyBorder="1" applyAlignment="1">
      <alignment horizontal="left" vertical="center"/>
    </xf>
    <xf numFmtId="4" fontId="7" fillId="10" borderId="0" xfId="6" applyNumberFormat="1" applyFont="1" applyFill="1" applyBorder="1" applyAlignment="1">
      <alignment horizontal="center" vertical="center"/>
    </xf>
    <xf numFmtId="3" fontId="20" fillId="10" borderId="0" xfId="0" applyNumberFormat="1" applyFont="1" applyFill="1"/>
    <xf numFmtId="4" fontId="7" fillId="10" borderId="0" xfId="6" applyNumberFormat="1" applyFont="1" applyFill="1" applyBorder="1" applyAlignment="1">
      <alignment horizontal="right" vertical="center" indent="1"/>
    </xf>
    <xf numFmtId="4" fontId="30" fillId="10" borderId="0" xfId="22" applyNumberFormat="1" applyFont="1" applyFill="1" applyBorder="1" applyAlignment="1">
      <alignment horizontal="right" vertical="center" indent="1"/>
    </xf>
    <xf numFmtId="4" fontId="71" fillId="10" borderId="0" xfId="22" applyNumberFormat="1" applyFont="1" applyFill="1" applyBorder="1" applyAlignment="1">
      <alignment horizontal="right" vertical="center" indent="1"/>
    </xf>
    <xf numFmtId="4" fontId="7" fillId="10" borderId="0" xfId="21" applyNumberFormat="1" applyFont="1" applyFill="1" applyBorder="1" applyAlignment="1">
      <alignment horizontal="left" vertical="center"/>
    </xf>
    <xf numFmtId="4" fontId="7" fillId="14" borderId="0" xfId="6" applyNumberFormat="1" applyFont="1" applyFill="1" applyBorder="1" applyAlignment="1">
      <alignment horizontal="left" vertical="center"/>
    </xf>
    <xf numFmtId="4" fontId="12" fillId="10" borderId="0" xfId="22" applyNumberFormat="1" applyFont="1" applyFill="1" applyBorder="1" applyAlignment="1">
      <alignment horizontal="left" vertical="center"/>
    </xf>
    <xf numFmtId="4" fontId="2" fillId="10" borderId="0" xfId="22" applyNumberFormat="1" applyFont="1" applyFill="1" applyBorder="1" applyAlignment="1">
      <alignment horizontal="right" vertical="center" indent="1"/>
    </xf>
    <xf numFmtId="4" fontId="7" fillId="10" borderId="0" xfId="22" applyNumberFormat="1" applyFont="1" applyFill="1" applyBorder="1" applyAlignment="1">
      <alignment horizontal="left" vertical="center"/>
    </xf>
    <xf numFmtId="4" fontId="2" fillId="10" borderId="0" xfId="0" applyNumberFormat="1" applyFont="1" applyFill="1" applyBorder="1"/>
    <xf numFmtId="4" fontId="34" fillId="10" borderId="0" xfId="26" applyNumberFormat="1" applyFont="1" applyFill="1" applyBorder="1" applyAlignment="1">
      <alignment horizontal="center" vertical="center"/>
    </xf>
    <xf numFmtId="4" fontId="20" fillId="10" borderId="0" xfId="26" applyNumberFormat="1" applyFont="1" applyFill="1" applyBorder="1" applyAlignment="1">
      <alignment vertical="center"/>
    </xf>
    <xf numFmtId="0" fontId="20" fillId="10" borderId="0" xfId="26" applyFont="1" applyFill="1" applyBorder="1" applyAlignment="1"/>
    <xf numFmtId="1" fontId="7" fillId="15" borderId="0" xfId="6" applyNumberFormat="1" applyFont="1" applyFill="1" applyBorder="1" applyAlignment="1">
      <alignment horizontal="left" vertical="center"/>
    </xf>
    <xf numFmtId="1" fontId="7" fillId="10" borderId="0" xfId="6" applyNumberFormat="1" applyFont="1" applyFill="1" applyBorder="1" applyAlignment="1">
      <alignment horizontal="left" vertical="center"/>
    </xf>
    <xf numFmtId="0" fontId="71" fillId="16" borderId="0" xfId="12" applyFont="1" applyFill="1" applyBorder="1" applyAlignment="1">
      <alignment horizontal="left" vertical="center" indent="2"/>
    </xf>
    <xf numFmtId="3" fontId="71" fillId="16" borderId="0" xfId="12" applyNumberFormat="1" applyFont="1" applyFill="1" applyBorder="1" applyAlignment="1">
      <alignment horizontal="left" vertical="center" indent="2"/>
    </xf>
    <xf numFmtId="1" fontId="2" fillId="16" borderId="0" xfId="6" applyNumberFormat="1" applyFont="1" applyFill="1" applyBorder="1" applyAlignment="1">
      <alignment horizontal="left" vertical="center" indent="2"/>
    </xf>
    <xf numFmtId="4" fontId="30" fillId="10" borderId="0" xfId="13" applyNumberFormat="1" applyFont="1" applyFill="1" applyBorder="1" applyAlignment="1">
      <alignment horizontal="left" vertical="center"/>
    </xf>
    <xf numFmtId="4" fontId="30" fillId="10" borderId="0" xfId="13" applyNumberFormat="1" applyFont="1" applyFill="1" applyBorder="1" applyAlignment="1">
      <alignment horizontal="center" vertical="center"/>
    </xf>
    <xf numFmtId="4" fontId="30" fillId="10" borderId="0" xfId="14" applyNumberFormat="1" applyFont="1" applyFill="1" applyBorder="1" applyAlignment="1">
      <alignment horizontal="center" vertical="center"/>
    </xf>
    <xf numFmtId="4" fontId="30" fillId="10" borderId="0" xfId="14" applyNumberFormat="1" applyFont="1" applyFill="1" applyBorder="1" applyAlignment="1">
      <alignment horizontal="right" vertical="center" indent="1"/>
    </xf>
    <xf numFmtId="4" fontId="2" fillId="10" borderId="0" xfId="14" applyNumberFormat="1" applyFont="1" applyFill="1" applyBorder="1" applyAlignment="1">
      <alignment horizontal="right" vertical="center" indent="1"/>
    </xf>
    <xf numFmtId="3" fontId="12" fillId="10" borderId="0" xfId="22" applyNumberFormat="1" applyFont="1" applyFill="1" applyBorder="1" applyAlignment="1">
      <alignment horizontal="left" vertical="center"/>
    </xf>
    <xf numFmtId="4" fontId="7" fillId="10" borderId="0" xfId="6" applyNumberFormat="1" applyFont="1" applyFill="1" applyBorder="1" applyAlignment="1">
      <alignment horizontal="left" vertical="center"/>
    </xf>
    <xf numFmtId="4" fontId="20" fillId="10" borderId="0" xfId="0" applyNumberFormat="1" applyFont="1" applyFill="1"/>
    <xf numFmtId="4" fontId="20" fillId="10" borderId="0" xfId="17" applyNumberFormat="1" applyFont="1" applyFill="1" applyBorder="1"/>
    <xf numFmtId="4" fontId="8" fillId="10" borderId="0" xfId="17" applyNumberFormat="1" applyFont="1" applyFill="1" applyBorder="1" applyAlignment="1">
      <alignment horizontal="center"/>
    </xf>
    <xf numFmtId="4" fontId="30" fillId="10" borderId="0" xfId="14" applyNumberFormat="1" applyFont="1" applyFill="1" applyBorder="1" applyAlignment="1">
      <alignment horizontal="left" vertical="center"/>
    </xf>
    <xf numFmtId="4" fontId="7" fillId="10" borderId="0" xfId="17" quotePrefix="1" applyNumberFormat="1" applyFont="1" applyFill="1" applyBorder="1" applyAlignment="1"/>
    <xf numFmtId="4" fontId="4" fillId="10" borderId="0" xfId="17" quotePrefix="1" applyNumberFormat="1" applyFont="1" applyFill="1" applyBorder="1" applyAlignment="1"/>
    <xf numFmtId="4" fontId="30" fillId="10" borderId="0" xfId="17" applyNumberFormat="1" applyFont="1" applyFill="1" applyBorder="1" applyAlignment="1">
      <alignment horizontal="left"/>
    </xf>
    <xf numFmtId="4" fontId="7" fillId="10" borderId="0" xfId="6" applyNumberFormat="1" applyFont="1" applyFill="1" applyBorder="1"/>
    <xf numFmtId="4" fontId="0" fillId="10" borderId="0" xfId="0" applyNumberFormat="1" applyFill="1" applyBorder="1"/>
    <xf numFmtId="4" fontId="17" fillId="10" borderId="0" xfId="17" applyNumberFormat="1" applyFont="1" applyFill="1" applyBorder="1"/>
    <xf numFmtId="4" fontId="0" fillId="10" borderId="0" xfId="0" quotePrefix="1" applyNumberFormat="1" applyFill="1" applyBorder="1"/>
    <xf numFmtId="4" fontId="10" fillId="10" borderId="0" xfId="17" applyNumberFormat="1" applyFont="1" applyFill="1" applyBorder="1"/>
    <xf numFmtId="4" fontId="20" fillId="10" borderId="0" xfId="0" applyNumberFormat="1" applyFont="1" applyFill="1" applyBorder="1"/>
    <xf numFmtId="4" fontId="67" fillId="10" borderId="0" xfId="6" applyNumberFormat="1" applyFont="1" applyFill="1" applyBorder="1"/>
    <xf numFmtId="2" fontId="7" fillId="10" borderId="0" xfId="6" applyNumberFormat="1" applyFont="1" applyFill="1" applyBorder="1" applyAlignment="1">
      <alignment horizontal="center" vertical="center"/>
    </xf>
    <xf numFmtId="4" fontId="7" fillId="10" borderId="0" xfId="6" applyNumberFormat="1" applyFont="1" applyFill="1" applyBorder="1" applyAlignment="1">
      <alignment horizontal="center" vertical="center" wrapText="1"/>
    </xf>
    <xf numFmtId="4" fontId="0" fillId="10" borderId="0" xfId="0" applyNumberFormat="1" applyFill="1" applyBorder="1" applyAlignment="1">
      <alignment vertical="center"/>
    </xf>
    <xf numFmtId="4" fontId="76" fillId="10" borderId="0" xfId="0" applyNumberFormat="1" applyFont="1" applyFill="1" applyBorder="1"/>
    <xf numFmtId="4" fontId="20" fillId="10" borderId="0" xfId="0" applyNumberFormat="1" applyFont="1" applyFill="1" applyAlignment="1">
      <alignment vertical="center"/>
    </xf>
    <xf numFmtId="3" fontId="2" fillId="10" borderId="0" xfId="31" applyNumberFormat="1" applyFont="1" applyFill="1" applyBorder="1" applyAlignment="1">
      <alignment horizontal="left" vertical="center"/>
    </xf>
    <xf numFmtId="3" fontId="2" fillId="10" borderId="0" xfId="31" applyNumberFormat="1" applyFont="1" applyFill="1" applyBorder="1" applyAlignment="1">
      <alignment horizontal="right" vertical="center" indent="1"/>
    </xf>
    <xf numFmtId="167" fontId="2" fillId="10" borderId="0" xfId="31" applyNumberFormat="1" applyFont="1" applyFill="1" applyBorder="1" applyAlignment="1">
      <alignment horizontal="right" vertical="center" indent="1"/>
    </xf>
    <xf numFmtId="3" fontId="2" fillId="10" borderId="0" xfId="32" applyNumberFormat="1" applyFont="1" applyFill="1" applyBorder="1" applyAlignment="1">
      <alignment horizontal="right" vertical="center" indent="1"/>
    </xf>
    <xf numFmtId="1" fontId="7" fillId="14" borderId="0" xfId="6" applyNumberFormat="1" applyFont="1" applyFill="1" applyBorder="1" applyAlignment="1">
      <alignment horizontal="left" vertical="center"/>
    </xf>
    <xf numFmtId="0" fontId="7" fillId="14" borderId="0" xfId="0" applyFont="1" applyFill="1" applyBorder="1" applyAlignment="1">
      <alignment vertical="center"/>
    </xf>
    <xf numFmtId="3" fontId="7" fillId="14" borderId="0" xfId="0" applyNumberFormat="1" applyFont="1" applyFill="1" applyBorder="1" applyAlignment="1">
      <alignment horizontal="right" vertical="center" indent="1"/>
    </xf>
    <xf numFmtId="3" fontId="0" fillId="10" borderId="0" xfId="0" applyNumberFormat="1" applyFill="1" applyBorder="1" applyAlignment="1">
      <alignment vertical="center"/>
    </xf>
    <xf numFmtId="0" fontId="2" fillId="10" borderId="0" xfId="0" applyFont="1" applyFill="1" applyBorder="1" applyAlignment="1">
      <alignment vertical="center"/>
    </xf>
    <xf numFmtId="3" fontId="2" fillId="10" borderId="0" xfId="0" applyNumberFormat="1" applyFont="1" applyFill="1" applyBorder="1" applyAlignment="1">
      <alignment horizontal="right" vertical="center" indent="1"/>
    </xf>
    <xf numFmtId="3" fontId="2" fillId="10" borderId="0" xfId="0" applyNumberFormat="1" applyFont="1" applyFill="1" applyBorder="1" applyAlignment="1">
      <alignment horizontal="right" vertical="center"/>
    </xf>
    <xf numFmtId="1" fontId="7" fillId="14" borderId="0" xfId="6" applyNumberFormat="1" applyFont="1" applyFill="1" applyBorder="1" applyAlignment="1">
      <alignment horizontal="right" vertical="center" indent="1"/>
    </xf>
    <xf numFmtId="3" fontId="48" fillId="10" borderId="0" xfId="0" applyNumberFormat="1" applyFont="1" applyFill="1" applyBorder="1"/>
    <xf numFmtId="3" fontId="2" fillId="10" borderId="0" xfId="0" applyNumberFormat="1" applyFont="1" applyFill="1" applyBorder="1"/>
    <xf numFmtId="167" fontId="2" fillId="10" borderId="0" xfId="0" applyNumberFormat="1" applyFont="1" applyFill="1" applyBorder="1" applyAlignment="1">
      <alignment horizontal="right" vertical="center" indent="1"/>
    </xf>
    <xf numFmtId="0" fontId="43" fillId="10" borderId="0" xfId="0" applyFont="1" applyFill="1" applyBorder="1" applyAlignment="1">
      <alignment vertical="center"/>
    </xf>
    <xf numFmtId="0" fontId="43" fillId="10" borderId="0" xfId="0" applyFont="1" applyFill="1" applyBorder="1" applyAlignment="1">
      <alignment horizontal="right" vertical="center"/>
    </xf>
    <xf numFmtId="9" fontId="47" fillId="10" borderId="0" xfId="31" applyFont="1" applyFill="1" applyBorder="1" applyAlignment="1">
      <alignment vertical="center"/>
    </xf>
    <xf numFmtId="3" fontId="47" fillId="10" borderId="0" xfId="0" applyNumberFormat="1" applyFont="1" applyFill="1" applyBorder="1" applyAlignment="1">
      <alignment horizontal="right" vertical="center"/>
    </xf>
    <xf numFmtId="0" fontId="47" fillId="10" borderId="0" xfId="0" applyFont="1" applyFill="1" applyBorder="1" applyAlignment="1">
      <alignment vertical="center"/>
    </xf>
    <xf numFmtId="0" fontId="45" fillId="10" borderId="0" xfId="0" applyFont="1" applyFill="1" applyBorder="1" applyAlignment="1">
      <alignment vertical="center"/>
    </xf>
    <xf numFmtId="0" fontId="0" fillId="10" borderId="0" xfId="0" applyFill="1" applyBorder="1" applyAlignment="1">
      <alignment vertical="center"/>
    </xf>
    <xf numFmtId="0" fontId="46" fillId="10" borderId="0" xfId="0" applyFont="1" applyFill="1" applyBorder="1" applyAlignment="1">
      <alignment vertical="center"/>
    </xf>
    <xf numFmtId="0" fontId="48" fillId="10" borderId="0" xfId="0" applyFont="1" applyFill="1" applyBorder="1"/>
    <xf numFmtId="0" fontId="7" fillId="14" borderId="0" xfId="27" applyFont="1" applyFill="1" applyBorder="1" applyAlignment="1">
      <alignment vertical="center"/>
    </xf>
    <xf numFmtId="0" fontId="7" fillId="14" borderId="0" xfId="27" applyFont="1" applyFill="1" applyBorder="1" applyAlignment="1">
      <alignment horizontal="right" vertical="center" indent="1"/>
    </xf>
    <xf numFmtId="0" fontId="7" fillId="10" borderId="0" xfId="27" applyFont="1" applyFill="1" applyBorder="1" applyAlignment="1">
      <alignment horizontal="right" vertical="center" indent="1"/>
    </xf>
    <xf numFmtId="0" fontId="2" fillId="10" borderId="0" xfId="27" applyFont="1" applyFill="1" applyBorder="1" applyAlignment="1">
      <alignment vertical="center"/>
    </xf>
    <xf numFmtId="169" fontId="2" fillId="10" borderId="0" xfId="27" applyNumberFormat="1" applyFont="1" applyFill="1" applyBorder="1" applyAlignment="1">
      <alignment horizontal="right" vertical="center" indent="1"/>
    </xf>
    <xf numFmtId="3" fontId="2" fillId="10" borderId="0" xfId="27" applyNumberFormat="1" applyFont="1" applyFill="1" applyBorder="1" applyAlignment="1">
      <alignment horizontal="right" vertical="center" indent="1"/>
    </xf>
    <xf numFmtId="0" fontId="13" fillId="10" borderId="0" xfId="27" applyFill="1" applyBorder="1" applyAlignment="1">
      <alignment vertical="center"/>
    </xf>
    <xf numFmtId="0" fontId="2" fillId="10" borderId="0" xfId="27" applyFont="1" applyFill="1" applyBorder="1" applyAlignment="1">
      <alignment horizontal="right" vertical="center" indent="1"/>
    </xf>
    <xf numFmtId="3" fontId="2" fillId="10" borderId="0" xfId="27" applyNumberFormat="1" applyFont="1" applyFill="1" applyBorder="1" applyAlignment="1">
      <alignment horizontal="center" vertical="center"/>
    </xf>
    <xf numFmtId="0" fontId="68" fillId="10" borderId="0" xfId="0" applyFont="1" applyFill="1"/>
    <xf numFmtId="0" fontId="13" fillId="10" borderId="0" xfId="27" applyFill="1"/>
    <xf numFmtId="0" fontId="2" fillId="10" borderId="0" xfId="28" applyNumberFormat="1" applyFont="1" applyFill="1" applyBorder="1" applyAlignment="1">
      <alignment horizontal="left" vertical="center"/>
    </xf>
    <xf numFmtId="11" fontId="30" fillId="10" borderId="0" xfId="28" applyNumberFormat="1" applyFont="1" applyFill="1" applyBorder="1" applyAlignment="1">
      <alignment horizontal="right" vertical="center" indent="1"/>
    </xf>
    <xf numFmtId="49" fontId="30" fillId="10" borderId="0" xfId="28" applyNumberFormat="1" applyFont="1" applyFill="1" applyBorder="1" applyAlignment="1">
      <alignment horizontal="right" vertical="center" indent="1"/>
    </xf>
    <xf numFmtId="0" fontId="7" fillId="14" borderId="0" xfId="27" applyFont="1" applyFill="1" applyBorder="1" applyAlignment="1">
      <alignment horizontal="left" vertical="center"/>
    </xf>
    <xf numFmtId="0" fontId="7" fillId="14" borderId="0" xfId="27" applyFont="1" applyFill="1" applyBorder="1" applyAlignment="1">
      <alignment horizontal="left" vertical="center" indent="1"/>
    </xf>
    <xf numFmtId="0" fontId="7" fillId="14" borderId="0" xfId="27" applyFont="1" applyFill="1" applyBorder="1" applyAlignment="1">
      <alignment horizontal="left" vertical="center" indent="2"/>
    </xf>
    <xf numFmtId="0" fontId="2" fillId="10" borderId="0" xfId="28" applyFont="1" applyFill="1" applyBorder="1" applyAlignment="1"/>
    <xf numFmtId="0" fontId="2" fillId="10" borderId="0" xfId="28" applyNumberFormat="1" applyFont="1" applyFill="1" applyBorder="1" applyAlignment="1">
      <alignment horizontal="left"/>
    </xf>
    <xf numFmtId="0" fontId="2" fillId="10" borderId="0" xfId="28" applyNumberFormat="1" applyFont="1" applyFill="1" applyBorder="1" applyAlignment="1">
      <alignment horizontal="left" indent="1"/>
    </xf>
    <xf numFmtId="0" fontId="2" fillId="10" borderId="0" xfId="28" applyFont="1" applyFill="1" applyBorder="1" applyAlignment="1">
      <alignment horizontal="left"/>
    </xf>
    <xf numFmtId="0" fontId="2" fillId="10" borderId="0" xfId="28" applyFont="1" applyFill="1" applyBorder="1" applyAlignment="1">
      <alignment horizontal="left" indent="1"/>
    </xf>
    <xf numFmtId="0" fontId="2" fillId="10" borderId="0" xfId="27" applyFont="1" applyFill="1" applyBorder="1" applyAlignment="1">
      <alignment horizontal="left" vertical="center" indent="1"/>
    </xf>
    <xf numFmtId="0" fontId="10" fillId="10" borderId="0" xfId="28" applyNumberFormat="1" applyFont="1" applyFill="1" applyBorder="1"/>
    <xf numFmtId="0" fontId="26" fillId="10" borderId="0" xfId="28" applyFont="1" applyFill="1" applyBorder="1" applyAlignment="1"/>
    <xf numFmtId="0" fontId="26" fillId="10" borderId="0" xfId="28" applyFont="1" applyFill="1" applyBorder="1" applyAlignment="1">
      <alignment horizontal="left" indent="2"/>
    </xf>
    <xf numFmtId="11" fontId="26" fillId="10" borderId="0" xfId="28" applyNumberFormat="1" applyFont="1" applyFill="1" applyBorder="1" applyAlignment="1">
      <alignment horizontal="right" indent="1"/>
    </xf>
    <xf numFmtId="0" fontId="10" fillId="10" borderId="0" xfId="28" applyFont="1" applyFill="1" applyBorder="1"/>
    <xf numFmtId="0" fontId="26" fillId="10" borderId="0" xfId="28" applyNumberFormat="1" applyFont="1" applyFill="1" applyBorder="1" applyAlignment="1"/>
    <xf numFmtId="0" fontId="26" fillId="10" borderId="0" xfId="28" applyNumberFormat="1" applyFont="1" applyFill="1" applyBorder="1" applyAlignment="1">
      <alignment horizontal="left" indent="2"/>
    </xf>
    <xf numFmtId="0" fontId="2" fillId="10" borderId="0" xfId="27" applyFont="1" applyFill="1" applyBorder="1" applyAlignment="1">
      <alignment horizontal="left" vertical="center"/>
    </xf>
    <xf numFmtId="0" fontId="60" fillId="10" borderId="0" xfId="0" applyFont="1" applyFill="1"/>
    <xf numFmtId="0" fontId="27" fillId="10" borderId="0" xfId="2" applyFill="1" applyBorder="1" applyAlignment="1" applyProtection="1"/>
    <xf numFmtId="4" fontId="2" fillId="14" borderId="0" xfId="0" applyNumberFormat="1" applyFont="1" applyFill="1" applyBorder="1" applyAlignment="1">
      <alignment horizontal="center" vertical="center" wrapText="1"/>
    </xf>
    <xf numFmtId="4" fontId="2" fillId="14" borderId="0" xfId="0" quotePrefix="1" applyNumberFormat="1" applyFont="1" applyFill="1" applyBorder="1" applyAlignment="1">
      <alignment horizontal="center" vertical="center" wrapText="1"/>
    </xf>
    <xf numFmtId="4" fontId="13" fillId="14" borderId="0" xfId="10" applyNumberFormat="1" applyFont="1" applyFill="1" applyBorder="1" applyAlignment="1">
      <alignment horizontal="center" vertical="center" wrapText="1"/>
    </xf>
    <xf numFmtId="4" fontId="2" fillId="14" borderId="59" xfId="0" applyNumberFormat="1" applyFont="1" applyFill="1" applyBorder="1" applyAlignment="1">
      <alignment horizontal="center" vertical="center" wrapText="1"/>
    </xf>
    <xf numFmtId="4" fontId="7" fillId="14" borderId="64" xfId="2" applyNumberFormat="1" applyFont="1" applyFill="1" applyBorder="1" applyAlignment="1" applyProtection="1">
      <alignment vertical="center"/>
    </xf>
    <xf numFmtId="164" fontId="79" fillId="14" borderId="58" xfId="4" applyFont="1" applyFill="1" applyBorder="1" applyAlignment="1">
      <alignment horizontal="center" vertical="center"/>
    </xf>
    <xf numFmtId="164" fontId="79" fillId="14" borderId="60" xfId="4" applyFont="1" applyFill="1" applyBorder="1" applyAlignment="1">
      <alignment horizontal="center" vertical="center"/>
    </xf>
    <xf numFmtId="4" fontId="7" fillId="10" borderId="0" xfId="2" applyNumberFormat="1" applyFont="1" applyFill="1" applyBorder="1" applyAlignment="1" applyProtection="1">
      <alignment vertical="center"/>
    </xf>
    <xf numFmtId="4" fontId="7" fillId="14" borderId="0" xfId="6" applyNumberFormat="1" applyFont="1" applyFill="1" applyBorder="1" applyAlignment="1">
      <alignment horizontal="center" vertical="center"/>
    </xf>
    <xf numFmtId="4" fontId="72" fillId="12" borderId="56" xfId="0" applyNumberFormat="1" applyFont="1" applyFill="1" applyBorder="1" applyAlignment="1">
      <alignment horizontal="center" vertical="center"/>
    </xf>
    <xf numFmtId="4" fontId="15" fillId="10" borderId="0" xfId="10" applyNumberFormat="1" applyFont="1" applyFill="1" applyBorder="1"/>
    <xf numFmtId="4" fontId="14" fillId="10" borderId="0" xfId="10" applyNumberFormat="1" applyFont="1" applyFill="1" applyBorder="1" applyAlignment="1">
      <alignment vertical="center" wrapText="1"/>
    </xf>
    <xf numFmtId="3" fontId="73" fillId="10" borderId="0" xfId="0" applyNumberFormat="1" applyFont="1" applyFill="1"/>
    <xf numFmtId="3" fontId="17" fillId="10" borderId="0" xfId="0" applyNumberFormat="1" applyFont="1" applyFill="1"/>
    <xf numFmtId="175" fontId="74" fillId="10" borderId="0" xfId="4" applyNumberFormat="1" applyFont="1" applyFill="1"/>
    <xf numFmtId="4" fontId="29" fillId="10" borderId="0" xfId="0" applyNumberFormat="1" applyFont="1" applyFill="1" applyAlignment="1">
      <alignment vertical="center" wrapText="1"/>
    </xf>
    <xf numFmtId="4" fontId="17" fillId="10" borderId="0" xfId="0" applyNumberFormat="1" applyFont="1" applyFill="1"/>
    <xf numFmtId="4" fontId="74" fillId="10" borderId="0" xfId="0" applyNumberFormat="1" applyFont="1" applyFill="1" applyBorder="1" applyAlignment="1">
      <alignment vertical="center"/>
    </xf>
    <xf numFmtId="4" fontId="29" fillId="10" borderId="0" xfId="0" applyNumberFormat="1" applyFont="1" applyFill="1" applyAlignment="1">
      <alignment vertical="center"/>
    </xf>
    <xf numFmtId="4" fontId="29" fillId="10" borderId="0" xfId="0" applyNumberFormat="1" applyFont="1" applyFill="1" applyAlignment="1"/>
    <xf numFmtId="4" fontId="29" fillId="10" borderId="0" xfId="0" applyNumberFormat="1" applyFont="1" applyFill="1" applyAlignment="1">
      <alignment wrapText="1"/>
    </xf>
    <xf numFmtId="4" fontId="13" fillId="16" borderId="58" xfId="10" applyNumberFormat="1" applyFont="1" applyFill="1" applyBorder="1" applyAlignment="1">
      <alignment vertical="center"/>
    </xf>
    <xf numFmtId="4" fontId="7" fillId="14" borderId="58" xfId="2" applyNumberFormat="1" applyFont="1" applyFill="1" applyBorder="1" applyAlignment="1" applyProtection="1">
      <alignment vertical="center"/>
    </xf>
    <xf numFmtId="4" fontId="2" fillId="14" borderId="58" xfId="0" applyNumberFormat="1" applyFont="1" applyFill="1" applyBorder="1" applyAlignment="1">
      <alignment horizontal="center" vertical="center" wrapText="1"/>
    </xf>
    <xf numFmtId="4" fontId="7" fillId="12" borderId="58" xfId="2" applyNumberFormat="1" applyFont="1" applyFill="1" applyBorder="1" applyAlignment="1" applyProtection="1">
      <alignment vertical="center"/>
    </xf>
    <xf numFmtId="164" fontId="79" fillId="14" borderId="58" xfId="4" applyFont="1" applyFill="1" applyBorder="1" applyAlignment="1">
      <alignment horizontal="left" vertical="center"/>
    </xf>
    <xf numFmtId="4" fontId="0" fillId="0" borderId="0" xfId="0" applyNumberFormat="1" applyBorder="1"/>
    <xf numFmtId="4" fontId="2" fillId="16" borderId="58" xfId="2" applyNumberFormat="1" applyFont="1" applyFill="1" applyBorder="1" applyAlignment="1" applyProtection="1">
      <alignment vertical="center"/>
    </xf>
    <xf numFmtId="4" fontId="7" fillId="14" borderId="60" xfId="2" applyNumberFormat="1" applyFont="1" applyFill="1" applyBorder="1" applyAlignment="1" applyProtection="1">
      <alignment vertical="center"/>
    </xf>
    <xf numFmtId="0" fontId="0" fillId="0" borderId="0" xfId="0" applyAlignment="1"/>
    <xf numFmtId="0" fontId="2" fillId="10" borderId="0" xfId="30" applyFill="1"/>
    <xf numFmtId="177" fontId="2" fillId="10" borderId="58" xfId="0" applyNumberFormat="1" applyFont="1" applyFill="1" applyBorder="1" applyAlignment="1">
      <alignment horizontal="center" vertical="center" wrapText="1"/>
    </xf>
    <xf numFmtId="177" fontId="2" fillId="10" borderId="0" xfId="0" applyNumberFormat="1" applyFont="1" applyFill="1" applyBorder="1" applyAlignment="1">
      <alignment horizontal="center" vertical="center" wrapText="1"/>
    </xf>
    <xf numFmtId="177" fontId="2" fillId="10" borderId="59" xfId="0" applyNumberFormat="1" applyFont="1" applyFill="1" applyBorder="1" applyAlignment="1">
      <alignment horizontal="center" vertical="center" wrapText="1"/>
    </xf>
    <xf numFmtId="177" fontId="2" fillId="10" borderId="64" xfId="0" applyNumberFormat="1" applyFont="1" applyFill="1" applyBorder="1" applyAlignment="1">
      <alignment horizontal="center" vertical="center" wrapText="1"/>
    </xf>
    <xf numFmtId="177" fontId="77" fillId="12" borderId="58" xfId="4" applyNumberFormat="1" applyFont="1" applyFill="1" applyBorder="1" applyAlignment="1">
      <alignment horizontal="center" vertical="center" wrapText="1"/>
    </xf>
    <xf numFmtId="177" fontId="77" fillId="12" borderId="0" xfId="4" applyNumberFormat="1" applyFont="1" applyFill="1" applyBorder="1" applyAlignment="1">
      <alignment horizontal="center" vertical="center" wrapText="1"/>
    </xf>
    <xf numFmtId="177" fontId="77" fillId="12" borderId="59" xfId="4" applyNumberFormat="1" applyFont="1" applyFill="1" applyBorder="1" applyAlignment="1">
      <alignment horizontal="center" vertical="center" wrapText="1"/>
    </xf>
    <xf numFmtId="177" fontId="77" fillId="12" borderId="64" xfId="4" applyNumberFormat="1" applyFont="1" applyFill="1" applyBorder="1" applyAlignment="1">
      <alignment horizontal="center" vertical="center" wrapText="1"/>
    </xf>
    <xf numFmtId="177" fontId="79" fillId="14" borderId="58" xfId="4" applyNumberFormat="1" applyFont="1" applyFill="1" applyBorder="1" applyAlignment="1">
      <alignment horizontal="center" vertical="center" wrapText="1"/>
    </xf>
    <xf numFmtId="177" fontId="79" fillId="14" borderId="0" xfId="4" applyNumberFormat="1" applyFont="1" applyFill="1" applyBorder="1" applyAlignment="1">
      <alignment horizontal="center" vertical="center" wrapText="1"/>
    </xf>
    <xf numFmtId="177" fontId="79" fillId="14" borderId="59" xfId="4" applyNumberFormat="1" applyFont="1" applyFill="1" applyBorder="1" applyAlignment="1">
      <alignment horizontal="center" vertical="center" wrapText="1"/>
    </xf>
    <xf numFmtId="177" fontId="79" fillId="14" borderId="64" xfId="4" applyNumberFormat="1" applyFont="1" applyFill="1" applyBorder="1" applyAlignment="1">
      <alignment horizontal="center" vertical="center" wrapText="1"/>
    </xf>
    <xf numFmtId="177" fontId="79" fillId="14" borderId="60" xfId="4" applyNumberFormat="1" applyFont="1" applyFill="1" applyBorder="1" applyAlignment="1">
      <alignment horizontal="center" vertical="center" wrapText="1"/>
    </xf>
    <xf numFmtId="177" fontId="79" fillId="14" borderId="61" xfId="4" applyNumberFormat="1" applyFont="1" applyFill="1" applyBorder="1" applyAlignment="1">
      <alignment horizontal="center" vertical="center" wrapText="1"/>
    </xf>
    <xf numFmtId="177" fontId="79" fillId="14" borderId="62" xfId="4" applyNumberFormat="1" applyFont="1" applyFill="1" applyBorder="1" applyAlignment="1">
      <alignment horizontal="center" vertical="center" wrapText="1"/>
    </xf>
    <xf numFmtId="177" fontId="79" fillId="14" borderId="65" xfId="4" applyNumberFormat="1" applyFont="1" applyFill="1" applyBorder="1" applyAlignment="1">
      <alignment horizontal="center" vertical="center" wrapText="1"/>
    </xf>
    <xf numFmtId="177" fontId="78" fillId="10" borderId="0" xfId="4" applyNumberFormat="1" applyFont="1" applyFill="1" applyBorder="1" applyAlignment="1">
      <alignment horizontal="center" vertical="center"/>
    </xf>
    <xf numFmtId="177" fontId="78" fillId="10" borderId="59" xfId="4" applyNumberFormat="1" applyFont="1" applyFill="1" applyBorder="1" applyAlignment="1">
      <alignment horizontal="center" vertical="center"/>
    </xf>
    <xf numFmtId="177" fontId="78" fillId="10" borderId="64" xfId="4" applyNumberFormat="1" applyFont="1" applyFill="1" applyBorder="1" applyAlignment="1">
      <alignment horizontal="center" vertical="center"/>
    </xf>
    <xf numFmtId="177" fontId="78" fillId="10" borderId="58" xfId="4" applyNumberFormat="1" applyFont="1" applyFill="1" applyBorder="1" applyAlignment="1">
      <alignment horizontal="center" vertical="center"/>
    </xf>
    <xf numFmtId="177" fontId="78" fillId="16" borderId="59" xfId="0" applyNumberFormat="1" applyFont="1" applyFill="1" applyBorder="1" applyAlignment="1">
      <alignment horizontal="center" vertical="center"/>
    </xf>
    <xf numFmtId="177" fontId="7" fillId="14" borderId="58" xfId="2" applyNumberFormat="1" applyFont="1" applyFill="1" applyBorder="1" applyAlignment="1" applyProtection="1">
      <alignment horizontal="center" vertical="center"/>
    </xf>
    <xf numFmtId="177" fontId="7" fillId="14" borderId="0" xfId="2" applyNumberFormat="1" applyFont="1" applyFill="1" applyBorder="1" applyAlignment="1" applyProtection="1">
      <alignment horizontal="center" vertical="center"/>
    </xf>
    <xf numFmtId="177" fontId="7" fillId="14" borderId="59" xfId="2" applyNumberFormat="1" applyFont="1" applyFill="1" applyBorder="1" applyAlignment="1" applyProtection="1">
      <alignment horizontal="center" vertical="center"/>
    </xf>
    <xf numFmtId="177" fontId="7" fillId="14" borderId="64" xfId="2" applyNumberFormat="1" applyFont="1" applyFill="1" applyBorder="1" applyAlignment="1" applyProtection="1">
      <alignment horizontal="center" vertical="center"/>
    </xf>
    <xf numFmtId="177" fontId="7" fillId="14" borderId="60" xfId="2" applyNumberFormat="1" applyFont="1" applyFill="1" applyBorder="1" applyAlignment="1" applyProtection="1">
      <alignment horizontal="center" vertical="center"/>
    </xf>
    <xf numFmtId="177" fontId="7" fillId="14" borderId="61" xfId="2" applyNumberFormat="1" applyFont="1" applyFill="1" applyBorder="1" applyAlignment="1" applyProtection="1">
      <alignment horizontal="center" vertical="center"/>
    </xf>
    <xf numFmtId="177" fontId="7" fillId="14" borderId="62" xfId="2" applyNumberFormat="1" applyFont="1" applyFill="1" applyBorder="1" applyAlignment="1" applyProtection="1">
      <alignment horizontal="center" vertical="center"/>
    </xf>
    <xf numFmtId="177" fontId="7" fillId="14" borderId="65" xfId="2" applyNumberFormat="1" applyFont="1" applyFill="1" applyBorder="1" applyAlignment="1" applyProtection="1">
      <alignment horizontal="center" vertical="center"/>
    </xf>
    <xf numFmtId="176" fontId="7" fillId="14" borderId="0" xfId="2" applyNumberFormat="1" applyFont="1" applyFill="1" applyBorder="1" applyAlignment="1" applyProtection="1">
      <alignment horizontal="center" vertical="center"/>
    </xf>
    <xf numFmtId="176" fontId="7" fillId="14" borderId="59" xfId="2" applyNumberFormat="1" applyFont="1" applyFill="1" applyBorder="1" applyAlignment="1" applyProtection="1">
      <alignment horizontal="center" vertical="center"/>
    </xf>
    <xf numFmtId="176" fontId="7" fillId="14" borderId="64" xfId="2" applyNumberFormat="1" applyFont="1" applyFill="1" applyBorder="1" applyAlignment="1" applyProtection="1">
      <alignment horizontal="center" vertical="center"/>
    </xf>
    <xf numFmtId="176" fontId="2" fillId="10" borderId="0" xfId="0" applyNumberFormat="1" applyFont="1" applyFill="1" applyBorder="1" applyAlignment="1">
      <alignment horizontal="center" vertical="center" wrapText="1"/>
    </xf>
    <xf numFmtId="176" fontId="2" fillId="10" borderId="59" xfId="0" applyNumberFormat="1" applyFont="1" applyFill="1" applyBorder="1" applyAlignment="1">
      <alignment horizontal="center" vertical="center" wrapText="1"/>
    </xf>
    <xf numFmtId="176" fontId="2" fillId="10" borderId="64" xfId="0" applyNumberFormat="1" applyFont="1" applyFill="1" applyBorder="1" applyAlignment="1">
      <alignment horizontal="center" vertical="center" wrapText="1"/>
    </xf>
    <xf numFmtId="176" fontId="7" fillId="14" borderId="61" xfId="2" applyNumberFormat="1" applyFont="1" applyFill="1" applyBorder="1" applyAlignment="1" applyProtection="1">
      <alignment horizontal="center" vertical="center" wrapText="1"/>
    </xf>
    <xf numFmtId="176" fontId="7" fillId="14" borderId="62" xfId="2" applyNumberFormat="1" applyFont="1" applyFill="1" applyBorder="1" applyAlignment="1" applyProtection="1">
      <alignment horizontal="center" vertical="center" wrapText="1"/>
    </xf>
    <xf numFmtId="0" fontId="2" fillId="10" borderId="0" xfId="0" applyFont="1" applyFill="1" applyBorder="1"/>
    <xf numFmtId="165" fontId="2" fillId="10" borderId="0" xfId="0" applyNumberFormat="1" applyFont="1" applyFill="1" applyAlignment="1">
      <alignment horizontal="center"/>
    </xf>
    <xf numFmtId="0" fontId="2" fillId="10" borderId="0" xfId="0" applyFont="1" applyFill="1" applyAlignment="1">
      <alignment vertical="center"/>
    </xf>
    <xf numFmtId="3" fontId="2" fillId="10" borderId="0" xfId="0" applyNumberFormat="1" applyFont="1" applyFill="1"/>
    <xf numFmtId="171" fontId="2" fillId="10" borderId="0" xfId="0" applyNumberFormat="1" applyFont="1" applyFill="1"/>
    <xf numFmtId="172" fontId="2" fillId="10" borderId="0" xfId="0" applyNumberFormat="1" applyFont="1" applyFill="1"/>
    <xf numFmtId="0" fontId="81" fillId="10" borderId="0" xfId="2" applyFont="1" applyFill="1" applyBorder="1" applyAlignment="1" applyProtection="1">
      <alignment horizontal="center"/>
    </xf>
    <xf numFmtId="0" fontId="6" fillId="16" borderId="9" xfId="0" applyFont="1" applyFill="1" applyBorder="1" applyAlignment="1">
      <alignment vertical="center"/>
    </xf>
    <xf numFmtId="0" fontId="41" fillId="16" borderId="0" xfId="0" applyFont="1" applyFill="1" applyBorder="1" applyAlignment="1">
      <alignment vertical="center"/>
    </xf>
    <xf numFmtId="0" fontId="27" fillId="16" borderId="4" xfId="2" applyFill="1" applyBorder="1" applyAlignment="1" applyProtection="1">
      <alignment vertical="center"/>
    </xf>
    <xf numFmtId="0" fontId="39" fillId="16" borderId="0" xfId="0" applyFont="1" applyFill="1" applyBorder="1" applyAlignment="1">
      <alignment vertical="center"/>
    </xf>
    <xf numFmtId="0" fontId="27" fillId="16" borderId="4" xfId="2" applyFont="1" applyFill="1" applyBorder="1" applyAlignment="1" applyProtection="1">
      <alignment vertical="center"/>
    </xf>
    <xf numFmtId="0" fontId="7" fillId="16" borderId="9" xfId="0" applyFont="1" applyFill="1" applyBorder="1" applyAlignment="1">
      <alignment vertical="center"/>
    </xf>
    <xf numFmtId="0" fontId="7" fillId="16" borderId="0" xfId="0" applyFont="1" applyFill="1" applyBorder="1" applyAlignment="1">
      <alignment vertical="center"/>
    </xf>
    <xf numFmtId="0" fontId="7" fillId="16" borderId="8" xfId="0" applyFont="1" applyFill="1" applyBorder="1" applyAlignment="1">
      <alignment vertical="center"/>
    </xf>
    <xf numFmtId="0" fontId="7" fillId="16" borderId="6" xfId="0" applyFont="1" applyFill="1" applyBorder="1" applyAlignment="1">
      <alignment vertical="center"/>
    </xf>
    <xf numFmtId="0" fontId="39" fillId="16" borderId="6" xfId="0" applyFont="1" applyFill="1" applyBorder="1" applyAlignment="1">
      <alignment vertical="center"/>
    </xf>
    <xf numFmtId="0" fontId="27" fillId="16" borderId="66" xfId="2" applyFill="1" applyBorder="1" applyAlignment="1" applyProtection="1">
      <alignment vertical="center"/>
    </xf>
    <xf numFmtId="0" fontId="6" fillId="17" borderId="9" xfId="0" applyFont="1" applyFill="1" applyBorder="1" applyAlignment="1">
      <alignment vertical="center"/>
    </xf>
    <xf numFmtId="0" fontId="41" fillId="17" borderId="0" xfId="0" applyFont="1" applyFill="1" applyBorder="1" applyAlignment="1">
      <alignment vertical="center"/>
    </xf>
    <xf numFmtId="0" fontId="27" fillId="17" borderId="0" xfId="2" applyFont="1" applyFill="1" applyBorder="1" applyAlignment="1" applyProtection="1">
      <alignment vertical="center"/>
    </xf>
    <xf numFmtId="0" fontId="0" fillId="17" borderId="4" xfId="0" applyFill="1" applyBorder="1" applyAlignment="1">
      <alignment vertical="center"/>
    </xf>
    <xf numFmtId="0" fontId="39" fillId="17" borderId="0" xfId="0" applyFont="1" applyFill="1" applyBorder="1" applyAlignment="1">
      <alignment vertical="center"/>
    </xf>
    <xf numFmtId="0" fontId="2" fillId="17" borderId="9" xfId="0" applyFont="1" applyFill="1" applyBorder="1" applyAlignment="1">
      <alignment vertical="center"/>
    </xf>
    <xf numFmtId="0" fontId="7" fillId="17" borderId="9" xfId="0" applyFont="1" applyFill="1" applyBorder="1" applyAlignment="1">
      <alignment vertical="center"/>
    </xf>
    <xf numFmtId="0" fontId="27" fillId="17" borderId="0" xfId="2" applyFill="1" applyBorder="1" applyAlignment="1" applyProtection="1">
      <alignment vertical="center"/>
    </xf>
    <xf numFmtId="0" fontId="7" fillId="17" borderId="8" xfId="0" applyFont="1" applyFill="1" applyBorder="1" applyAlignment="1">
      <alignment vertical="center"/>
    </xf>
    <xf numFmtId="0" fontId="7" fillId="17" borderId="6" xfId="0" applyFont="1" applyFill="1" applyBorder="1" applyAlignment="1">
      <alignment vertical="center"/>
    </xf>
    <xf numFmtId="0" fontId="39" fillId="17" borderId="6" xfId="0" applyFont="1" applyFill="1" applyBorder="1" applyAlignment="1">
      <alignment vertical="center"/>
    </xf>
    <xf numFmtId="0" fontId="27" fillId="17" borderId="6" xfId="2" applyFill="1" applyBorder="1" applyAlignment="1" applyProtection="1">
      <alignment vertical="center"/>
    </xf>
    <xf numFmtId="0" fontId="0" fillId="17" borderId="66" xfId="0" applyFill="1" applyBorder="1" applyAlignment="1">
      <alignment vertical="center"/>
    </xf>
    <xf numFmtId="0" fontId="27" fillId="18" borderId="4" xfId="2" applyFont="1" applyFill="1" applyBorder="1" applyAlignment="1" applyProtection="1">
      <alignment vertical="center"/>
    </xf>
    <xf numFmtId="0" fontId="2" fillId="18" borderId="9" xfId="0" applyFont="1" applyFill="1" applyBorder="1" applyAlignment="1">
      <alignment vertical="center"/>
    </xf>
    <xf numFmtId="0" fontId="39" fillId="18" borderId="0" xfId="0" applyFont="1" applyFill="1" applyBorder="1" applyAlignment="1">
      <alignment vertical="center"/>
    </xf>
    <xf numFmtId="0" fontId="2" fillId="18" borderId="8" xfId="0" applyFont="1" applyFill="1" applyBorder="1" applyAlignment="1">
      <alignment vertical="center"/>
    </xf>
    <xf numFmtId="0" fontId="0" fillId="18" borderId="6" xfId="0" applyFill="1" applyBorder="1" applyAlignment="1">
      <alignment vertical="center"/>
    </xf>
    <xf numFmtId="0" fontId="27" fillId="18" borderId="66" xfId="2" applyFill="1" applyBorder="1" applyAlignment="1" applyProtection="1">
      <alignment vertical="center"/>
    </xf>
    <xf numFmtId="0" fontId="7" fillId="10" borderId="0" xfId="0" applyFont="1" applyFill="1"/>
    <xf numFmtId="0" fontId="7" fillId="0" borderId="0" xfId="0" applyFont="1"/>
    <xf numFmtId="0" fontId="0" fillId="17" borderId="0" xfId="0" applyFill="1" applyBorder="1" applyAlignment="1">
      <alignment vertical="center"/>
    </xf>
    <xf numFmtId="0" fontId="0" fillId="18" borderId="0" xfId="0" applyFill="1" applyBorder="1" applyAlignment="1">
      <alignment vertical="center"/>
    </xf>
    <xf numFmtId="0" fontId="27" fillId="18" borderId="4" xfId="2" applyFill="1" applyBorder="1" applyAlignment="1" applyProtection="1">
      <alignment vertical="center"/>
    </xf>
    <xf numFmtId="0" fontId="2" fillId="18" borderId="0" xfId="0" applyFont="1" applyFill="1" applyBorder="1"/>
    <xf numFmtId="0" fontId="38" fillId="18" borderId="0" xfId="0" applyFont="1" applyFill="1" applyBorder="1"/>
    <xf numFmtId="0" fontId="39" fillId="18" borderId="0" xfId="0" applyFont="1" applyFill="1" applyBorder="1"/>
    <xf numFmtId="0" fontId="2" fillId="18" borderId="6" xfId="0" applyFont="1" applyFill="1" applyBorder="1"/>
    <xf numFmtId="0" fontId="38" fillId="18" borderId="6" xfId="0" applyFont="1" applyFill="1" applyBorder="1"/>
    <xf numFmtId="0" fontId="39" fillId="18" borderId="6" xfId="0" applyFont="1" applyFill="1" applyBorder="1"/>
    <xf numFmtId="0" fontId="2" fillId="16" borderId="9" xfId="0" applyFont="1" applyFill="1" applyBorder="1" applyAlignment="1">
      <alignment vertical="center"/>
    </xf>
    <xf numFmtId="0" fontId="0" fillId="11" borderId="38" xfId="0" applyFill="1" applyBorder="1"/>
    <xf numFmtId="0" fontId="2" fillId="11" borderId="67" xfId="0" applyFont="1" applyFill="1" applyBorder="1" applyAlignment="1">
      <alignment horizontal="justify" vertical="center"/>
    </xf>
    <xf numFmtId="0" fontId="2" fillId="11" borderId="38" xfId="0" applyFont="1" applyFill="1" applyBorder="1" applyAlignment="1">
      <alignment horizontal="justify" vertical="center"/>
    </xf>
    <xf numFmtId="0" fontId="84" fillId="11" borderId="39" xfId="0" applyFont="1" applyFill="1" applyBorder="1" applyAlignment="1">
      <alignment horizontal="justify" vertical="center"/>
    </xf>
    <xf numFmtId="0" fontId="84" fillId="11" borderId="23" xfId="0" applyFont="1" applyFill="1" applyBorder="1" applyAlignment="1">
      <alignment horizontal="justify" vertical="center"/>
    </xf>
    <xf numFmtId="0" fontId="84" fillId="11" borderId="23" xfId="0" applyFont="1" applyFill="1" applyBorder="1"/>
    <xf numFmtId="0" fontId="2" fillId="11" borderId="38" xfId="0" applyFont="1" applyFill="1" applyBorder="1"/>
    <xf numFmtId="0" fontId="27" fillId="3" borderId="0" xfId="2" applyNumberFormat="1" applyFill="1" applyAlignment="1" applyProtection="1">
      <alignment vertical="center"/>
    </xf>
    <xf numFmtId="4" fontId="27" fillId="3" borderId="0" xfId="2" applyNumberFormat="1" applyFill="1" applyAlignment="1" applyProtection="1">
      <alignment vertical="center"/>
    </xf>
    <xf numFmtId="4" fontId="27" fillId="10" borderId="0" xfId="2" applyNumberFormat="1" applyFill="1" applyBorder="1" applyAlignment="1" applyProtection="1">
      <alignment vertical="center"/>
    </xf>
    <xf numFmtId="2" fontId="27" fillId="3" borderId="0" xfId="2" applyNumberFormat="1" applyFill="1" applyAlignment="1" applyProtection="1">
      <alignment vertical="center"/>
    </xf>
    <xf numFmtId="4" fontId="27" fillId="10" borderId="0" xfId="2" applyNumberFormat="1" applyFill="1" applyBorder="1" applyAlignment="1" applyProtection="1"/>
    <xf numFmtId="4" fontId="27" fillId="3" borderId="0" xfId="2" applyNumberFormat="1" applyFill="1" applyAlignment="1" applyProtection="1"/>
    <xf numFmtId="4" fontId="27" fillId="3" borderId="0" xfId="2" applyNumberFormat="1" applyFill="1" applyBorder="1" applyAlignment="1" applyProtection="1">
      <alignment vertical="center"/>
    </xf>
    <xf numFmtId="0" fontId="27" fillId="3" borderId="0" xfId="2" applyFill="1" applyBorder="1" applyAlignment="1" applyProtection="1">
      <alignment vertical="center"/>
    </xf>
    <xf numFmtId="0" fontId="7" fillId="14" borderId="12" xfId="0" applyFont="1" applyFill="1" applyBorder="1" applyAlignment="1">
      <alignment horizontal="center" vertical="center"/>
    </xf>
    <xf numFmtId="0" fontId="7" fillId="14" borderId="6" xfId="0" applyFont="1" applyFill="1" applyBorder="1" applyAlignment="1">
      <alignment horizontal="center" vertical="center"/>
    </xf>
    <xf numFmtId="0" fontId="7" fillId="14" borderId="2" xfId="0" applyFont="1" applyFill="1" applyBorder="1" applyAlignment="1">
      <alignment horizontal="center" vertical="center"/>
    </xf>
    <xf numFmtId="0" fontId="84" fillId="11" borderId="38" xfId="0" applyFont="1" applyFill="1" applyBorder="1" applyAlignment="1">
      <alignment horizontal="justify" vertical="center"/>
    </xf>
    <xf numFmtId="0" fontId="84" fillId="11" borderId="68" xfId="0" applyFont="1" applyFill="1" applyBorder="1" applyAlignment="1">
      <alignment horizontal="justify" vertical="center"/>
    </xf>
    <xf numFmtId="0" fontId="84" fillId="11" borderId="39" xfId="0" applyFont="1" applyFill="1" applyBorder="1" applyAlignment="1">
      <alignment vertical="center"/>
    </xf>
    <xf numFmtId="0" fontId="2" fillId="11" borderId="68" xfId="0" applyFont="1" applyFill="1" applyBorder="1" applyAlignment="1">
      <alignment wrapText="1"/>
    </xf>
    <xf numFmtId="0" fontId="84" fillId="11" borderId="68" xfId="0" applyFont="1" applyFill="1" applyBorder="1" applyAlignment="1">
      <alignment wrapText="1"/>
    </xf>
    <xf numFmtId="0" fontId="84" fillId="11" borderId="39" xfId="0" applyFont="1" applyFill="1" applyBorder="1" applyAlignment="1">
      <alignment horizontal="left" vertical="center" wrapText="1"/>
    </xf>
    <xf numFmtId="0" fontId="84" fillId="11" borderId="38" xfId="0" applyFont="1" applyFill="1" applyBorder="1" applyAlignment="1">
      <alignment horizontal="left" vertical="center" wrapText="1"/>
    </xf>
    <xf numFmtId="49" fontId="84" fillId="11" borderId="23" xfId="0" applyNumberFormat="1" applyFont="1" applyFill="1" applyBorder="1" applyAlignment="1">
      <alignment vertical="center"/>
    </xf>
    <xf numFmtId="0" fontId="84" fillId="11" borderId="23" xfId="0" applyFont="1" applyFill="1" applyBorder="1" applyAlignment="1">
      <alignment vertical="center"/>
    </xf>
    <xf numFmtId="49" fontId="84" fillId="11" borderId="38" xfId="0" applyNumberFormat="1" applyFont="1" applyFill="1" applyBorder="1" applyAlignment="1">
      <alignment vertical="center"/>
    </xf>
    <xf numFmtId="0" fontId="84" fillId="11" borderId="39" xfId="0" applyFont="1" applyFill="1" applyBorder="1" applyAlignment="1">
      <alignment vertical="center" wrapText="1"/>
    </xf>
    <xf numFmtId="0" fontId="84" fillId="11" borderId="38" xfId="0" applyFont="1" applyFill="1" applyBorder="1" applyAlignment="1">
      <alignment horizontal="left" wrapText="1"/>
    </xf>
    <xf numFmtId="0" fontId="0" fillId="11" borderId="68" xfId="0" applyFill="1" applyBorder="1" applyAlignment="1">
      <alignment horizontal="left" wrapText="1"/>
    </xf>
    <xf numFmtId="0" fontId="85" fillId="11" borderId="23" xfId="0" applyFont="1" applyFill="1" applyBorder="1" applyAlignment="1">
      <alignment vertical="center"/>
    </xf>
    <xf numFmtId="0" fontId="84" fillId="11" borderId="68" xfId="0" applyFont="1" applyFill="1" applyBorder="1" applyAlignment="1">
      <alignment vertical="center" wrapText="1"/>
    </xf>
    <xf numFmtId="0" fontId="84" fillId="11" borderId="23" xfId="0" applyFont="1" applyFill="1" applyBorder="1" applyAlignment="1">
      <alignment vertical="center" wrapText="1"/>
    </xf>
    <xf numFmtId="0" fontId="0" fillId="11" borderId="25" xfId="0" applyFill="1" applyBorder="1"/>
    <xf numFmtId="0" fontId="2" fillId="11" borderId="39" xfId="0" applyFont="1" applyFill="1" applyBorder="1" applyAlignment="1">
      <alignment horizontal="justify" vertical="center"/>
    </xf>
    <xf numFmtId="0" fontId="7" fillId="14" borderId="69" xfId="0" applyFont="1" applyFill="1" applyBorder="1" applyAlignment="1">
      <alignment horizontal="center" vertical="center"/>
    </xf>
    <xf numFmtId="177" fontId="72" fillId="12" borderId="58" xfId="4" applyNumberFormat="1" applyFont="1" applyFill="1" applyBorder="1" applyAlignment="1">
      <alignment horizontal="center" vertical="center"/>
    </xf>
    <xf numFmtId="177" fontId="72" fillId="12" borderId="58" xfId="2" applyNumberFormat="1" applyFont="1" applyFill="1" applyBorder="1" applyAlignment="1" applyProtection="1">
      <alignment horizontal="center" vertical="center"/>
    </xf>
    <xf numFmtId="177" fontId="72" fillId="12" borderId="0" xfId="2" applyNumberFormat="1" applyFont="1" applyFill="1" applyBorder="1" applyAlignment="1" applyProtection="1">
      <alignment horizontal="center" vertical="center"/>
    </xf>
    <xf numFmtId="177" fontId="72" fillId="12" borderId="59" xfId="2" applyNumberFormat="1" applyFont="1" applyFill="1" applyBorder="1" applyAlignment="1" applyProtection="1">
      <alignment horizontal="center" vertical="center"/>
    </xf>
    <xf numFmtId="177" fontId="72" fillId="12" borderId="64" xfId="2" applyNumberFormat="1" applyFont="1" applyFill="1" applyBorder="1" applyAlignment="1" applyProtection="1">
      <alignment horizontal="center" vertical="center"/>
    </xf>
    <xf numFmtId="177" fontId="72" fillId="12" borderId="0" xfId="4" applyNumberFormat="1" applyFont="1" applyFill="1" applyBorder="1" applyAlignment="1">
      <alignment horizontal="center" vertical="center"/>
    </xf>
    <xf numFmtId="176" fontId="72" fillId="12" borderId="58" xfId="2" applyNumberFormat="1" applyFont="1" applyFill="1" applyBorder="1" applyAlignment="1" applyProtection="1">
      <alignment horizontal="center" vertical="center"/>
    </xf>
    <xf numFmtId="176" fontId="72" fillId="12" borderId="0" xfId="2" applyNumberFormat="1" applyFont="1" applyFill="1" applyBorder="1" applyAlignment="1" applyProtection="1">
      <alignment horizontal="center" vertical="center"/>
    </xf>
    <xf numFmtId="176" fontId="72" fillId="12" borderId="59" xfId="2" applyNumberFormat="1" applyFont="1" applyFill="1" applyBorder="1" applyAlignment="1" applyProtection="1">
      <alignment horizontal="center" vertical="center"/>
    </xf>
    <xf numFmtId="176" fontId="72" fillId="12" borderId="64" xfId="2" applyNumberFormat="1" applyFont="1" applyFill="1" applyBorder="1" applyAlignment="1" applyProtection="1">
      <alignment horizontal="center" vertical="center"/>
    </xf>
    <xf numFmtId="4" fontId="7" fillId="14" borderId="59" xfId="2" applyNumberFormat="1" applyFont="1" applyFill="1" applyBorder="1" applyAlignment="1" applyProtection="1">
      <alignment vertical="center"/>
    </xf>
    <xf numFmtId="4" fontId="13" fillId="16" borderId="59" xfId="10" applyNumberFormat="1" applyFont="1" applyFill="1" applyBorder="1" applyAlignment="1">
      <alignment vertical="center"/>
    </xf>
    <xf numFmtId="4" fontId="7" fillId="12" borderId="59" xfId="2" applyNumberFormat="1" applyFont="1" applyFill="1" applyBorder="1" applyAlignment="1" applyProtection="1">
      <alignment vertical="center"/>
    </xf>
    <xf numFmtId="4" fontId="7" fillId="14" borderId="59" xfId="2" applyNumberFormat="1" applyFont="1" applyFill="1" applyBorder="1" applyAlignment="1" applyProtection="1">
      <alignment horizontal="left" vertical="center" wrapText="1"/>
    </xf>
    <xf numFmtId="4" fontId="7" fillId="14" borderId="62" xfId="2" applyNumberFormat="1" applyFont="1" applyFill="1" applyBorder="1" applyAlignment="1" applyProtection="1">
      <alignment horizontal="left" vertical="center" wrapText="1"/>
    </xf>
    <xf numFmtId="4" fontId="7" fillId="14" borderId="55" xfId="0" applyNumberFormat="1" applyFont="1" applyFill="1" applyBorder="1" applyAlignment="1">
      <alignment vertical="center"/>
    </xf>
    <xf numFmtId="4" fontId="2" fillId="16" borderId="58" xfId="0" applyNumberFormat="1" applyFont="1" applyFill="1" applyBorder="1" applyAlignment="1">
      <alignment horizontal="left" vertical="center" wrapText="1"/>
    </xf>
    <xf numFmtId="4" fontId="2" fillId="16" borderId="60" xfId="0" applyNumberFormat="1" applyFont="1" applyFill="1" applyBorder="1" applyAlignment="1">
      <alignment horizontal="left" vertical="center" wrapText="1"/>
    </xf>
    <xf numFmtId="0" fontId="2" fillId="10" borderId="61" xfId="0" applyFont="1" applyFill="1" applyBorder="1"/>
    <xf numFmtId="4" fontId="7" fillId="14" borderId="57" xfId="0" applyNumberFormat="1" applyFont="1" applyFill="1" applyBorder="1" applyAlignment="1">
      <alignment vertical="center"/>
    </xf>
    <xf numFmtId="4" fontId="2" fillId="10" borderId="59" xfId="2" applyNumberFormat="1" applyFont="1" applyFill="1" applyBorder="1" applyAlignment="1" applyProtection="1">
      <alignment vertical="center"/>
    </xf>
    <xf numFmtId="4" fontId="2" fillId="10" borderId="62" xfId="2" applyNumberFormat="1" applyFont="1" applyFill="1" applyBorder="1" applyAlignment="1" applyProtection="1">
      <alignment vertical="center"/>
    </xf>
    <xf numFmtId="4" fontId="7" fillId="10" borderId="0" xfId="0" applyNumberFormat="1" applyFont="1" applyFill="1" applyBorder="1" applyAlignment="1">
      <alignment vertical="center" textRotation="90"/>
    </xf>
    <xf numFmtId="177" fontId="72" fillId="12" borderId="73" xfId="4" applyNumberFormat="1" applyFont="1" applyFill="1" applyBorder="1" applyAlignment="1">
      <alignment horizontal="center" vertical="center"/>
    </xf>
    <xf numFmtId="4" fontId="7" fillId="14" borderId="56" xfId="0" applyNumberFormat="1" applyFont="1" applyFill="1" applyBorder="1" applyAlignment="1">
      <alignment vertical="center"/>
    </xf>
    <xf numFmtId="165" fontId="23" fillId="10" borderId="0" xfId="0" applyNumberFormat="1" applyFont="1" applyFill="1" applyAlignment="1"/>
    <xf numFmtId="177" fontId="2" fillId="10" borderId="0" xfId="4" applyNumberFormat="1" applyFont="1" applyFill="1" applyBorder="1" applyAlignment="1">
      <alignment horizontal="right" vertical="center"/>
    </xf>
    <xf numFmtId="177" fontId="7" fillId="10" borderId="0" xfId="4" applyNumberFormat="1" applyFont="1" applyFill="1" applyBorder="1" applyAlignment="1">
      <alignment horizontal="right" vertical="center"/>
    </xf>
    <xf numFmtId="177" fontId="2" fillId="16" borderId="0" xfId="4" applyNumberFormat="1" applyFont="1" applyFill="1" applyBorder="1" applyAlignment="1">
      <alignment horizontal="right" vertical="center"/>
    </xf>
    <xf numFmtId="177" fontId="7" fillId="14" borderId="0" xfId="4" applyNumberFormat="1" applyFont="1" applyFill="1" applyBorder="1" applyAlignment="1">
      <alignment horizontal="right" vertical="center"/>
    </xf>
    <xf numFmtId="177" fontId="72" fillId="10" borderId="58" xfId="2" applyNumberFormat="1" applyFont="1" applyFill="1" applyBorder="1" applyAlignment="1" applyProtection="1">
      <alignment horizontal="center" vertical="center"/>
    </xf>
    <xf numFmtId="177" fontId="72" fillId="10" borderId="0" xfId="2" applyNumberFormat="1" applyFont="1" applyFill="1" applyBorder="1" applyAlignment="1" applyProtection="1">
      <alignment horizontal="center" vertical="center"/>
    </xf>
    <xf numFmtId="177" fontId="72" fillId="10" borderId="59" xfId="2" applyNumberFormat="1" applyFont="1" applyFill="1" applyBorder="1" applyAlignment="1" applyProtection="1">
      <alignment horizontal="center" vertical="center"/>
    </xf>
    <xf numFmtId="177" fontId="72" fillId="10" borderId="64" xfId="2" applyNumberFormat="1" applyFont="1" applyFill="1" applyBorder="1" applyAlignment="1" applyProtection="1">
      <alignment horizontal="center" vertical="center"/>
    </xf>
    <xf numFmtId="176" fontId="72" fillId="10" borderId="0" xfId="2" applyNumberFormat="1" applyFont="1" applyFill="1" applyBorder="1" applyAlignment="1" applyProtection="1">
      <alignment horizontal="center" vertical="center"/>
    </xf>
    <xf numFmtId="176" fontId="72" fillId="10" borderId="59" xfId="2" applyNumberFormat="1" applyFont="1" applyFill="1" applyBorder="1" applyAlignment="1" applyProtection="1">
      <alignment horizontal="center" vertical="center"/>
    </xf>
    <xf numFmtId="176" fontId="72" fillId="10" borderId="64" xfId="2" applyNumberFormat="1" applyFont="1" applyFill="1" applyBorder="1" applyAlignment="1" applyProtection="1">
      <alignment horizontal="center" vertical="center"/>
    </xf>
    <xf numFmtId="0" fontId="27" fillId="18" borderId="4" xfId="2" applyFill="1" applyBorder="1" applyAlignment="1" applyProtection="1">
      <alignment horizontal="center" vertical="center"/>
    </xf>
    <xf numFmtId="0" fontId="27" fillId="18" borderId="66" xfId="2" applyFill="1" applyBorder="1" applyAlignment="1" applyProtection="1">
      <alignment horizontal="center" vertical="center"/>
    </xf>
    <xf numFmtId="165" fontId="4" fillId="3" borderId="0" xfId="22" applyNumberFormat="1" applyFont="1" applyFill="1" applyBorder="1" applyAlignment="1"/>
    <xf numFmtId="9" fontId="7" fillId="3" borderId="0" xfId="31" applyFont="1" applyFill="1"/>
    <xf numFmtId="164" fontId="2" fillId="10" borderId="0" xfId="4" applyFont="1" applyFill="1" applyBorder="1"/>
    <xf numFmtId="164" fontId="2" fillId="10" borderId="61" xfId="4" applyFont="1" applyFill="1" applyBorder="1"/>
    <xf numFmtId="177" fontId="7" fillId="14" borderId="0" xfId="4" applyNumberFormat="1" applyFont="1" applyFill="1" applyBorder="1" applyAlignment="1">
      <alignment horizontal="right" vertical="center" indent="1"/>
    </xf>
    <xf numFmtId="177" fontId="7" fillId="14" borderId="0" xfId="6" applyNumberFormat="1" applyFont="1" applyFill="1" applyBorder="1" applyAlignment="1">
      <alignment horizontal="right" vertical="center" indent="1"/>
    </xf>
    <xf numFmtId="0" fontId="20" fillId="3" borderId="0" xfId="0" applyNumberFormat="1" applyFont="1" applyFill="1" applyBorder="1"/>
    <xf numFmtId="9" fontId="20" fillId="3" borderId="0" xfId="31" applyFont="1" applyFill="1" applyBorder="1"/>
    <xf numFmtId="178" fontId="87" fillId="10" borderId="0" xfId="4" applyNumberFormat="1" applyFont="1" applyFill="1" applyBorder="1" applyAlignment="1">
      <alignment horizontal="center" vertical="center"/>
    </xf>
    <xf numFmtId="178" fontId="87" fillId="16" borderId="0" xfId="0" applyNumberFormat="1" applyFont="1" applyFill="1" applyBorder="1" applyAlignment="1">
      <alignment horizontal="center" vertical="center"/>
    </xf>
    <xf numFmtId="178" fontId="87" fillId="10" borderId="0" xfId="4" quotePrefix="1" applyNumberFormat="1" applyFont="1" applyFill="1" applyBorder="1" applyAlignment="1">
      <alignment horizontal="center" vertical="center"/>
    </xf>
    <xf numFmtId="4" fontId="87" fillId="10" borderId="0" xfId="0" applyNumberFormat="1" applyFont="1" applyFill="1" applyBorder="1" applyAlignment="1">
      <alignment horizontal="center" vertical="center"/>
    </xf>
    <xf numFmtId="178" fontId="88" fillId="12" borderId="0" xfId="4" applyNumberFormat="1" applyFont="1" applyFill="1" applyBorder="1" applyAlignment="1">
      <alignment horizontal="center" vertical="center"/>
    </xf>
    <xf numFmtId="178" fontId="88" fillId="12" borderId="0" xfId="0" applyNumberFormat="1" applyFont="1" applyFill="1" applyBorder="1" applyAlignment="1">
      <alignment horizontal="center" vertical="center"/>
    </xf>
    <xf numFmtId="178" fontId="87" fillId="14" borderId="0" xfId="4" applyNumberFormat="1" applyFont="1" applyFill="1" applyBorder="1" applyAlignment="1">
      <alignment horizontal="center" vertical="center"/>
    </xf>
    <xf numFmtId="178" fontId="87" fillId="14" borderId="0" xfId="0" applyNumberFormat="1" applyFont="1" applyFill="1" applyBorder="1" applyAlignment="1">
      <alignment horizontal="center" vertical="center"/>
    </xf>
    <xf numFmtId="164" fontId="87" fillId="10" borderId="0" xfId="4" applyFont="1" applyFill="1" applyBorder="1" applyAlignment="1">
      <alignment horizontal="center" vertical="center"/>
    </xf>
    <xf numFmtId="4" fontId="87" fillId="10" borderId="0" xfId="0" applyNumberFormat="1" applyFont="1" applyFill="1" applyBorder="1" applyAlignment="1"/>
    <xf numFmtId="4" fontId="88" fillId="12" borderId="0" xfId="0" applyNumberFormat="1" applyFont="1" applyFill="1" applyBorder="1" applyAlignment="1">
      <alignment vertical="center"/>
    </xf>
    <xf numFmtId="4" fontId="87" fillId="14" borderId="0" xfId="10" applyNumberFormat="1" applyFont="1" applyFill="1" applyBorder="1" applyAlignment="1">
      <alignment vertical="center"/>
    </xf>
    <xf numFmtId="165" fontId="89" fillId="10" borderId="0" xfId="0" applyNumberFormat="1" applyFont="1" applyFill="1" applyBorder="1" applyAlignment="1"/>
    <xf numFmtId="0" fontId="87" fillId="10" borderId="0" xfId="0" applyFont="1" applyFill="1" applyBorder="1" applyAlignment="1"/>
    <xf numFmtId="178" fontId="87" fillId="14" borderId="0" xfId="0" quotePrefix="1" applyNumberFormat="1" applyFont="1" applyFill="1" applyBorder="1" applyAlignment="1">
      <alignment horizontal="center" vertical="center"/>
    </xf>
    <xf numFmtId="178" fontId="87" fillId="14" borderId="0" xfId="10" applyNumberFormat="1" applyFont="1" applyFill="1" applyBorder="1" applyAlignment="1">
      <alignment vertical="center"/>
    </xf>
    <xf numFmtId="178" fontId="87" fillId="14" borderId="0" xfId="10" applyNumberFormat="1" applyFont="1" applyFill="1" applyBorder="1" applyAlignment="1">
      <alignment horizontal="center" vertical="center"/>
    </xf>
    <xf numFmtId="178" fontId="89" fillId="10" borderId="0" xfId="0" applyNumberFormat="1" applyFont="1" applyFill="1" applyBorder="1" applyAlignment="1">
      <alignment horizontal="center" vertical="center"/>
    </xf>
    <xf numFmtId="178" fontId="87" fillId="10" borderId="0" xfId="0" applyNumberFormat="1" applyFont="1" applyFill="1" applyBorder="1" applyAlignment="1">
      <alignment vertical="center"/>
    </xf>
    <xf numFmtId="0" fontId="87" fillId="10" borderId="0" xfId="0" applyFont="1" applyFill="1" applyBorder="1" applyAlignment="1">
      <alignment vertical="center"/>
    </xf>
    <xf numFmtId="4" fontId="87" fillId="16" borderId="0" xfId="2" applyNumberFormat="1" applyFont="1" applyFill="1" applyBorder="1" applyAlignment="1" applyProtection="1">
      <alignment vertical="center"/>
    </xf>
    <xf numFmtId="178" fontId="89" fillId="10" borderId="0" xfId="0" applyNumberFormat="1" applyFont="1" applyFill="1" applyBorder="1" applyAlignment="1"/>
    <xf numFmtId="178" fontId="87" fillId="10" borderId="0" xfId="0" applyNumberFormat="1" applyFont="1" applyFill="1" applyBorder="1" applyAlignment="1"/>
    <xf numFmtId="4" fontId="87" fillId="16" borderId="0" xfId="2" applyNumberFormat="1" applyFont="1" applyFill="1" applyBorder="1" applyAlignment="1" applyProtection="1">
      <alignment horizontal="left" vertical="center"/>
    </xf>
    <xf numFmtId="4" fontId="87" fillId="12" borderId="0" xfId="2" applyNumberFormat="1" applyFont="1" applyFill="1" applyBorder="1" applyAlignment="1" applyProtection="1">
      <alignment vertical="center"/>
    </xf>
    <xf numFmtId="4" fontId="87" fillId="12" borderId="0" xfId="0" applyNumberFormat="1" applyFont="1" applyFill="1" applyBorder="1" applyAlignment="1">
      <alignment vertical="center"/>
    </xf>
    <xf numFmtId="3" fontId="87" fillId="10" borderId="0" xfId="0" applyNumberFormat="1" applyFont="1" applyFill="1" applyBorder="1" applyAlignment="1"/>
    <xf numFmtId="9" fontId="87" fillId="10" borderId="0" xfId="31" applyFont="1" applyFill="1" applyBorder="1" applyAlignment="1"/>
    <xf numFmtId="178" fontId="87" fillId="10" borderId="0" xfId="31" applyNumberFormat="1" applyFont="1" applyFill="1" applyBorder="1" applyAlignment="1"/>
    <xf numFmtId="4" fontId="87" fillId="0" borderId="0" xfId="0" applyNumberFormat="1" applyFont="1" applyBorder="1" applyAlignment="1"/>
    <xf numFmtId="4" fontId="87" fillId="14" borderId="0" xfId="2" applyNumberFormat="1" applyFont="1" applyFill="1" applyBorder="1" applyAlignment="1" applyProtection="1">
      <alignment vertical="center"/>
    </xf>
    <xf numFmtId="4" fontId="87" fillId="16" borderId="0" xfId="10" applyNumberFormat="1" applyFont="1" applyFill="1" applyBorder="1" applyAlignment="1">
      <alignment vertical="center"/>
    </xf>
    <xf numFmtId="4" fontId="87" fillId="14" borderId="0" xfId="0" applyNumberFormat="1" applyFont="1" applyFill="1" applyBorder="1" applyAlignment="1">
      <alignment vertical="center"/>
    </xf>
    <xf numFmtId="4" fontId="87" fillId="10" borderId="0" xfId="2" applyNumberFormat="1" applyFont="1" applyFill="1" applyBorder="1" applyAlignment="1" applyProtection="1">
      <alignment vertical="center"/>
    </xf>
    <xf numFmtId="0" fontId="2" fillId="3" borderId="0" xfId="0" applyFont="1" applyFill="1" applyAlignment="1">
      <alignment horizontal="left" vertical="top" wrapText="1"/>
    </xf>
    <xf numFmtId="0" fontId="0" fillId="3" borderId="0" xfId="0" applyFill="1" applyAlignment="1">
      <alignment horizontal="left" vertical="top" wrapText="1"/>
    </xf>
    <xf numFmtId="0" fontId="86" fillId="12" borderId="0" xfId="0" applyFont="1" applyFill="1" applyAlignment="1">
      <alignment horizontal="center" vertical="center"/>
    </xf>
    <xf numFmtId="0" fontId="6" fillId="18" borderId="9" xfId="0" applyFont="1" applyFill="1" applyBorder="1" applyAlignment="1">
      <alignment horizontal="left" vertical="center"/>
    </xf>
    <xf numFmtId="0" fontId="41" fillId="18" borderId="0" xfId="0" applyFont="1" applyFill="1" applyBorder="1" applyAlignment="1">
      <alignment horizontal="left" vertical="center"/>
    </xf>
    <xf numFmtId="1" fontId="80" fillId="12" borderId="7" xfId="6" applyNumberFormat="1" applyFont="1" applyFill="1" applyBorder="1" applyAlignment="1">
      <alignment horizontal="center" vertical="center"/>
    </xf>
    <xf numFmtId="1" fontId="80" fillId="12" borderId="2" xfId="6" applyNumberFormat="1" applyFont="1" applyFill="1" applyBorder="1" applyAlignment="1">
      <alignment horizontal="center" vertical="center"/>
    </xf>
    <xf numFmtId="1" fontId="80" fillId="12" borderId="54" xfId="6" applyNumberFormat="1" applyFont="1" applyFill="1" applyBorder="1" applyAlignment="1">
      <alignment horizontal="center" vertical="center"/>
    </xf>
    <xf numFmtId="1" fontId="80" fillId="20" borderId="7" xfId="6" applyNumberFormat="1" applyFont="1" applyFill="1" applyBorder="1" applyAlignment="1">
      <alignment horizontal="center" vertical="center"/>
    </xf>
    <xf numFmtId="1" fontId="80" fillId="20" borderId="2" xfId="6" applyNumberFormat="1" applyFont="1" applyFill="1" applyBorder="1" applyAlignment="1">
      <alignment horizontal="center" vertical="center"/>
    </xf>
    <xf numFmtId="1" fontId="80" fillId="19" borderId="7" xfId="6" applyNumberFormat="1" applyFont="1" applyFill="1" applyBorder="1" applyAlignment="1">
      <alignment horizontal="center" vertical="center"/>
    </xf>
    <xf numFmtId="1" fontId="80" fillId="19" borderId="2" xfId="6" applyNumberFormat="1" applyFont="1" applyFill="1" applyBorder="1" applyAlignment="1">
      <alignment horizontal="center" vertical="center"/>
    </xf>
    <xf numFmtId="1" fontId="80" fillId="19" borderId="54" xfId="6" applyNumberFormat="1" applyFont="1" applyFill="1" applyBorder="1" applyAlignment="1">
      <alignment horizontal="center" vertical="center"/>
    </xf>
    <xf numFmtId="1" fontId="83" fillId="19" borderId="7" xfId="6" applyNumberFormat="1" applyFont="1" applyFill="1" applyBorder="1" applyAlignment="1">
      <alignment horizontal="center" vertical="center"/>
    </xf>
    <xf numFmtId="1" fontId="83" fillId="19" borderId="2" xfId="6" applyNumberFormat="1" applyFont="1" applyFill="1" applyBorder="1" applyAlignment="1">
      <alignment horizontal="center" vertical="center"/>
    </xf>
    <xf numFmtId="1" fontId="83" fillId="19" borderId="54" xfId="6" applyNumberFormat="1" applyFont="1" applyFill="1" applyBorder="1" applyAlignment="1">
      <alignment horizontal="center" vertical="center"/>
    </xf>
    <xf numFmtId="4" fontId="7" fillId="14" borderId="0" xfId="6" applyNumberFormat="1" applyFont="1" applyFill="1" applyBorder="1" applyAlignment="1">
      <alignment horizontal="center" vertical="center"/>
    </xf>
    <xf numFmtId="4" fontId="77" fillId="13" borderId="0" xfId="21" applyNumberFormat="1" applyFont="1" applyFill="1" applyBorder="1" applyAlignment="1">
      <alignment horizontal="center"/>
    </xf>
    <xf numFmtId="2" fontId="77" fillId="13" borderId="0" xfId="21" applyNumberFormat="1" applyFont="1" applyFill="1" applyBorder="1" applyAlignment="1">
      <alignment horizontal="center"/>
    </xf>
    <xf numFmtId="2" fontId="7" fillId="14" borderId="0" xfId="6" applyNumberFormat="1" applyFont="1" applyFill="1" applyBorder="1" applyAlignment="1">
      <alignment horizontal="center" vertical="center"/>
    </xf>
    <xf numFmtId="165" fontId="31" fillId="10" borderId="0" xfId="0" applyNumberFormat="1" applyFont="1" applyFill="1" applyBorder="1" applyAlignment="1">
      <alignment horizontal="center" vertical="center" wrapText="1"/>
    </xf>
    <xf numFmtId="165" fontId="31" fillId="10" borderId="0" xfId="0" applyNumberFormat="1" applyFont="1" applyFill="1" applyBorder="1" applyAlignment="1">
      <alignment horizontal="center"/>
    </xf>
    <xf numFmtId="4" fontId="42" fillId="13" borderId="0" xfId="6" applyNumberFormat="1" applyFont="1" applyFill="1" applyBorder="1" applyAlignment="1">
      <alignment horizontal="center" vertical="center"/>
    </xf>
    <xf numFmtId="4" fontId="42" fillId="13" borderId="0" xfId="23" applyNumberFormat="1" applyFont="1" applyFill="1" applyBorder="1" applyAlignment="1">
      <alignment horizontal="center" vertical="center"/>
    </xf>
    <xf numFmtId="4" fontId="7" fillId="14" borderId="0" xfId="6" applyNumberFormat="1" applyFont="1" applyFill="1" applyBorder="1" applyAlignment="1">
      <alignment horizontal="center" vertical="center" wrapText="1"/>
    </xf>
    <xf numFmtId="4" fontId="7" fillId="14" borderId="52" xfId="6" applyNumberFormat="1" applyFont="1" applyFill="1" applyBorder="1" applyAlignment="1">
      <alignment horizontal="center" vertical="center" wrapText="1"/>
    </xf>
    <xf numFmtId="4" fontId="7" fillId="14" borderId="52" xfId="6" applyNumberFormat="1" applyFont="1" applyFill="1" applyBorder="1" applyAlignment="1">
      <alignment horizontal="center" vertical="center"/>
    </xf>
    <xf numFmtId="4" fontId="42" fillId="13" borderId="0" xfId="22" applyNumberFormat="1" applyFont="1" applyFill="1" applyBorder="1" applyAlignment="1">
      <alignment horizontal="center"/>
    </xf>
    <xf numFmtId="4" fontId="42" fillId="13" borderId="0" xfId="23" applyNumberFormat="1" applyFont="1" applyFill="1" applyBorder="1" applyAlignment="1">
      <alignment horizontal="center"/>
    </xf>
    <xf numFmtId="4" fontId="42" fillId="13" borderId="0" xfId="6" applyNumberFormat="1" applyFont="1" applyFill="1" applyBorder="1" applyAlignment="1">
      <alignment horizontal="center"/>
    </xf>
    <xf numFmtId="4" fontId="42" fillId="13" borderId="0" xfId="24" applyNumberFormat="1" applyFont="1" applyFill="1" applyBorder="1" applyAlignment="1">
      <alignment horizontal="center"/>
    </xf>
    <xf numFmtId="4" fontId="42" fillId="13" borderId="0" xfId="24" quotePrefix="1" applyNumberFormat="1" applyFont="1" applyFill="1" applyBorder="1" applyAlignment="1">
      <alignment horizontal="center"/>
    </xf>
    <xf numFmtId="4" fontId="42" fillId="13" borderId="0" xfId="25" applyNumberFormat="1" applyFont="1" applyFill="1" applyBorder="1" applyAlignment="1">
      <alignment horizontal="center" vertical="center"/>
    </xf>
    <xf numFmtId="4" fontId="42" fillId="12" borderId="0" xfId="26" applyNumberFormat="1" applyFont="1" applyFill="1" applyBorder="1" applyAlignment="1">
      <alignment horizontal="center"/>
    </xf>
    <xf numFmtId="4" fontId="42" fillId="13" borderId="0" xfId="0" applyNumberFormat="1" applyFont="1" applyFill="1" applyBorder="1" applyAlignment="1">
      <alignment horizontal="center" vertical="center"/>
    </xf>
    <xf numFmtId="0" fontId="42" fillId="13" borderId="0" xfId="12" applyFont="1" applyFill="1" applyBorder="1" applyAlignment="1">
      <alignment horizontal="center" vertical="center"/>
    </xf>
    <xf numFmtId="4" fontId="72" fillId="12" borderId="60" xfId="0" applyNumberFormat="1" applyFont="1" applyFill="1" applyBorder="1" applyAlignment="1">
      <alignment horizontal="center" vertical="center"/>
    </xf>
    <xf numFmtId="4" fontId="72" fillId="12" borderId="61" xfId="0" applyNumberFormat="1" applyFont="1" applyFill="1" applyBorder="1" applyAlignment="1">
      <alignment horizontal="center" vertical="center"/>
    </xf>
    <xf numFmtId="4" fontId="72" fillId="12" borderId="62" xfId="0" applyNumberFormat="1" applyFont="1" applyFill="1" applyBorder="1" applyAlignment="1">
      <alignment horizontal="center" vertical="center"/>
    </xf>
    <xf numFmtId="4" fontId="72" fillId="12" borderId="0" xfId="0" applyNumberFormat="1" applyFont="1" applyFill="1" applyBorder="1" applyAlignment="1">
      <alignment horizontal="center" vertical="center"/>
    </xf>
    <xf numFmtId="165" fontId="23" fillId="10" borderId="0" xfId="0" applyNumberFormat="1" applyFont="1" applyFill="1" applyAlignment="1">
      <alignment horizontal="center"/>
    </xf>
    <xf numFmtId="4" fontId="7" fillId="10" borderId="0" xfId="2" applyNumberFormat="1" applyFont="1" applyFill="1" applyBorder="1" applyAlignment="1" applyProtection="1">
      <alignment horizontal="center" vertical="center"/>
    </xf>
    <xf numFmtId="4" fontId="2" fillId="14" borderId="57" xfId="0" applyNumberFormat="1" applyFont="1" applyFill="1" applyBorder="1" applyAlignment="1">
      <alignment horizontal="center" vertical="center" wrapText="1"/>
    </xf>
    <xf numFmtId="4" fontId="2" fillId="14" borderId="59" xfId="0" applyNumberFormat="1" applyFont="1" applyFill="1" applyBorder="1" applyAlignment="1">
      <alignment horizontal="center" vertical="center" wrapText="1"/>
    </xf>
    <xf numFmtId="4" fontId="2" fillId="14" borderId="56" xfId="0" applyNumberFormat="1" applyFont="1" applyFill="1" applyBorder="1" applyAlignment="1">
      <alignment horizontal="center" vertical="center" wrapText="1"/>
    </xf>
    <xf numFmtId="4" fontId="2" fillId="14" borderId="0" xfId="0" applyNumberFormat="1" applyFont="1" applyFill="1" applyBorder="1" applyAlignment="1">
      <alignment horizontal="center" vertical="center" wrapText="1"/>
    </xf>
    <xf numFmtId="4" fontId="7" fillId="12" borderId="70" xfId="0" applyNumberFormat="1" applyFont="1" applyFill="1" applyBorder="1" applyAlignment="1">
      <alignment horizontal="center" vertical="center" textRotation="90"/>
    </xf>
    <xf numFmtId="4" fontId="7" fillId="12" borderId="71" xfId="0" applyNumberFormat="1" applyFont="1" applyFill="1" applyBorder="1" applyAlignment="1">
      <alignment horizontal="center" vertical="center" textRotation="90"/>
    </xf>
    <xf numFmtId="4" fontId="7" fillId="12" borderId="72" xfId="0" applyNumberFormat="1" applyFont="1" applyFill="1" applyBorder="1" applyAlignment="1">
      <alignment horizontal="center" vertical="center" textRotation="90"/>
    </xf>
    <xf numFmtId="4" fontId="72" fillId="12" borderId="55" xfId="0" applyNumberFormat="1" applyFont="1" applyFill="1" applyBorder="1" applyAlignment="1">
      <alignment horizontal="center" vertical="center"/>
    </xf>
    <xf numFmtId="4" fontId="72" fillId="12" borderId="56" xfId="0" applyNumberFormat="1" applyFont="1" applyFill="1" applyBorder="1" applyAlignment="1">
      <alignment horizontal="center" vertical="center"/>
    </xf>
    <xf numFmtId="4" fontId="72" fillId="12" borderId="57" xfId="0" applyNumberFormat="1" applyFont="1" applyFill="1" applyBorder="1" applyAlignment="1">
      <alignment horizontal="center" vertical="center"/>
    </xf>
    <xf numFmtId="4" fontId="2" fillId="14" borderId="63" xfId="0" applyNumberFormat="1" applyFont="1" applyFill="1" applyBorder="1" applyAlignment="1">
      <alignment horizontal="center" vertical="center" wrapText="1"/>
    </xf>
    <xf numFmtId="4" fontId="2" fillId="14" borderId="64" xfId="0" applyNumberFormat="1" applyFont="1" applyFill="1" applyBorder="1" applyAlignment="1">
      <alignment horizontal="center" vertical="center" wrapText="1"/>
    </xf>
    <xf numFmtId="4" fontId="14" fillId="10" borderId="0" xfId="10" applyNumberFormat="1" applyFont="1" applyFill="1" applyBorder="1" applyAlignment="1">
      <alignment horizontal="left" vertical="center" wrapText="1"/>
    </xf>
    <xf numFmtId="4" fontId="29" fillId="10" borderId="0" xfId="0" applyNumberFormat="1" applyFont="1" applyFill="1" applyAlignment="1">
      <alignment horizontal="left" vertical="center"/>
    </xf>
    <xf numFmtId="4" fontId="80" fillId="12" borderId="55" xfId="0" applyNumberFormat="1" applyFont="1" applyFill="1" applyBorder="1" applyAlignment="1">
      <alignment horizontal="center" vertical="center" wrapText="1"/>
    </xf>
    <xf numFmtId="4" fontId="80" fillId="12" borderId="58" xfId="0" applyNumberFormat="1" applyFont="1" applyFill="1" applyBorder="1" applyAlignment="1">
      <alignment horizontal="center" vertical="center" wrapText="1"/>
    </xf>
    <xf numFmtId="4" fontId="29" fillId="10" borderId="0" xfId="0" applyNumberFormat="1" applyFont="1" applyFill="1" applyAlignment="1">
      <alignment horizontal="left"/>
    </xf>
    <xf numFmtId="4" fontId="29" fillId="10" borderId="0" xfId="0" applyNumberFormat="1" applyFont="1" applyFill="1" applyAlignment="1">
      <alignment horizontal="left" vertical="center" wrapText="1"/>
    </xf>
    <xf numFmtId="4" fontId="29" fillId="10" borderId="0" xfId="0" applyNumberFormat="1" applyFont="1" applyFill="1" applyAlignment="1">
      <alignment horizontal="left" wrapText="1"/>
    </xf>
    <xf numFmtId="4" fontId="88" fillId="12" borderId="0" xfId="33" applyNumberFormat="1" applyFont="1" applyFill="1" applyBorder="1" applyAlignment="1">
      <alignment horizontal="center" vertical="center"/>
    </xf>
    <xf numFmtId="4" fontId="13" fillId="14" borderId="57" xfId="10" applyNumberFormat="1" applyFont="1" applyFill="1" applyBorder="1" applyAlignment="1">
      <alignment horizontal="center" vertical="center" wrapText="1"/>
    </xf>
    <xf numFmtId="4" fontId="13" fillId="14" borderId="59" xfId="10" applyNumberFormat="1" applyFont="1" applyFill="1" applyBorder="1" applyAlignment="1">
      <alignment horizontal="center" vertical="center" wrapText="1"/>
    </xf>
    <xf numFmtId="4" fontId="15" fillId="10" borderId="0" xfId="10" applyNumberFormat="1" applyFont="1" applyFill="1" applyBorder="1" applyAlignment="1">
      <alignment horizontal="center" vertical="center" wrapText="1"/>
    </xf>
    <xf numFmtId="4" fontId="13" fillId="14" borderId="63" xfId="10" applyNumberFormat="1" applyFont="1" applyFill="1" applyBorder="1" applyAlignment="1">
      <alignment horizontal="center" vertical="center" wrapText="1"/>
    </xf>
    <xf numFmtId="4" fontId="13" fillId="14" borderId="64" xfId="10" applyNumberFormat="1" applyFont="1" applyFill="1" applyBorder="1" applyAlignment="1">
      <alignment horizontal="center" vertical="center" wrapText="1"/>
    </xf>
    <xf numFmtId="4" fontId="7" fillId="10" borderId="0" xfId="2" applyNumberFormat="1" applyFont="1" applyFill="1" applyBorder="1" applyAlignment="1" applyProtection="1">
      <alignment horizontal="left" vertical="center"/>
    </xf>
    <xf numFmtId="0" fontId="72" fillId="12" borderId="0" xfId="0" applyFont="1" applyFill="1" applyBorder="1" applyAlignment="1">
      <alignment horizontal="center" vertical="center"/>
    </xf>
    <xf numFmtId="4" fontId="42" fillId="13" borderId="0" xfId="13" applyNumberFormat="1" applyFont="1" applyFill="1" applyBorder="1" applyAlignment="1">
      <alignment horizontal="center"/>
    </xf>
    <xf numFmtId="4" fontId="42" fillId="13" borderId="0" xfId="14" applyNumberFormat="1" applyFont="1" applyFill="1" applyBorder="1" applyAlignment="1">
      <alignment horizontal="center" vertical="center"/>
    </xf>
    <xf numFmtId="4" fontId="42" fillId="13" borderId="0" xfId="15" applyNumberFormat="1" applyFont="1" applyFill="1" applyBorder="1" applyAlignment="1">
      <alignment horizontal="center" vertical="center"/>
    </xf>
    <xf numFmtId="2" fontId="42" fillId="12" borderId="0" xfId="26" applyNumberFormat="1" applyFont="1" applyFill="1" applyBorder="1" applyAlignment="1">
      <alignment horizontal="center" vertical="center"/>
    </xf>
    <xf numFmtId="0" fontId="72" fillId="12" borderId="0" xfId="0" applyFont="1" applyFill="1" applyAlignment="1">
      <alignment horizontal="center" vertical="center"/>
    </xf>
    <xf numFmtId="1" fontId="7" fillId="14" borderId="0" xfId="6" applyNumberFormat="1" applyFont="1" applyFill="1" applyBorder="1" applyAlignment="1">
      <alignment horizontal="center" vertical="center"/>
    </xf>
    <xf numFmtId="0" fontId="68" fillId="3" borderId="0" xfId="0" applyFont="1" applyFill="1" applyBorder="1" applyAlignment="1">
      <alignment horizontal="left" vertical="top" wrapText="1"/>
    </xf>
    <xf numFmtId="0" fontId="0" fillId="3" borderId="41" xfId="0" applyNumberFormat="1" applyFill="1" applyBorder="1" applyAlignment="1">
      <alignment horizontal="center"/>
    </xf>
    <xf numFmtId="0" fontId="0" fillId="3" borderId="43" xfId="0" applyNumberFormat="1" applyFill="1" applyBorder="1" applyAlignment="1">
      <alignment horizontal="center"/>
    </xf>
    <xf numFmtId="0" fontId="0" fillId="3" borderId="44" xfId="0" applyNumberFormat="1" applyFill="1" applyBorder="1" applyAlignment="1">
      <alignment horizontal="center"/>
    </xf>
    <xf numFmtId="0" fontId="0" fillId="3" borderId="16" xfId="0" applyNumberFormat="1" applyFill="1" applyBorder="1" applyAlignment="1">
      <alignment horizontal="center" textRotation="90"/>
    </xf>
    <xf numFmtId="0" fontId="0" fillId="3" borderId="17" xfId="0" applyNumberFormat="1" applyFill="1" applyBorder="1" applyAlignment="1">
      <alignment horizontal="center" textRotation="90"/>
    </xf>
    <xf numFmtId="0" fontId="0" fillId="3" borderId="22" xfId="0" applyNumberFormat="1" applyFill="1" applyBorder="1" applyAlignment="1">
      <alignment horizontal="center" textRotation="90"/>
    </xf>
    <xf numFmtId="0" fontId="0" fillId="3" borderId="13" xfId="0" applyNumberFormat="1" applyFill="1" applyBorder="1" applyAlignment="1">
      <alignment horizontal="center" textRotation="90"/>
    </xf>
    <xf numFmtId="0" fontId="0" fillId="3" borderId="14" xfId="0" applyNumberFormat="1" applyFill="1" applyBorder="1" applyAlignment="1">
      <alignment horizontal="center" textRotation="90"/>
    </xf>
    <xf numFmtId="0" fontId="0" fillId="3" borderId="15" xfId="0" applyNumberFormat="1" applyFill="1" applyBorder="1" applyAlignment="1">
      <alignment horizontal="center" textRotation="90"/>
    </xf>
    <xf numFmtId="0" fontId="24" fillId="11" borderId="10" xfId="0" applyFont="1" applyFill="1" applyBorder="1" applyAlignment="1">
      <alignment horizontal="left" vertical="center" wrapText="1"/>
    </xf>
    <xf numFmtId="0" fontId="24" fillId="11" borderId="12" xfId="0" applyFont="1" applyFill="1" applyBorder="1" applyAlignment="1">
      <alignment horizontal="left" vertical="center" wrapText="1"/>
    </xf>
    <xf numFmtId="0" fontId="24" fillId="11" borderId="42" xfId="0" applyFont="1" applyFill="1" applyBorder="1" applyAlignment="1">
      <alignment horizontal="left" vertical="center" wrapText="1"/>
    </xf>
    <xf numFmtId="0" fontId="50" fillId="12" borderId="0" xfId="27" applyFont="1" applyFill="1" applyBorder="1" applyAlignment="1">
      <alignment horizontal="center" vertical="center"/>
    </xf>
    <xf numFmtId="0" fontId="7" fillId="14" borderId="0" xfId="27" applyFont="1" applyFill="1" applyBorder="1" applyAlignment="1">
      <alignment horizontal="center" vertical="center" wrapText="1"/>
    </xf>
    <xf numFmtId="0" fontId="7" fillId="14" borderId="2" xfId="0" applyFont="1" applyFill="1" applyBorder="1" applyAlignment="1">
      <alignment horizontal="center" vertical="center"/>
    </xf>
    <xf numFmtId="0" fontId="7" fillId="14" borderId="0" xfId="0" applyFont="1" applyFill="1" applyBorder="1" applyAlignment="1">
      <alignment horizontal="center" vertical="center"/>
    </xf>
    <xf numFmtId="0" fontId="7" fillId="14" borderId="19" xfId="0" applyFont="1" applyFill="1" applyBorder="1" applyAlignment="1">
      <alignment horizontal="center" vertical="center"/>
    </xf>
    <xf numFmtId="0" fontId="86" fillId="21" borderId="16" xfId="0" applyFont="1" applyFill="1" applyBorder="1" applyAlignment="1">
      <alignment horizontal="center" vertical="center" wrapText="1"/>
    </xf>
    <xf numFmtId="0" fontId="86" fillId="21" borderId="20" xfId="0" applyFont="1" applyFill="1" applyBorder="1" applyAlignment="1">
      <alignment horizontal="center" vertical="center" wrapText="1"/>
    </xf>
    <xf numFmtId="0" fontId="86" fillId="21" borderId="21" xfId="0" applyFont="1" applyFill="1" applyBorder="1" applyAlignment="1">
      <alignment horizontal="center" vertical="center" wrapText="1"/>
    </xf>
    <xf numFmtId="0" fontId="86" fillId="21" borderId="17" xfId="0" applyFont="1" applyFill="1" applyBorder="1" applyAlignment="1">
      <alignment horizontal="center" vertical="center" wrapText="1"/>
    </xf>
    <xf numFmtId="0" fontId="86" fillId="21" borderId="0" xfId="0" applyFont="1" applyFill="1" applyBorder="1" applyAlignment="1">
      <alignment horizontal="center" vertical="center" wrapText="1"/>
    </xf>
    <xf numFmtId="0" fontId="86" fillId="21" borderId="23" xfId="0" applyFont="1" applyFill="1" applyBorder="1" applyAlignment="1">
      <alignment horizontal="center" vertical="center" wrapText="1"/>
    </xf>
    <xf numFmtId="0" fontId="86" fillId="21" borderId="22" xfId="0" applyFont="1" applyFill="1" applyBorder="1" applyAlignment="1">
      <alignment horizontal="center" vertical="center" wrapText="1"/>
    </xf>
    <xf numFmtId="0" fontId="86" fillId="21" borderId="19" xfId="0" applyFont="1" applyFill="1" applyBorder="1" applyAlignment="1">
      <alignment horizontal="center" vertical="center" wrapText="1"/>
    </xf>
    <xf numFmtId="0" fontId="86" fillId="21" borderId="25" xfId="0" applyFont="1" applyFill="1" applyBorder="1" applyAlignment="1">
      <alignment horizontal="center" vertical="center" wrapText="1"/>
    </xf>
    <xf numFmtId="0" fontId="7" fillId="12" borderId="16" xfId="0" applyFont="1" applyFill="1" applyBorder="1" applyAlignment="1">
      <alignment horizontal="center" vertical="center" wrapText="1"/>
    </xf>
    <xf numFmtId="0" fontId="7" fillId="12" borderId="17" xfId="0" applyFont="1" applyFill="1" applyBorder="1" applyAlignment="1">
      <alignment horizontal="center" vertical="center" wrapText="1"/>
    </xf>
    <xf numFmtId="0" fontId="7" fillId="12" borderId="22"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6" xfId="0" applyFont="1" applyFill="1" applyBorder="1" applyAlignment="1">
      <alignment horizontal="center" vertical="center"/>
    </xf>
    <xf numFmtId="0" fontId="7" fillId="14" borderId="0" xfId="0" applyFont="1" applyFill="1" applyBorder="1" applyAlignment="1">
      <alignment horizontal="center" vertical="center" wrapText="1"/>
    </xf>
    <xf numFmtId="0" fontId="2" fillId="11" borderId="39" xfId="0" applyFont="1" applyFill="1" applyBorder="1" applyAlignment="1">
      <alignment horizontal="left" vertical="center" wrapText="1"/>
    </xf>
    <xf numFmtId="0" fontId="2" fillId="11" borderId="23" xfId="0" applyFont="1" applyFill="1" applyBorder="1" applyAlignment="1">
      <alignment horizontal="left" vertical="center" wrapText="1"/>
    </xf>
    <xf numFmtId="0" fontId="2" fillId="11" borderId="38" xfId="0" applyFont="1" applyFill="1" applyBorder="1" applyAlignment="1">
      <alignment horizontal="left" vertical="center" wrapText="1"/>
    </xf>
    <xf numFmtId="0" fontId="84" fillId="11" borderId="21" xfId="0" applyFont="1" applyFill="1" applyBorder="1" applyAlignment="1">
      <alignment horizontal="left" vertical="center" wrapText="1"/>
    </xf>
    <xf numFmtId="0" fontId="84" fillId="11" borderId="23" xfId="0" applyFont="1" applyFill="1" applyBorder="1" applyAlignment="1">
      <alignment horizontal="left" vertical="center" wrapText="1"/>
    </xf>
    <xf numFmtId="0" fontId="7" fillId="14" borderId="20" xfId="0" applyFont="1" applyFill="1" applyBorder="1" applyAlignment="1">
      <alignment horizontal="center" vertical="center" wrapText="1"/>
    </xf>
  </cellXfs>
  <cellStyles count="35">
    <cellStyle name="Estilo 1" xfId="1"/>
    <cellStyle name="Hipervínculo" xfId="2" builtinId="8"/>
    <cellStyle name="Hipervínculo 2" xfId="3"/>
    <cellStyle name="Millares" xfId="4" builtinId="3"/>
    <cellStyle name="Millares [0] 2" xfId="34"/>
    <cellStyle name="Millares [0]_CUADRO11" xfId="5"/>
    <cellStyle name="Millares [0]_CUADRO3" xfId="6"/>
    <cellStyle name="Normal" xfId="0" builtinId="0"/>
    <cellStyle name="Normal 2" xfId="7"/>
    <cellStyle name="Normal 2 2" xfId="8"/>
    <cellStyle name="Normal 3" xfId="9"/>
    <cellStyle name="Normal 4" xfId="33"/>
    <cellStyle name="Normal_ANEXOA1-1" xfId="10"/>
    <cellStyle name="Normal_Cuadro1" xfId="11"/>
    <cellStyle name="Normal_CUADRO10" xfId="12"/>
    <cellStyle name="Normal_CUADRO11" xfId="13"/>
    <cellStyle name="Normal_CUADRO12" xfId="14"/>
    <cellStyle name="Normal_CUADRO13" xfId="15"/>
    <cellStyle name="Normal_CUADRO14" xfId="16"/>
    <cellStyle name="Normal_Cuadro15" xfId="17"/>
    <cellStyle name="Normal_CUADRO16" xfId="18"/>
    <cellStyle name="Normal_CUADRO17" xfId="19"/>
    <cellStyle name="Normal_CUADRO18" xfId="20"/>
    <cellStyle name="Normal_CUADRO2" xfId="21"/>
    <cellStyle name="Normal_Cuadro4" xfId="22"/>
    <cellStyle name="Normal_Cuadro5" xfId="23"/>
    <cellStyle name="Normal_CUADRO6" xfId="24"/>
    <cellStyle name="Normal_CUADRO7" xfId="25"/>
    <cellStyle name="Normal_CUADRO8" xfId="26"/>
    <cellStyle name="Normal_Cuadroa2" xfId="27"/>
    <cellStyle name="Normal_CUADROA3" xfId="28"/>
    <cellStyle name="Normal_Form 1 - Adquisiciones" xfId="29"/>
    <cellStyle name="Normal_GASAVI7" xfId="30"/>
    <cellStyle name="Porcentaje" xfId="31" builtinId="5"/>
    <cellStyle name="Porcentaje 2" xfId="32"/>
  </cellStyles>
  <dxfs count="0"/>
  <tableStyles count="0" defaultTableStyle="TableStyleMedium2" defaultPivotStyle="PivotStyleLight16"/>
  <colors>
    <mruColors>
      <color rgb="FFF48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114300</xdr:rowOff>
    </xdr:from>
    <xdr:to>
      <xdr:col>2</xdr:col>
      <xdr:colOff>1247775</xdr:colOff>
      <xdr:row>6</xdr:row>
      <xdr:rowOff>409575</xdr:rowOff>
    </xdr:to>
    <xdr:pic>
      <xdr:nvPicPr>
        <xdr:cNvPr id="125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19075"/>
          <a:ext cx="128587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523874</xdr:colOff>
      <xdr:row>5</xdr:row>
      <xdr:rowOff>95249</xdr:rowOff>
    </xdr:from>
    <xdr:to>
      <xdr:col>17</xdr:col>
      <xdr:colOff>7145</xdr:colOff>
      <xdr:row>36</xdr:row>
      <xdr:rowOff>57150</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4" y="1428749"/>
          <a:ext cx="12246771" cy="49815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8" tint="0.59999389629810485"/>
  </sheetPr>
  <dimension ref="A1:E52"/>
  <sheetViews>
    <sheetView workbookViewId="0"/>
  </sheetViews>
  <sheetFormatPr baseColWidth="10" defaultRowHeight="12.75"/>
  <cols>
    <col min="1" max="1" width="1.7109375" style="249" customWidth="1"/>
    <col min="2" max="2" width="2.140625" style="249" customWidth="1"/>
    <col min="3" max="3" width="98.42578125" style="249" customWidth="1"/>
    <col min="4" max="4" width="1.85546875" style="249" customWidth="1"/>
    <col min="5" max="16384" width="11.42578125" style="249"/>
  </cols>
  <sheetData>
    <row r="1" spans="1:5" ht="8.25" customHeight="1" thickBot="1">
      <c r="A1" s="246"/>
      <c r="B1" s="246"/>
      <c r="C1" s="247"/>
      <c r="D1" s="248"/>
      <c r="E1" s="246"/>
    </row>
    <row r="2" spans="1:5" ht="16.5" thickTop="1">
      <c r="A2" s="246"/>
      <c r="B2" s="250"/>
      <c r="C2" s="251"/>
      <c r="D2" s="252"/>
      <c r="E2" s="246"/>
    </row>
    <row r="3" spans="1:5" ht="15.75">
      <c r="A3" s="246"/>
      <c r="B3" s="253"/>
      <c r="C3" s="254"/>
      <c r="D3" s="252"/>
      <c r="E3" s="345"/>
    </row>
    <row r="4" spans="1:5" ht="15.75">
      <c r="A4" s="246"/>
      <c r="B4" s="253"/>
      <c r="C4" s="254"/>
      <c r="D4" s="255"/>
      <c r="E4" s="246"/>
    </row>
    <row r="5" spans="1:5" ht="15.75">
      <c r="A5" s="246"/>
      <c r="B5" s="256"/>
      <c r="C5" s="257"/>
      <c r="D5" s="255"/>
      <c r="E5" s="246"/>
    </row>
    <row r="6" spans="1:5" ht="14.25">
      <c r="A6" s="246"/>
      <c r="B6" s="256"/>
      <c r="C6" s="257"/>
      <c r="D6" s="258"/>
      <c r="E6" s="246"/>
    </row>
    <row r="7" spans="1:5" ht="33.75">
      <c r="A7" s="246"/>
      <c r="B7" s="256"/>
      <c r="C7" s="259"/>
      <c r="D7" s="252"/>
      <c r="E7" s="246"/>
    </row>
    <row r="8" spans="1:5" ht="14.25">
      <c r="A8" s="246"/>
      <c r="B8" s="256"/>
      <c r="C8" s="260"/>
      <c r="D8" s="252"/>
      <c r="E8" s="246"/>
    </row>
    <row r="9" spans="1:5" ht="3.75" customHeight="1">
      <c r="A9" s="246"/>
      <c r="B9" s="256"/>
      <c r="C9" s="260"/>
      <c r="D9" s="252"/>
      <c r="E9" s="246"/>
    </row>
    <row r="10" spans="1:5" ht="27.75">
      <c r="A10" s="246"/>
      <c r="B10" s="256"/>
      <c r="C10" s="268" t="s">
        <v>210</v>
      </c>
      <c r="D10" s="252"/>
      <c r="E10" s="246"/>
    </row>
    <row r="11" spans="1:5" ht="27.75">
      <c r="A11" s="246"/>
      <c r="B11" s="256"/>
      <c r="C11" s="268" t="s">
        <v>427</v>
      </c>
      <c r="D11" s="252"/>
      <c r="E11" s="246"/>
    </row>
    <row r="12" spans="1:5" ht="27.75">
      <c r="A12" s="246"/>
      <c r="B12" s="256"/>
      <c r="C12" s="268">
        <v>2015</v>
      </c>
      <c r="D12" s="252"/>
      <c r="E12" s="246"/>
    </row>
    <row r="13" spans="1:5" ht="26.25">
      <c r="A13" s="246"/>
      <c r="B13" s="256"/>
      <c r="C13" s="261"/>
      <c r="D13" s="252"/>
      <c r="E13" s="246"/>
    </row>
    <row r="14" spans="1:5" ht="21.75">
      <c r="A14" s="246"/>
      <c r="B14" s="256"/>
      <c r="C14" s="264" t="s">
        <v>312</v>
      </c>
      <c r="D14" s="252"/>
      <c r="E14" s="246"/>
    </row>
    <row r="15" spans="1:5" ht="21.75">
      <c r="A15" s="246"/>
      <c r="B15" s="256"/>
      <c r="C15" s="264" t="s">
        <v>428</v>
      </c>
      <c r="D15" s="252"/>
      <c r="E15" s="246"/>
    </row>
    <row r="16" spans="1:5" ht="14.25">
      <c r="A16" s="246"/>
      <c r="B16" s="256"/>
      <c r="C16" s="257"/>
      <c r="D16" s="252"/>
      <c r="E16" s="246"/>
    </row>
    <row r="17" spans="1:5" ht="15.75">
      <c r="A17" s="246"/>
      <c r="B17" s="256"/>
      <c r="C17" s="286" t="s">
        <v>211</v>
      </c>
      <c r="D17" s="252"/>
      <c r="E17" s="246"/>
    </row>
    <row r="18" spans="1:5" ht="18">
      <c r="A18" s="246"/>
      <c r="B18" s="262"/>
      <c r="C18" s="286">
        <v>2016</v>
      </c>
      <c r="D18" s="252"/>
      <c r="E18" s="246"/>
    </row>
    <row r="19" spans="1:5" ht="3.75" customHeight="1">
      <c r="A19" s="246"/>
      <c r="B19" s="262"/>
      <c r="C19" s="283"/>
      <c r="D19" s="252"/>
      <c r="E19" s="246"/>
    </row>
    <row r="20" spans="1:5" ht="4.5" customHeight="1" thickBot="1">
      <c r="A20" s="246"/>
      <c r="B20" s="265"/>
      <c r="C20" s="266"/>
      <c r="D20" s="252"/>
      <c r="E20" s="246"/>
    </row>
    <row r="21" spans="1:5" ht="15" thickTop="1">
      <c r="A21" s="246"/>
      <c r="B21" s="267"/>
      <c r="C21" s="284" t="s">
        <v>331</v>
      </c>
      <c r="D21" s="252"/>
      <c r="E21" s="246"/>
    </row>
    <row r="22" spans="1:5">
      <c r="A22" s="246"/>
      <c r="B22" s="252"/>
      <c r="C22" s="285" t="s">
        <v>332</v>
      </c>
      <c r="D22" s="252"/>
      <c r="E22" s="252"/>
    </row>
    <row r="23" spans="1:5">
      <c r="A23" s="246"/>
      <c r="B23" s="246"/>
      <c r="C23" s="246"/>
      <c r="D23" s="248"/>
      <c r="E23" s="246"/>
    </row>
    <row r="52" spans="3:3">
      <c r="C52" s="345"/>
    </row>
  </sheetData>
  <hyperlinks>
    <hyperlink ref="C22" r:id="rId1"/>
  </hyperlinks>
  <pageMargins left="0.75" right="0.75" top="1" bottom="1" header="0" footer="0"/>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theme="9" tint="0.39997558519241921"/>
  </sheetPr>
  <dimension ref="A1:Q96"/>
  <sheetViews>
    <sheetView workbookViewId="0"/>
  </sheetViews>
  <sheetFormatPr baseColWidth="10" defaultRowHeight="12.75" outlineLevelRow="1"/>
  <cols>
    <col min="1" max="1" width="1.5703125" style="134" customWidth="1"/>
    <col min="2" max="2" width="31" style="134" customWidth="1"/>
    <col min="3" max="3" width="11.85546875" style="134" bestFit="1" customWidth="1"/>
    <col min="4" max="4" width="13.140625" style="134" customWidth="1"/>
    <col min="5" max="6" width="11.5703125" style="134" bestFit="1" customWidth="1"/>
    <col min="7" max="7" width="11.5703125" style="134" customWidth="1"/>
    <col min="8" max="17" width="11.42578125" style="2"/>
    <col min="18" max="16384" width="11.42578125" style="134"/>
  </cols>
  <sheetData>
    <row r="1" spans="1:10" ht="6.75" customHeight="1">
      <c r="A1" s="175"/>
      <c r="B1" s="175"/>
      <c r="C1" s="175"/>
      <c r="D1" s="175"/>
      <c r="E1" s="175"/>
      <c r="F1" s="175"/>
      <c r="G1" s="175"/>
      <c r="H1" s="24"/>
    </row>
    <row r="2" spans="1:10" ht="15.95" customHeight="1">
      <c r="A2" s="175"/>
      <c r="B2" s="831" t="s">
        <v>127</v>
      </c>
      <c r="C2" s="831"/>
      <c r="D2" s="831"/>
      <c r="E2" s="831"/>
      <c r="F2" s="831"/>
      <c r="G2" s="831"/>
      <c r="I2" s="699" t="s">
        <v>229</v>
      </c>
      <c r="J2" s="12"/>
    </row>
    <row r="3" spans="1:10" ht="15.95" customHeight="1">
      <c r="A3" s="175"/>
      <c r="B3" s="833" t="s">
        <v>346</v>
      </c>
      <c r="C3" s="833"/>
      <c r="D3" s="833"/>
      <c r="E3" s="833"/>
      <c r="F3" s="833"/>
      <c r="G3" s="833"/>
      <c r="I3" s="309"/>
      <c r="J3" s="12"/>
    </row>
    <row r="4" spans="1:10" ht="15.95" customHeight="1">
      <c r="A4" s="175"/>
      <c r="B4" s="834" t="s">
        <v>446</v>
      </c>
      <c r="C4" s="834"/>
      <c r="D4" s="834"/>
      <c r="E4" s="834"/>
      <c r="F4" s="834"/>
      <c r="G4" s="834"/>
      <c r="H4" s="428"/>
      <c r="I4" s="12"/>
      <c r="J4" s="12"/>
    </row>
    <row r="5" spans="1:10" ht="15.95" customHeight="1">
      <c r="A5" s="175"/>
      <c r="B5" s="833" t="s">
        <v>285</v>
      </c>
      <c r="C5" s="833"/>
      <c r="D5" s="833"/>
      <c r="E5" s="833"/>
      <c r="F5" s="833"/>
      <c r="G5" s="833"/>
      <c r="H5" s="428"/>
      <c r="I5" s="12"/>
      <c r="J5" s="12"/>
    </row>
    <row r="6" spans="1:10" ht="15.95" customHeight="1">
      <c r="A6" s="175"/>
      <c r="B6" s="576" t="s">
        <v>253</v>
      </c>
      <c r="C6" s="576" t="s">
        <v>333</v>
      </c>
      <c r="D6" s="576" t="s">
        <v>45</v>
      </c>
      <c r="E6" s="576" t="s">
        <v>46</v>
      </c>
      <c r="F6" s="576" t="s">
        <v>47</v>
      </c>
      <c r="G6" s="576" t="s">
        <v>33</v>
      </c>
      <c r="H6" s="428"/>
      <c r="I6" s="12"/>
      <c r="J6" s="12"/>
    </row>
    <row r="7" spans="1:10" ht="15.95" customHeight="1">
      <c r="A7" s="175"/>
      <c r="B7" s="473" t="s">
        <v>345</v>
      </c>
      <c r="C7" s="749">
        <f>SUM(C8:C18)</f>
        <v>74269.802096711705</v>
      </c>
      <c r="D7" s="749">
        <f>SUM(D8:D18)</f>
        <v>343.000771848</v>
      </c>
      <c r="E7" s="749">
        <f>SUM(E8:E18)</f>
        <v>4458.371114586409</v>
      </c>
      <c r="F7" s="749">
        <f>SUM(F8:F18)</f>
        <v>11403.221350991336</v>
      </c>
      <c r="G7" s="749">
        <f>SUM(G8:G18)</f>
        <v>90474.395334137444</v>
      </c>
      <c r="H7" s="428"/>
      <c r="I7" s="10"/>
      <c r="J7" s="10"/>
    </row>
    <row r="8" spans="1:10" ht="15.95" customHeight="1" outlineLevel="1">
      <c r="A8" s="175"/>
      <c r="B8" s="469" t="s">
        <v>269</v>
      </c>
      <c r="C8" s="748">
        <f>+'Balance de energía'!$K$41</f>
        <v>39319.88704880466</v>
      </c>
      <c r="D8" s="748">
        <f>+'Balance de energía'!$K$42</f>
        <v>343.000771848</v>
      </c>
      <c r="E8" s="748">
        <f>+'Balance de energía'!$K$43</f>
        <v>881.52706383140833</v>
      </c>
      <c r="F8" s="748">
        <f>+'Balance de energía'!$K$44</f>
        <v>672.64523279874447</v>
      </c>
      <c r="G8" s="749">
        <f>SUM(C8:F8)</f>
        <v>41217.06011728281</v>
      </c>
      <c r="H8" s="428"/>
      <c r="I8" s="11"/>
      <c r="J8" s="10"/>
    </row>
    <row r="9" spans="1:10" ht="15.95" customHeight="1" outlineLevel="1">
      <c r="A9" s="175"/>
      <c r="B9" s="469" t="s">
        <v>270</v>
      </c>
      <c r="C9" s="748">
        <f>+'Balance de energía'!$L$41</f>
        <v>28.935269676250002</v>
      </c>
      <c r="D9" s="748">
        <f>+'Balance de energía'!$L$42</f>
        <v>0</v>
      </c>
      <c r="E9" s="748">
        <f>+'Balance de energía'!$L$43</f>
        <v>3572.6554007550008</v>
      </c>
      <c r="F9" s="748">
        <f>+'Balance de energía'!$L$44</f>
        <v>0</v>
      </c>
      <c r="G9" s="749">
        <f t="shared" ref="G9:G29" si="0">SUM(C9:F9)</f>
        <v>3601.5906704312506</v>
      </c>
      <c r="H9" s="428"/>
      <c r="I9" s="11"/>
      <c r="J9" s="10"/>
    </row>
    <row r="10" spans="1:10" ht="15.95" customHeight="1" outlineLevel="1">
      <c r="A10" s="175"/>
      <c r="B10" s="469" t="s">
        <v>330</v>
      </c>
      <c r="C10" s="748">
        <f>+'Balance de energía'!$M$41</f>
        <v>34476.052428627139</v>
      </c>
      <c r="D10" s="748">
        <f>+'Balance de energía'!$M$42</f>
        <v>0</v>
      </c>
      <c r="E10" s="748">
        <f>+'Balance de energía'!$M$43</f>
        <v>3.863160000000001</v>
      </c>
      <c r="F10" s="748">
        <f>+'Balance de energía'!$M$44</f>
        <v>18.265183999999998</v>
      </c>
      <c r="G10" s="749">
        <f t="shared" si="0"/>
        <v>34498.180772627144</v>
      </c>
      <c r="H10" s="428"/>
      <c r="I10" s="11"/>
      <c r="J10" s="10"/>
    </row>
    <row r="11" spans="1:10" ht="15.95" customHeight="1" outlineLevel="1">
      <c r="A11" s="175"/>
      <c r="B11" s="469" t="s">
        <v>38</v>
      </c>
      <c r="C11" s="748">
        <f>+'Balance de energía'!$N$41</f>
        <v>72.723448456644931</v>
      </c>
      <c r="D11" s="748">
        <f>+'Balance de energía'!$N$42</f>
        <v>0</v>
      </c>
      <c r="E11" s="748">
        <f>+'Balance de energía'!$N$43</f>
        <v>0</v>
      </c>
      <c r="F11" s="748">
        <f>+'Balance de energía'!$N$44</f>
        <v>2.6973000000000004E-2</v>
      </c>
      <c r="G11" s="749">
        <f t="shared" si="0"/>
        <v>72.750421456644929</v>
      </c>
      <c r="H11" s="428"/>
      <c r="I11" s="10"/>
      <c r="J11" s="10"/>
    </row>
    <row r="12" spans="1:10" ht="15.95" customHeight="1" outlineLevel="1">
      <c r="A12" s="175"/>
      <c r="B12" s="469" t="s">
        <v>271</v>
      </c>
      <c r="C12" s="748">
        <f>+'Balance de energía'!$O$41</f>
        <v>370.51583114699997</v>
      </c>
      <c r="D12" s="748">
        <f>+'Balance de energía'!$O$42</f>
        <v>0</v>
      </c>
      <c r="E12" s="748">
        <f>+'Balance de energía'!$O$43</f>
        <v>0.32548999999999995</v>
      </c>
      <c r="F12" s="748">
        <f>+'Balance de energía'!$O$44</f>
        <v>2.9040000000000003E-2</v>
      </c>
      <c r="G12" s="749">
        <f t="shared" si="0"/>
        <v>370.87036114699998</v>
      </c>
      <c r="H12" s="428"/>
      <c r="I12" s="10"/>
      <c r="J12" s="10"/>
    </row>
    <row r="13" spans="1:10" ht="15.95" customHeight="1" outlineLevel="1">
      <c r="A13" s="175"/>
      <c r="B13" s="469" t="s">
        <v>272</v>
      </c>
      <c r="C13" s="748">
        <f>+'Balance de energía'!$P$41</f>
        <v>0.15959999999999999</v>
      </c>
      <c r="D13" s="748">
        <f>+'Balance de energía'!$P$42</f>
        <v>0</v>
      </c>
      <c r="E13" s="748">
        <f>+'Balance de energía'!$P$43</f>
        <v>0</v>
      </c>
      <c r="F13" s="748">
        <f>+'Balance de energía'!$P$44</f>
        <v>60.60459604583999</v>
      </c>
      <c r="G13" s="749">
        <f t="shared" si="0"/>
        <v>60.764196045839988</v>
      </c>
      <c r="H13" s="428"/>
      <c r="I13" s="11"/>
      <c r="J13" s="10"/>
    </row>
    <row r="14" spans="1:10" ht="15.95" customHeight="1" outlineLevel="1">
      <c r="A14" s="175"/>
      <c r="B14" s="469" t="s">
        <v>273</v>
      </c>
      <c r="C14" s="748">
        <f>+'Balance de energía'!$Q$41</f>
        <v>1.5284700000000004</v>
      </c>
      <c r="D14" s="748">
        <f>+'Balance de energía'!$Q$42</f>
        <v>0</v>
      </c>
      <c r="E14" s="748">
        <f>+'Balance de energía'!$Q$43</f>
        <v>0</v>
      </c>
      <c r="F14" s="748">
        <f>+'Balance de energía'!$Q$44</f>
        <v>10651.650325146751</v>
      </c>
      <c r="G14" s="749">
        <f t="shared" si="0"/>
        <v>10653.17879514675</v>
      </c>
      <c r="H14" s="428"/>
      <c r="I14" s="11"/>
      <c r="J14" s="10"/>
    </row>
    <row r="15" spans="1:10" ht="15.95" customHeight="1" outlineLevel="1">
      <c r="A15" s="175"/>
      <c r="B15" s="469" t="s">
        <v>40</v>
      </c>
      <c r="C15" s="748">
        <f>+'Balance de energía'!$R$41</f>
        <v>0</v>
      </c>
      <c r="D15" s="748">
        <f>+'Balance de energía'!$R$42</f>
        <v>0</v>
      </c>
      <c r="E15" s="748">
        <f>+'Balance de energía'!$R$43</f>
        <v>0</v>
      </c>
      <c r="F15" s="748">
        <f>+'Balance de energía'!$R$44</f>
        <v>0</v>
      </c>
      <c r="G15" s="749">
        <f t="shared" si="0"/>
        <v>0</v>
      </c>
      <c r="H15" s="428"/>
      <c r="I15" s="10"/>
      <c r="J15" s="10"/>
    </row>
    <row r="16" spans="1:10" ht="15.95" customHeight="1" outlineLevel="1">
      <c r="A16" s="175"/>
      <c r="B16" s="469" t="s">
        <v>274</v>
      </c>
      <c r="C16" s="748">
        <f>+'Balance de energía'!$S$41</f>
        <v>0</v>
      </c>
      <c r="D16" s="748">
        <f>+'Balance de energía'!$S$42</f>
        <v>0</v>
      </c>
      <c r="E16" s="748">
        <f>+'Balance de energía'!$S$43</f>
        <v>0</v>
      </c>
      <c r="F16" s="748">
        <f>+'Balance de energía'!$S$44</f>
        <v>0</v>
      </c>
      <c r="G16" s="749">
        <f t="shared" si="0"/>
        <v>0</v>
      </c>
      <c r="H16" s="428"/>
      <c r="I16" s="10"/>
      <c r="J16" s="10"/>
    </row>
    <row r="17" spans="1:10" ht="15.95" customHeight="1" outlineLevel="1">
      <c r="A17" s="175"/>
      <c r="B17" s="470" t="s">
        <v>275</v>
      </c>
      <c r="C17" s="748">
        <f>+'Balance de energía'!$T$41</f>
        <v>0</v>
      </c>
      <c r="D17" s="748">
        <f>+'Balance de energía'!$T$42</f>
        <v>0</v>
      </c>
      <c r="E17" s="748">
        <f>+'Balance de energía'!$T$43</f>
        <v>0</v>
      </c>
      <c r="F17" s="748">
        <f>+'Balance de energía'!$T$44</f>
        <v>0</v>
      </c>
      <c r="G17" s="749">
        <f t="shared" si="0"/>
        <v>0</v>
      </c>
      <c r="H17" s="428"/>
      <c r="I17" s="10"/>
      <c r="J17" s="10"/>
    </row>
    <row r="18" spans="1:10" ht="15.95" customHeight="1" outlineLevel="1">
      <c r="A18" s="175"/>
      <c r="B18" s="470" t="s">
        <v>479</v>
      </c>
      <c r="C18" s="748">
        <f>+'Balance de energía'!$U$41</f>
        <v>0</v>
      </c>
      <c r="D18" s="748">
        <f>+'Balance de energía'!$U$42</f>
        <v>0</v>
      </c>
      <c r="E18" s="748">
        <f>+'Balance de energía'!$U$43</f>
        <v>0</v>
      </c>
      <c r="F18" s="748">
        <f>+'Balance de energía'!$U$44</f>
        <v>0</v>
      </c>
      <c r="G18" s="749">
        <f t="shared" si="0"/>
        <v>0</v>
      </c>
      <c r="H18" s="428"/>
      <c r="I18" s="10"/>
      <c r="J18" s="10"/>
    </row>
    <row r="19" spans="1:10" ht="15.95" customHeight="1">
      <c r="A19" s="175"/>
      <c r="B19" s="473" t="s">
        <v>126</v>
      </c>
      <c r="C19" s="749">
        <f>+'Balance de energía'!$V$41</f>
        <v>535.14936636561129</v>
      </c>
      <c r="D19" s="749">
        <f>+'Balance de energía'!$V$42</f>
        <v>401.02708933999997</v>
      </c>
      <c r="E19" s="749">
        <f>+'Balance de energía'!$V$43</f>
        <v>0</v>
      </c>
      <c r="F19" s="749">
        <f>+'Balance de energía'!$V$44</f>
        <v>0</v>
      </c>
      <c r="G19" s="749">
        <f t="shared" si="0"/>
        <v>936.17645570561126</v>
      </c>
      <c r="H19" s="428"/>
      <c r="I19" s="10"/>
      <c r="J19" s="10"/>
    </row>
    <row r="20" spans="1:10" ht="15.95" customHeight="1">
      <c r="A20" s="175"/>
      <c r="B20" s="473" t="s">
        <v>292</v>
      </c>
      <c r="C20" s="749">
        <f>+'Balance de energía'!$W$41</f>
        <v>0</v>
      </c>
      <c r="D20" s="749">
        <f>+'Balance de energía'!$W$42</f>
        <v>0</v>
      </c>
      <c r="E20" s="749">
        <f>+'Balance de energía'!$W$43</f>
        <v>0</v>
      </c>
      <c r="F20" s="749">
        <f>+'Balance de energía'!$W$44</f>
        <v>0</v>
      </c>
      <c r="G20" s="749">
        <f t="shared" si="0"/>
        <v>0</v>
      </c>
      <c r="H20" s="428"/>
      <c r="I20" s="10"/>
      <c r="J20" s="10"/>
    </row>
    <row r="21" spans="1:10" ht="15.95" customHeight="1">
      <c r="A21" s="175"/>
      <c r="B21" s="473" t="s">
        <v>277</v>
      </c>
      <c r="C21" s="749">
        <f>+'Balance de energía'!$X$41</f>
        <v>0</v>
      </c>
      <c r="D21" s="749">
        <f>+'Balance de energía'!$X$42</f>
        <v>0</v>
      </c>
      <c r="E21" s="749">
        <f>+'Balance de energía'!$X$43</f>
        <v>0</v>
      </c>
      <c r="F21" s="749">
        <f>+'Balance de energía'!$X$44</f>
        <v>0</v>
      </c>
      <c r="G21" s="749">
        <f t="shared" si="0"/>
        <v>0</v>
      </c>
      <c r="H21" s="428"/>
      <c r="I21" s="10"/>
      <c r="J21" s="10"/>
    </row>
    <row r="22" spans="1:10" ht="15.95" customHeight="1">
      <c r="A22" s="175"/>
      <c r="B22" s="473" t="s">
        <v>611</v>
      </c>
      <c r="C22" s="749">
        <f>+'Balance de energía'!$Y$41</f>
        <v>0</v>
      </c>
      <c r="D22" s="749">
        <f>+'Balance de energía'!$Y$42</f>
        <v>0</v>
      </c>
      <c r="E22" s="749">
        <f>+'Balance de energía'!$Y$43</f>
        <v>0</v>
      </c>
      <c r="F22" s="749">
        <f>+'Balance de energía'!$Y$44</f>
        <v>0</v>
      </c>
      <c r="G22" s="749">
        <f t="shared" si="0"/>
        <v>0</v>
      </c>
      <c r="H22" s="428"/>
      <c r="I22" s="10"/>
      <c r="J22" s="10"/>
    </row>
    <row r="23" spans="1:10" ht="15.95" customHeight="1">
      <c r="A23" s="175"/>
      <c r="B23" s="473" t="s">
        <v>478</v>
      </c>
      <c r="C23" s="749">
        <f>+'Balance de energía'!$Z$41</f>
        <v>0</v>
      </c>
      <c r="D23" s="749">
        <f>+'Balance de energía'!$Z$42</f>
        <v>0</v>
      </c>
      <c r="E23" s="749">
        <f>+'Balance de energía'!$Z$43</f>
        <v>0</v>
      </c>
      <c r="F23" s="749">
        <f>+'Balance de energía'!$Z$44</f>
        <v>0</v>
      </c>
      <c r="G23" s="749">
        <f t="shared" si="0"/>
        <v>0</v>
      </c>
      <c r="H23" s="428"/>
      <c r="I23" s="10"/>
      <c r="J23" s="10"/>
    </row>
    <row r="24" spans="1:10" ht="15.95" customHeight="1">
      <c r="A24" s="175"/>
      <c r="B24" s="473" t="s">
        <v>279</v>
      </c>
      <c r="C24" s="749">
        <f>+'Balance de energía'!$AA$41</f>
        <v>0</v>
      </c>
      <c r="D24" s="749">
        <f>+'Balance de energía'!$AA$42</f>
        <v>0</v>
      </c>
      <c r="E24" s="749">
        <f>+'Balance de energía'!$AA$43</f>
        <v>0</v>
      </c>
      <c r="F24" s="749">
        <f>+'Balance de energía'!$AA$44</f>
        <v>0</v>
      </c>
      <c r="G24" s="749">
        <f t="shared" si="0"/>
        <v>0</v>
      </c>
      <c r="H24" s="428"/>
      <c r="I24" s="10"/>
      <c r="J24" s="10"/>
    </row>
    <row r="25" spans="1:10" ht="15.95" customHeight="1">
      <c r="A25" s="175"/>
      <c r="B25" s="473" t="s">
        <v>65</v>
      </c>
      <c r="C25" s="749">
        <f>+'Balance de energía'!$AB$41</f>
        <v>0</v>
      </c>
      <c r="D25" s="749">
        <f>+'Balance de energía'!$AB$42</f>
        <v>0</v>
      </c>
      <c r="E25" s="749">
        <f>+'Balance de energía'!$AB$43</f>
        <v>0</v>
      </c>
      <c r="F25" s="749">
        <f>+'Balance de energía'!$AB$44</f>
        <v>0</v>
      </c>
      <c r="G25" s="749">
        <f t="shared" si="0"/>
        <v>0</v>
      </c>
      <c r="H25" s="428"/>
      <c r="I25" s="10"/>
      <c r="J25" s="10"/>
    </row>
    <row r="26" spans="1:10" ht="15.95" customHeight="1">
      <c r="A26" s="175"/>
      <c r="B26" s="473" t="s">
        <v>474</v>
      </c>
      <c r="C26" s="749">
        <f>+'Balance de energía'!$D$41</f>
        <v>296.5761448591</v>
      </c>
      <c r="D26" s="749">
        <f>+'Balance de energía'!$D$42</f>
        <v>0</v>
      </c>
      <c r="E26" s="749">
        <f>+'Balance de energía'!$D$43</f>
        <v>0.12361113438000002</v>
      </c>
      <c r="F26" s="749">
        <f>+'Balance de energía'!$D$44</f>
        <v>0</v>
      </c>
      <c r="G26" s="749">
        <f t="shared" si="0"/>
        <v>296.69975599347998</v>
      </c>
      <c r="H26" s="428"/>
      <c r="I26" s="10"/>
      <c r="J26" s="10"/>
    </row>
    <row r="27" spans="1:10" ht="15.95" customHeight="1">
      <c r="A27" s="175"/>
      <c r="B27" s="473" t="s">
        <v>613</v>
      </c>
      <c r="C27" s="749">
        <f>+'Balance de energía'!$E$41</f>
        <v>0</v>
      </c>
      <c r="D27" s="749">
        <f>+'Balance de energía'!$E$42</f>
        <v>0</v>
      </c>
      <c r="E27" s="749">
        <f>+'Balance de energía'!$E$43</f>
        <v>0</v>
      </c>
      <c r="F27" s="749">
        <f>+'Balance de energía'!$E$44</f>
        <v>0</v>
      </c>
      <c r="G27" s="749">
        <f t="shared" si="0"/>
        <v>0</v>
      </c>
      <c r="H27" s="428"/>
      <c r="I27" s="10"/>
      <c r="J27" s="10"/>
    </row>
    <row r="28" spans="1:10" ht="15.95" customHeight="1">
      <c r="A28" s="175"/>
      <c r="B28" s="471" t="s">
        <v>447</v>
      </c>
      <c r="C28" s="749">
        <f>+'Balance de energía'!$F$41</f>
        <v>0</v>
      </c>
      <c r="D28" s="749">
        <f>+'Balance de energía'!$F$42</f>
        <v>0</v>
      </c>
      <c r="E28" s="749">
        <f>+'Balance de energía'!$F$43</f>
        <v>0</v>
      </c>
      <c r="F28" s="749">
        <f>+'Balance de energía'!$F$44</f>
        <v>0</v>
      </c>
      <c r="G28" s="749">
        <f t="shared" si="0"/>
        <v>0</v>
      </c>
      <c r="H28" s="428"/>
      <c r="I28" s="10"/>
      <c r="J28" s="10"/>
    </row>
    <row r="29" spans="1:10" ht="15.95" customHeight="1">
      <c r="A29" s="175"/>
      <c r="B29" s="473" t="s">
        <v>42</v>
      </c>
      <c r="C29" s="749">
        <f>+'Balance de energía'!$J$41</f>
        <v>0</v>
      </c>
      <c r="D29" s="749">
        <f>+'Balance de energía'!$J$42</f>
        <v>0</v>
      </c>
      <c r="E29" s="749">
        <f>+'Balance de energía'!$J$43</f>
        <v>0</v>
      </c>
      <c r="F29" s="749">
        <f>+'Balance de energía'!$J$44</f>
        <v>0</v>
      </c>
      <c r="G29" s="749">
        <f t="shared" si="0"/>
        <v>0</v>
      </c>
      <c r="H29" s="428"/>
      <c r="I29" s="11"/>
      <c r="J29" s="10"/>
    </row>
    <row r="30" spans="1:10" ht="15.95" customHeight="1">
      <c r="A30" s="175"/>
      <c r="B30" s="472" t="s">
        <v>33</v>
      </c>
      <c r="C30" s="455">
        <f>SUM(C19:C29,C7)</f>
        <v>75101.527607936412</v>
      </c>
      <c r="D30" s="455">
        <f>SUM(D19:D29,D7)</f>
        <v>744.02786118799997</v>
      </c>
      <c r="E30" s="455">
        <f>SUM(E19:E29,E7)</f>
        <v>4458.4947257207887</v>
      </c>
      <c r="F30" s="455">
        <f>SUM(F19:F29,F7)</f>
        <v>11403.221350991336</v>
      </c>
      <c r="G30" s="455">
        <f>SUM(G19:G29,G7)</f>
        <v>91707.271545836542</v>
      </c>
      <c r="H30" s="428"/>
      <c r="I30" s="119"/>
      <c r="J30" s="10"/>
    </row>
    <row r="31" spans="1:10">
      <c r="A31" s="175"/>
      <c r="B31" s="296"/>
      <c r="C31" s="296"/>
      <c r="D31" s="296"/>
      <c r="E31" s="296"/>
      <c r="F31" s="296"/>
      <c r="G31" s="296"/>
      <c r="H31" s="196"/>
      <c r="I31" s="120"/>
      <c r="J31" s="10"/>
    </row>
    <row r="32" spans="1:10">
      <c r="A32" s="175"/>
      <c r="B32" s="275" t="s">
        <v>15</v>
      </c>
      <c r="C32" s="192"/>
      <c r="D32" s="192"/>
      <c r="E32" s="192"/>
      <c r="F32" s="193"/>
      <c r="G32" s="194"/>
      <c r="H32" s="159"/>
      <c r="I32" s="9"/>
      <c r="J32" s="7"/>
    </row>
    <row r="33" spans="1:10">
      <c r="A33" s="175"/>
      <c r="B33" s="275" t="s">
        <v>612</v>
      </c>
      <c r="C33" s="192"/>
      <c r="D33" s="192"/>
      <c r="E33" s="192"/>
      <c r="F33" s="192"/>
      <c r="G33" s="192"/>
      <c r="H33" s="192"/>
      <c r="I33" s="9"/>
      <c r="J33" s="8"/>
    </row>
    <row r="34" spans="1:10">
      <c r="A34" s="175"/>
      <c r="B34" s="313" t="s">
        <v>630</v>
      </c>
      <c r="C34" s="180"/>
      <c r="D34" s="181"/>
      <c r="E34" s="181"/>
      <c r="F34" s="181"/>
      <c r="G34" s="168"/>
      <c r="H34" s="171"/>
      <c r="I34" s="5"/>
      <c r="J34" s="5"/>
    </row>
    <row r="35" spans="1:10">
      <c r="A35" s="175"/>
      <c r="B35" s="271" t="s">
        <v>338</v>
      </c>
      <c r="C35" s="171"/>
      <c r="D35" s="171"/>
      <c r="E35" s="171"/>
      <c r="F35" s="171"/>
      <c r="G35" s="171"/>
      <c r="H35" s="171"/>
      <c r="I35" s="5"/>
      <c r="J35" s="5"/>
    </row>
    <row r="36" spans="1:10">
      <c r="A36" s="175"/>
      <c r="B36" s="272" t="s">
        <v>293</v>
      </c>
      <c r="C36" s="171"/>
      <c r="D36" s="171"/>
      <c r="E36" s="171"/>
      <c r="F36" s="171"/>
      <c r="G36" s="171"/>
      <c r="H36" s="171"/>
      <c r="I36" s="5"/>
      <c r="J36" s="5"/>
    </row>
    <row r="37" spans="1:10">
      <c r="A37" s="175"/>
      <c r="B37" s="272" t="s">
        <v>527</v>
      </c>
      <c r="C37" s="171"/>
      <c r="D37" s="171"/>
      <c r="E37" s="171"/>
      <c r="F37" s="171"/>
      <c r="G37" s="171"/>
      <c r="H37" s="171"/>
      <c r="I37" s="5"/>
      <c r="J37" s="5"/>
    </row>
    <row r="38" spans="1:10">
      <c r="A38" s="175"/>
      <c r="B38" s="195"/>
      <c r="C38" s="195"/>
      <c r="D38" s="195"/>
      <c r="E38" s="195"/>
      <c r="F38" s="195"/>
      <c r="G38" s="195"/>
      <c r="H38" s="195"/>
      <c r="I38" s="10"/>
      <c r="J38" s="10"/>
    </row>
    <row r="39" spans="1:10">
      <c r="A39" s="175"/>
      <c r="B39" s="24"/>
      <c r="C39" s="24"/>
      <c r="D39" s="24"/>
      <c r="E39" s="24"/>
      <c r="F39" s="24"/>
      <c r="G39" s="24"/>
      <c r="H39" s="24"/>
    </row>
    <row r="40" spans="1:10">
      <c r="A40" s="175"/>
      <c r="B40" s="24"/>
      <c r="C40" s="24"/>
      <c r="D40" s="24"/>
      <c r="E40" s="24"/>
      <c r="F40" s="24"/>
      <c r="G40" s="24"/>
      <c r="H40" s="24"/>
    </row>
    <row r="41" spans="1:10">
      <c r="A41" s="175"/>
      <c r="B41" s="24"/>
      <c r="C41" s="24"/>
      <c r="D41" s="24"/>
      <c r="E41" s="24"/>
      <c r="F41" s="24"/>
      <c r="G41" s="24"/>
      <c r="H41" s="24"/>
    </row>
    <row r="42" spans="1:10">
      <c r="B42" s="2"/>
      <c r="C42" s="2"/>
      <c r="D42" s="2"/>
      <c r="E42" s="2"/>
      <c r="F42" s="2"/>
      <c r="G42" s="2"/>
    </row>
    <row r="43" spans="1:10">
      <c r="B43" s="2"/>
      <c r="C43" s="2"/>
      <c r="D43" s="2"/>
      <c r="E43" s="2"/>
      <c r="F43" s="2"/>
      <c r="G43" s="2"/>
    </row>
    <row r="44" spans="1:10">
      <c r="B44" s="2"/>
      <c r="C44" s="2"/>
      <c r="D44" s="2"/>
      <c r="E44" s="2"/>
      <c r="F44" s="2"/>
      <c r="G44" s="2"/>
    </row>
    <row r="45" spans="1:10" s="2" customFormat="1"/>
    <row r="46" spans="1:10" s="2" customFormat="1"/>
    <row r="47" spans="1:10" s="2" customFormat="1"/>
    <row r="48" spans="1:10" s="2" customFormat="1"/>
    <row r="49" spans="3:7" s="2" customFormat="1"/>
    <row r="50" spans="3:7" s="2" customFormat="1"/>
    <row r="51" spans="3:7" s="2" customFormat="1"/>
    <row r="52" spans="3:7" s="2" customFormat="1"/>
    <row r="53" spans="3:7" s="2" customFormat="1"/>
    <row r="54" spans="3:7" s="2" customFormat="1"/>
    <row r="55" spans="3:7" s="2" customFormat="1"/>
    <row r="56" spans="3:7" s="2" customFormat="1"/>
    <row r="57" spans="3:7" s="2" customFormat="1"/>
    <row r="58" spans="3:7">
      <c r="C58" s="2"/>
      <c r="D58" s="2"/>
      <c r="E58" s="2"/>
      <c r="F58" s="2"/>
      <c r="G58" s="2"/>
    </row>
    <row r="59" spans="3:7">
      <c r="C59" s="2"/>
      <c r="D59" s="2"/>
      <c r="E59" s="2"/>
      <c r="F59" s="2"/>
      <c r="G59" s="2"/>
    </row>
    <row r="60" spans="3:7">
      <c r="C60" s="2"/>
      <c r="D60" s="2"/>
      <c r="E60" s="2"/>
      <c r="F60" s="2"/>
      <c r="G60" s="2"/>
    </row>
    <row r="61" spans="3:7">
      <c r="C61" s="2"/>
      <c r="D61" s="2"/>
      <c r="E61" s="2"/>
      <c r="F61" s="2"/>
      <c r="G61" s="2"/>
    </row>
    <row r="62" spans="3:7">
      <c r="C62" s="2"/>
      <c r="D62" s="2"/>
      <c r="E62" s="2"/>
      <c r="F62" s="2"/>
      <c r="G62" s="2"/>
    </row>
    <row r="63" spans="3:7">
      <c r="C63" s="2"/>
      <c r="D63" s="2"/>
      <c r="E63" s="2"/>
      <c r="F63" s="2"/>
      <c r="G63" s="2"/>
    </row>
    <row r="64" spans="3:7">
      <c r="C64" s="2"/>
      <c r="D64" s="2"/>
      <c r="E64" s="2"/>
      <c r="F64" s="2"/>
      <c r="G64" s="2"/>
    </row>
    <row r="65" spans="3:7">
      <c r="C65" s="2"/>
      <c r="D65" s="2"/>
      <c r="E65" s="2"/>
      <c r="F65" s="2"/>
      <c r="G65" s="2"/>
    </row>
    <row r="66" spans="3:7">
      <c r="C66" s="2"/>
      <c r="D66" s="2"/>
      <c r="E66" s="2"/>
      <c r="F66" s="2"/>
      <c r="G66" s="2"/>
    </row>
    <row r="67" spans="3:7">
      <c r="C67" s="2"/>
      <c r="D67" s="2"/>
      <c r="E67" s="2"/>
      <c r="F67" s="2"/>
      <c r="G67" s="2"/>
    </row>
    <row r="68" spans="3:7">
      <c r="C68" s="2"/>
      <c r="D68" s="2"/>
      <c r="E68" s="2"/>
      <c r="F68" s="2"/>
      <c r="G68" s="2"/>
    </row>
    <row r="69" spans="3:7">
      <c r="C69" s="2"/>
      <c r="D69" s="2"/>
      <c r="E69" s="2"/>
      <c r="F69" s="2"/>
      <c r="G69" s="2"/>
    </row>
    <row r="70" spans="3:7">
      <c r="C70" s="2"/>
      <c r="D70" s="2"/>
      <c r="E70" s="2"/>
      <c r="F70" s="2"/>
      <c r="G70" s="2"/>
    </row>
    <row r="71" spans="3:7">
      <c r="C71" s="2"/>
      <c r="D71" s="2"/>
      <c r="E71" s="2"/>
      <c r="F71" s="2"/>
      <c r="G71" s="2"/>
    </row>
    <row r="72" spans="3:7">
      <c r="C72" s="2"/>
      <c r="D72" s="2"/>
      <c r="E72" s="2"/>
      <c r="F72" s="2"/>
      <c r="G72" s="2"/>
    </row>
    <row r="73" spans="3:7">
      <c r="C73" s="2"/>
      <c r="D73" s="2"/>
      <c r="E73" s="2"/>
      <c r="F73" s="2"/>
      <c r="G73" s="2"/>
    </row>
    <row r="74" spans="3:7">
      <c r="C74" s="2"/>
      <c r="D74" s="2"/>
      <c r="E74" s="2"/>
      <c r="F74" s="2"/>
      <c r="G74" s="2"/>
    </row>
    <row r="75" spans="3:7">
      <c r="C75" s="2"/>
      <c r="D75" s="2"/>
      <c r="E75" s="2"/>
      <c r="F75" s="2"/>
      <c r="G75" s="2"/>
    </row>
    <row r="76" spans="3:7">
      <c r="C76" s="2"/>
      <c r="D76" s="2"/>
      <c r="E76" s="2"/>
      <c r="F76" s="2"/>
      <c r="G76" s="2"/>
    </row>
    <row r="77" spans="3:7">
      <c r="C77" s="2"/>
      <c r="D77" s="2"/>
      <c r="E77" s="2"/>
      <c r="F77" s="2"/>
      <c r="G77" s="2"/>
    </row>
    <row r="78" spans="3:7">
      <c r="C78" s="2"/>
      <c r="D78" s="2"/>
      <c r="E78" s="2"/>
      <c r="F78" s="2"/>
      <c r="G78" s="2"/>
    </row>
    <row r="79" spans="3:7">
      <c r="C79" s="2"/>
      <c r="D79" s="2"/>
      <c r="E79" s="2"/>
      <c r="F79" s="2"/>
      <c r="G79" s="2"/>
    </row>
    <row r="80" spans="3:7">
      <c r="C80" s="2"/>
      <c r="D80" s="2"/>
      <c r="E80" s="2"/>
      <c r="F80" s="2"/>
      <c r="G80" s="2"/>
    </row>
    <row r="81" spans="3:7">
      <c r="C81" s="2"/>
      <c r="D81" s="2"/>
      <c r="E81" s="2"/>
      <c r="F81" s="2"/>
      <c r="G81" s="2"/>
    </row>
    <row r="82" spans="3:7">
      <c r="C82" s="2"/>
      <c r="D82" s="2"/>
      <c r="E82" s="2"/>
      <c r="F82" s="2"/>
      <c r="G82" s="2"/>
    </row>
    <row r="83" spans="3:7">
      <c r="C83" s="2"/>
      <c r="D83" s="2"/>
      <c r="E83" s="2"/>
      <c r="F83" s="2"/>
      <c r="G83" s="2"/>
    </row>
    <row r="84" spans="3:7">
      <c r="C84" s="2"/>
      <c r="D84" s="2"/>
      <c r="E84" s="2"/>
      <c r="F84" s="2"/>
      <c r="G84" s="2"/>
    </row>
    <row r="85" spans="3:7">
      <c r="C85" s="2"/>
      <c r="D85" s="2"/>
      <c r="E85" s="2"/>
      <c r="F85" s="2"/>
      <c r="G85" s="2"/>
    </row>
    <row r="86" spans="3:7">
      <c r="C86" s="2"/>
      <c r="D86" s="2"/>
      <c r="E86" s="2"/>
      <c r="F86" s="2"/>
      <c r="G86" s="2"/>
    </row>
    <row r="87" spans="3:7">
      <c r="C87" s="2"/>
      <c r="D87" s="2"/>
      <c r="E87" s="2"/>
      <c r="F87" s="2"/>
      <c r="G87" s="2"/>
    </row>
    <row r="88" spans="3:7">
      <c r="C88" s="2"/>
      <c r="D88" s="2"/>
      <c r="E88" s="2"/>
      <c r="F88" s="2"/>
      <c r="G88" s="2"/>
    </row>
    <row r="89" spans="3:7">
      <c r="C89" s="2"/>
      <c r="D89" s="2"/>
      <c r="E89" s="2"/>
      <c r="F89" s="2"/>
      <c r="G89" s="2"/>
    </row>
    <row r="90" spans="3:7">
      <c r="C90" s="2"/>
      <c r="D90" s="2"/>
      <c r="E90" s="2"/>
      <c r="F90" s="2"/>
      <c r="G90" s="2"/>
    </row>
    <row r="91" spans="3:7">
      <c r="C91" s="2"/>
      <c r="D91" s="2"/>
      <c r="E91" s="2"/>
      <c r="F91" s="2"/>
      <c r="G91" s="2"/>
    </row>
    <row r="92" spans="3:7">
      <c r="C92" s="2"/>
      <c r="D92" s="2"/>
      <c r="E92" s="2"/>
      <c r="F92" s="2"/>
      <c r="G92" s="2"/>
    </row>
    <row r="93" spans="3:7">
      <c r="C93" s="2"/>
      <c r="D93" s="2"/>
      <c r="E93" s="2"/>
      <c r="F93" s="2"/>
      <c r="G93" s="2"/>
    </row>
    <row r="94" spans="3:7">
      <c r="C94" s="2"/>
      <c r="D94" s="2"/>
      <c r="E94" s="2"/>
      <c r="F94" s="2"/>
      <c r="G94" s="2"/>
    </row>
    <row r="95" spans="3:7">
      <c r="C95" s="2"/>
      <c r="D95" s="2"/>
      <c r="E95" s="2"/>
      <c r="F95" s="2"/>
      <c r="G95" s="2"/>
    </row>
    <row r="96" spans="3:7">
      <c r="C96" s="2"/>
      <c r="D96" s="2"/>
      <c r="E96" s="2"/>
      <c r="F96" s="2"/>
      <c r="G96" s="2"/>
    </row>
  </sheetData>
  <mergeCells count="4">
    <mergeCell ref="B2:G2"/>
    <mergeCell ref="B3:G3"/>
    <mergeCell ref="B4:G4"/>
    <mergeCell ref="B5:G5"/>
  </mergeCells>
  <phoneticPr fontId="0" type="noConversion"/>
  <hyperlinks>
    <hyperlink ref="I2" location="Índice!A1" display="VOLVER A INDICE"/>
  </hyperlinks>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theme="9" tint="0.39997558519241921"/>
  </sheetPr>
  <dimension ref="A1:Y88"/>
  <sheetViews>
    <sheetView workbookViewId="0"/>
  </sheetViews>
  <sheetFormatPr baseColWidth="10" defaultRowHeight="12.75" outlineLevelRow="1"/>
  <cols>
    <col min="1" max="1" width="1.85546875" style="134" customWidth="1"/>
    <col min="2" max="2" width="30.28515625" style="134" customWidth="1"/>
    <col min="3" max="7" width="11.5703125" style="134" bestFit="1" customWidth="1"/>
    <col min="8" max="8" width="15" style="134" bestFit="1" customWidth="1"/>
    <col min="9" max="11" width="11.5703125" style="134" bestFit="1" customWidth="1"/>
    <col min="12" max="12" width="11.85546875" style="134" bestFit="1" customWidth="1"/>
    <col min="13" max="13" width="11.5703125" style="134" bestFit="1" customWidth="1"/>
    <col min="14" max="14" width="11.85546875" style="134" bestFit="1" customWidth="1"/>
    <col min="15" max="25" width="11.42578125" style="2"/>
    <col min="26" max="16384" width="11.42578125" style="134"/>
  </cols>
  <sheetData>
    <row r="1" spans="1:25" ht="8.25" customHeight="1">
      <c r="A1" s="175"/>
      <c r="B1" s="175"/>
      <c r="C1" s="175"/>
      <c r="D1" s="175"/>
      <c r="E1" s="175"/>
      <c r="F1" s="175"/>
      <c r="G1" s="175"/>
      <c r="H1" s="175"/>
      <c r="I1" s="175"/>
      <c r="J1" s="175"/>
      <c r="K1" s="175"/>
      <c r="L1" s="175"/>
      <c r="M1" s="175"/>
      <c r="N1" s="175"/>
    </row>
    <row r="2" spans="1:25" ht="15.95" customHeight="1">
      <c r="A2" s="175"/>
      <c r="B2" s="831" t="s">
        <v>127</v>
      </c>
      <c r="C2" s="831"/>
      <c r="D2" s="831"/>
      <c r="E2" s="831"/>
      <c r="F2" s="831"/>
      <c r="G2" s="831"/>
      <c r="H2" s="831"/>
      <c r="I2" s="831"/>
      <c r="J2" s="831"/>
      <c r="K2" s="831"/>
      <c r="L2" s="831"/>
      <c r="M2" s="831"/>
      <c r="N2" s="831"/>
      <c r="P2" s="699" t="s">
        <v>229</v>
      </c>
      <c r="Q2" s="14"/>
    </row>
    <row r="3" spans="1:25" s="301" customFormat="1" ht="15.95" customHeight="1">
      <c r="A3" s="298"/>
      <c r="B3" s="835" t="s">
        <v>346</v>
      </c>
      <c r="C3" s="835"/>
      <c r="D3" s="835"/>
      <c r="E3" s="835"/>
      <c r="F3" s="835"/>
      <c r="G3" s="835"/>
      <c r="H3" s="835"/>
      <c r="I3" s="835"/>
      <c r="J3" s="835"/>
      <c r="K3" s="835"/>
      <c r="L3" s="835"/>
      <c r="M3" s="835"/>
      <c r="N3" s="835"/>
      <c r="P3" s="309"/>
      <c r="Q3" s="314"/>
      <c r="R3" s="207"/>
      <c r="S3" s="207"/>
      <c r="T3" s="207"/>
      <c r="U3" s="207"/>
      <c r="V3" s="207"/>
      <c r="W3" s="207"/>
      <c r="X3" s="207"/>
      <c r="Y3" s="207"/>
    </row>
    <row r="4" spans="1:25" s="301" customFormat="1" ht="15.95" customHeight="1">
      <c r="A4" s="298"/>
      <c r="B4" s="835" t="s">
        <v>446</v>
      </c>
      <c r="C4" s="835"/>
      <c r="D4" s="835"/>
      <c r="E4" s="835"/>
      <c r="F4" s="835"/>
      <c r="G4" s="835"/>
      <c r="H4" s="835"/>
      <c r="I4" s="835"/>
      <c r="J4" s="835"/>
      <c r="K4" s="835"/>
      <c r="L4" s="835"/>
      <c r="M4" s="835"/>
      <c r="N4" s="835"/>
      <c r="O4" s="421"/>
      <c r="P4" s="314"/>
      <c r="Q4" s="314"/>
      <c r="R4" s="207"/>
      <c r="S4" s="207"/>
      <c r="T4" s="207"/>
      <c r="U4" s="207"/>
      <c r="V4" s="207"/>
      <c r="W4" s="207"/>
      <c r="X4" s="207"/>
      <c r="Y4" s="207"/>
    </row>
    <row r="5" spans="1:25" s="301" customFormat="1" ht="15.95" customHeight="1">
      <c r="A5" s="298"/>
      <c r="B5" s="835" t="s">
        <v>284</v>
      </c>
      <c r="C5" s="835"/>
      <c r="D5" s="835"/>
      <c r="E5" s="835"/>
      <c r="F5" s="835"/>
      <c r="G5" s="835"/>
      <c r="H5" s="835"/>
      <c r="I5" s="835"/>
      <c r="J5" s="835"/>
      <c r="K5" s="835"/>
      <c r="L5" s="835"/>
      <c r="M5" s="835"/>
      <c r="N5" s="835"/>
      <c r="O5" s="429"/>
      <c r="P5" s="314"/>
      <c r="Q5" s="314"/>
      <c r="R5" s="207"/>
      <c r="S5" s="207"/>
      <c r="T5" s="207"/>
      <c r="U5" s="207"/>
      <c r="V5" s="207"/>
      <c r="W5" s="207"/>
      <c r="X5" s="207"/>
      <c r="Y5" s="207"/>
    </row>
    <row r="6" spans="1:25" s="301" customFormat="1" ht="15.95" customHeight="1">
      <c r="A6" s="298"/>
      <c r="B6" s="819" t="s">
        <v>253</v>
      </c>
      <c r="C6" s="819" t="s">
        <v>48</v>
      </c>
      <c r="D6" s="819" t="s">
        <v>49</v>
      </c>
      <c r="E6" s="819" t="s">
        <v>50</v>
      </c>
      <c r="F6" s="827" t="s">
        <v>51</v>
      </c>
      <c r="G6" s="819" t="s">
        <v>52</v>
      </c>
      <c r="H6" s="819" t="s">
        <v>53</v>
      </c>
      <c r="I6" s="819" t="s">
        <v>54</v>
      </c>
      <c r="J6" s="819" t="s">
        <v>55</v>
      </c>
      <c r="K6" s="819" t="s">
        <v>56</v>
      </c>
      <c r="L6" s="827" t="s">
        <v>57</v>
      </c>
      <c r="M6" s="827" t="s">
        <v>58</v>
      </c>
      <c r="N6" s="819" t="s">
        <v>33</v>
      </c>
      <c r="O6" s="429"/>
      <c r="P6" s="314"/>
      <c r="Q6" s="314"/>
      <c r="R6" s="207"/>
      <c r="S6" s="207"/>
      <c r="T6" s="207"/>
      <c r="U6" s="207"/>
      <c r="V6" s="207"/>
      <c r="W6" s="207"/>
      <c r="X6" s="207"/>
      <c r="Y6" s="207"/>
    </row>
    <row r="7" spans="1:25" s="301" customFormat="1" ht="15.95" customHeight="1">
      <c r="A7" s="298"/>
      <c r="B7" s="819"/>
      <c r="C7" s="819"/>
      <c r="D7" s="819"/>
      <c r="E7" s="819"/>
      <c r="F7" s="827"/>
      <c r="G7" s="819"/>
      <c r="H7" s="819"/>
      <c r="I7" s="819"/>
      <c r="J7" s="819"/>
      <c r="K7" s="819"/>
      <c r="L7" s="827"/>
      <c r="M7" s="827"/>
      <c r="N7" s="819"/>
      <c r="O7" s="429"/>
      <c r="P7" s="314"/>
      <c r="Q7" s="314"/>
      <c r="R7" s="207"/>
      <c r="S7" s="207"/>
      <c r="T7" s="207"/>
      <c r="U7" s="207"/>
      <c r="V7" s="207"/>
      <c r="W7" s="207"/>
      <c r="X7" s="207"/>
      <c r="Y7" s="207"/>
    </row>
    <row r="8" spans="1:25" s="301" customFormat="1" ht="15.95" customHeight="1">
      <c r="A8" s="298"/>
      <c r="B8" s="473" t="s">
        <v>345</v>
      </c>
      <c r="C8" s="749">
        <f>SUM(C9:C19)</f>
        <v>17569.814581805895</v>
      </c>
      <c r="D8" s="749">
        <f t="shared" ref="D8:N8" si="0">SUM(D9:D19)</f>
        <v>1136.8606335240001</v>
      </c>
      <c r="E8" s="749">
        <f t="shared" si="0"/>
        <v>773.77376714399998</v>
      </c>
      <c r="F8" s="749">
        <f t="shared" si="0"/>
        <v>2001.8189689459391</v>
      </c>
      <c r="G8" s="749">
        <f t="shared" si="0"/>
        <v>29.195310000000003</v>
      </c>
      <c r="H8" s="749">
        <f t="shared" si="0"/>
        <v>39.171249128422701</v>
      </c>
      <c r="I8" s="749">
        <f t="shared" si="0"/>
        <v>2091.4913704959999</v>
      </c>
      <c r="J8" s="749">
        <f t="shared" si="0"/>
        <v>13.5784041594</v>
      </c>
      <c r="K8" s="749">
        <f t="shared" si="0"/>
        <v>2120.7775838925595</v>
      </c>
      <c r="L8" s="749">
        <f t="shared" si="0"/>
        <v>12838.807136268779</v>
      </c>
      <c r="M8" s="749">
        <f t="shared" si="0"/>
        <v>4591.8059795625977</v>
      </c>
      <c r="N8" s="749">
        <f t="shared" si="0"/>
        <v>43207.094984927593</v>
      </c>
      <c r="O8" s="429"/>
      <c r="P8" s="315"/>
      <c r="Q8" s="314"/>
      <c r="R8" s="207"/>
      <c r="S8" s="207"/>
      <c r="T8" s="207"/>
      <c r="U8" s="207"/>
      <c r="V8" s="207"/>
      <c r="W8" s="207"/>
      <c r="X8" s="207"/>
      <c r="Y8" s="207"/>
    </row>
    <row r="9" spans="1:25" s="301" customFormat="1" ht="15.95" customHeight="1" outlineLevel="1">
      <c r="A9" s="298"/>
      <c r="B9" s="469" t="s">
        <v>269</v>
      </c>
      <c r="C9" s="748">
        <f>+'Balance de energía'!$K$29</f>
        <v>16360.796147313893</v>
      </c>
      <c r="D9" s="748">
        <f>+'Balance de energía'!$K$30</f>
        <v>762.18576302400004</v>
      </c>
      <c r="E9" s="748">
        <f>+'Balance de energía'!$K$31</f>
        <v>729.19916714399994</v>
      </c>
      <c r="F9" s="748">
        <f>+'Balance de energía'!$K$32</f>
        <v>17.991273933687495</v>
      </c>
      <c r="G9" s="748">
        <f>+'Balance de energía'!$K$33</f>
        <v>0.73248000000000002</v>
      </c>
      <c r="H9" s="748">
        <f>+'Balance de energía'!$K$34</f>
        <v>0</v>
      </c>
      <c r="I9" s="748">
        <f>+'Balance de energía'!$K$35</f>
        <v>60.354986012000005</v>
      </c>
      <c r="J9" s="748">
        <f>+'Balance de energía'!$K$36</f>
        <v>4.2049378643999997</v>
      </c>
      <c r="K9" s="748">
        <f>+'Balance de energía'!$K$37</f>
        <v>1443.0204370755594</v>
      </c>
      <c r="L9" s="748">
        <f>+'Balance de energía'!$K$38</f>
        <v>7689.9333262701521</v>
      </c>
      <c r="M9" s="748">
        <f>+'Balance de energía'!$K$39</f>
        <v>4305.6918348125973</v>
      </c>
      <c r="N9" s="749">
        <f>SUM(C9:M9)</f>
        <v>31374.110353450291</v>
      </c>
      <c r="O9" s="429"/>
      <c r="P9" s="315"/>
      <c r="Q9" s="314"/>
      <c r="R9" s="361"/>
      <c r="S9" s="361"/>
      <c r="T9" s="207"/>
      <c r="U9" s="207"/>
      <c r="V9" s="207"/>
      <c r="W9" s="207"/>
      <c r="X9" s="207"/>
      <c r="Y9" s="207"/>
    </row>
    <row r="10" spans="1:25" s="301" customFormat="1" ht="15.95" customHeight="1" outlineLevel="1">
      <c r="A10" s="298"/>
      <c r="B10" s="469" t="s">
        <v>270</v>
      </c>
      <c r="C10" s="748">
        <f>+'Balance de energía'!$L$29</f>
        <v>1094.986977</v>
      </c>
      <c r="D10" s="748">
        <f>+'Balance de energía'!$L$30</f>
        <v>374.6748705</v>
      </c>
      <c r="E10" s="748">
        <f>+'Balance de energía'!$L$31</f>
        <v>44.574599999999997</v>
      </c>
      <c r="F10" s="748">
        <f>+'Balance de energía'!$L$32</f>
        <v>1920.6277359000176</v>
      </c>
      <c r="G10" s="748">
        <f>+'Balance de energía'!$L$33</f>
        <v>0</v>
      </c>
      <c r="H10" s="748">
        <f>+'Balance de energía'!$L$34</f>
        <v>0</v>
      </c>
      <c r="I10" s="748">
        <f>+'Balance de energía'!$L$35</f>
        <v>0</v>
      </c>
      <c r="J10" s="748">
        <f>+'Balance de energía'!$L$36</f>
        <v>6.0140954999999998</v>
      </c>
      <c r="K10" s="748">
        <f>+'Balance de energía'!$L$37</f>
        <v>577.62600000000009</v>
      </c>
      <c r="L10" s="748">
        <f>+'Balance de energía'!$L$38</f>
        <v>1488.9330604405552</v>
      </c>
      <c r="M10" s="748">
        <f>+'Balance de energía'!$L$39</f>
        <v>162.57155249999997</v>
      </c>
      <c r="N10" s="749">
        <f t="shared" ref="N10:N19" si="1">SUM(C10:M10)</f>
        <v>5670.0088918405727</v>
      </c>
      <c r="O10" s="429"/>
      <c r="P10" s="315"/>
      <c r="Q10" s="314"/>
      <c r="R10" s="361"/>
      <c r="S10" s="361"/>
      <c r="T10" s="207"/>
      <c r="U10" s="207"/>
      <c r="V10" s="207"/>
      <c r="W10" s="207"/>
      <c r="X10" s="207"/>
      <c r="Y10" s="207"/>
    </row>
    <row r="11" spans="1:25" s="301" customFormat="1" ht="15.95" customHeight="1" outlineLevel="1">
      <c r="A11" s="298"/>
      <c r="B11" s="469" t="s">
        <v>330</v>
      </c>
      <c r="C11" s="748">
        <f>+'Balance de energía'!$M$29</f>
        <v>0</v>
      </c>
      <c r="D11" s="748">
        <f>+'Balance de energía'!$M$30</f>
        <v>0</v>
      </c>
      <c r="E11" s="748">
        <f>+'Balance de energía'!$M$31</f>
        <v>0</v>
      </c>
      <c r="F11" s="748">
        <f>+'Balance de energía'!$M$32</f>
        <v>0</v>
      </c>
      <c r="G11" s="748">
        <f>+'Balance de energía'!$M$33</f>
        <v>0</v>
      </c>
      <c r="H11" s="748">
        <f>+'Balance de energía'!$M$34</f>
        <v>0</v>
      </c>
      <c r="I11" s="748">
        <f>+'Balance de energía'!$M$35</f>
        <v>0</v>
      </c>
      <c r="J11" s="748">
        <f>+'Balance de energía'!$M$36</f>
        <v>0</v>
      </c>
      <c r="K11" s="748">
        <f>+'Balance de energía'!$M$37</f>
        <v>0</v>
      </c>
      <c r="L11" s="748">
        <f>+'Balance de energía'!$M$38</f>
        <v>0</v>
      </c>
      <c r="M11" s="748">
        <f>+'Balance de energía'!$M$39</f>
        <v>0</v>
      </c>
      <c r="N11" s="749">
        <f t="shared" si="1"/>
        <v>0</v>
      </c>
      <c r="O11" s="429"/>
      <c r="P11" s="315"/>
      <c r="Q11" s="314"/>
      <c r="R11" s="466"/>
      <c r="S11" s="361"/>
      <c r="T11" s="207"/>
      <c r="U11" s="207"/>
      <c r="V11" s="207"/>
      <c r="W11" s="207"/>
      <c r="X11" s="207"/>
      <c r="Y11" s="207"/>
    </row>
    <row r="12" spans="1:25" s="301" customFormat="1" ht="15.95" customHeight="1" outlineLevel="1">
      <c r="A12" s="298"/>
      <c r="B12" s="469" t="s">
        <v>38</v>
      </c>
      <c r="C12" s="748">
        <f>+'Balance de energía'!$N$29</f>
        <v>71.108794026000012</v>
      </c>
      <c r="D12" s="748">
        <f>+'Balance de energía'!$N$30</f>
        <v>0</v>
      </c>
      <c r="E12" s="748">
        <f>+'Balance de energía'!$N$31</f>
        <v>0</v>
      </c>
      <c r="F12" s="748">
        <f>+'Balance de energía'!$N$32</f>
        <v>4.2257700000000009E-2</v>
      </c>
      <c r="G12" s="748">
        <f>+'Balance de energía'!$N$33</f>
        <v>0</v>
      </c>
      <c r="H12" s="748">
        <f>+'Balance de energía'!$N$34</f>
        <v>0</v>
      </c>
      <c r="I12" s="748">
        <f>+'Balance de energía'!$N$35</f>
        <v>6.2253684000000011E-2</v>
      </c>
      <c r="J12" s="748">
        <f>+'Balance de energía'!$N$36</f>
        <v>0</v>
      </c>
      <c r="K12" s="748">
        <f>+'Balance de energía'!$N$37</f>
        <v>0</v>
      </c>
      <c r="L12" s="748">
        <f>+'Balance de energía'!$N$38</f>
        <v>74.869589234129805</v>
      </c>
      <c r="M12" s="748">
        <f>+'Balance de energía'!$N$39</f>
        <v>12.371616</v>
      </c>
      <c r="N12" s="749">
        <f t="shared" si="1"/>
        <v>158.45451064412978</v>
      </c>
      <c r="O12" s="429"/>
      <c r="P12" s="315"/>
      <c r="Q12" s="314"/>
      <c r="R12" s="466"/>
      <c r="S12" s="361"/>
      <c r="T12" s="207"/>
      <c r="U12" s="207"/>
      <c r="V12" s="207"/>
      <c r="W12" s="207"/>
      <c r="X12" s="207"/>
      <c r="Y12" s="207"/>
    </row>
    <row r="13" spans="1:25" s="301" customFormat="1" ht="15.95" customHeight="1" outlineLevel="1">
      <c r="A13" s="298"/>
      <c r="B13" s="469" t="s">
        <v>271</v>
      </c>
      <c r="C13" s="748">
        <f>+'Balance de energía'!$O$29</f>
        <v>33.964693466</v>
      </c>
      <c r="D13" s="748">
        <f>+'Balance de energía'!$O$30</f>
        <v>0</v>
      </c>
      <c r="E13" s="748">
        <f>+'Balance de energía'!$O$31</f>
        <v>0</v>
      </c>
      <c r="F13" s="748">
        <f>+'Balance de energía'!$O$32</f>
        <v>63.157701412234033</v>
      </c>
      <c r="G13" s="748">
        <f>+'Balance de energía'!$O$33</f>
        <v>28.462830000000004</v>
      </c>
      <c r="H13" s="748">
        <f>+'Balance de energía'!$O$34</f>
        <v>39.171249128422701</v>
      </c>
      <c r="I13" s="748">
        <f>+'Balance de energía'!$O$35</f>
        <v>12.312693800000002</v>
      </c>
      <c r="J13" s="748">
        <f>+'Balance de energía'!$O$36</f>
        <v>3.3593707950000002</v>
      </c>
      <c r="K13" s="748">
        <f>+'Balance de energía'!$O$37</f>
        <v>99.879398817000023</v>
      </c>
      <c r="L13" s="748">
        <f>+'Balance de energía'!$O$38</f>
        <v>2875.2699620439839</v>
      </c>
      <c r="M13" s="748">
        <f>+'Balance de energía'!$O$39</f>
        <v>10.696551249999999</v>
      </c>
      <c r="N13" s="749">
        <f t="shared" si="1"/>
        <v>3166.2744507126408</v>
      </c>
      <c r="O13" s="429"/>
      <c r="P13" s="315"/>
      <c r="Q13" s="314"/>
      <c r="R13" s="361"/>
      <c r="S13" s="361"/>
      <c r="T13" s="207"/>
      <c r="U13" s="207"/>
      <c r="V13" s="207"/>
      <c r="W13" s="207"/>
      <c r="X13" s="207"/>
      <c r="Y13" s="207"/>
    </row>
    <row r="14" spans="1:25" s="301" customFormat="1" ht="15.95" customHeight="1" outlineLevel="1">
      <c r="A14" s="298"/>
      <c r="B14" s="469" t="s">
        <v>272</v>
      </c>
      <c r="C14" s="748">
        <f>+'Balance de energía'!$P$29</f>
        <v>0</v>
      </c>
      <c r="D14" s="748">
        <f>+'Balance de energía'!$P$30</f>
        <v>0</v>
      </c>
      <c r="E14" s="748">
        <f>+'Balance de energía'!$P$31</f>
        <v>0</v>
      </c>
      <c r="F14" s="748">
        <f>+'Balance de energía'!$P$32</f>
        <v>0</v>
      </c>
      <c r="G14" s="748">
        <f>+'Balance de energía'!$P$33</f>
        <v>0</v>
      </c>
      <c r="H14" s="748">
        <f>+'Balance de energía'!$P$34</f>
        <v>0</v>
      </c>
      <c r="I14" s="748">
        <f>+'Balance de energía'!$P$35</f>
        <v>0</v>
      </c>
      <c r="J14" s="748">
        <f>+'Balance de energía'!$P$36</f>
        <v>0</v>
      </c>
      <c r="K14" s="748">
        <f>+'Balance de energía'!$P$37</f>
        <v>0</v>
      </c>
      <c r="L14" s="748">
        <f>+'Balance de energía'!$P$38</f>
        <v>7.9400999999999993</v>
      </c>
      <c r="M14" s="748">
        <f>+'Balance de energía'!$P$39</f>
        <v>0</v>
      </c>
      <c r="N14" s="749">
        <f t="shared" si="1"/>
        <v>7.9400999999999993</v>
      </c>
      <c r="O14" s="429"/>
      <c r="P14" s="315"/>
      <c r="Q14" s="314"/>
      <c r="R14" s="361"/>
      <c r="S14" s="361"/>
      <c r="T14" s="207"/>
      <c r="U14" s="207"/>
      <c r="V14" s="207"/>
      <c r="W14" s="207"/>
      <c r="X14" s="207"/>
      <c r="Y14" s="207"/>
    </row>
    <row r="15" spans="1:25" s="301" customFormat="1" ht="15.95" customHeight="1" outlineLevel="1">
      <c r="A15" s="298"/>
      <c r="B15" s="469" t="s">
        <v>273</v>
      </c>
      <c r="C15" s="748">
        <f>+'Balance de energía'!$Q$29</f>
        <v>0</v>
      </c>
      <c r="D15" s="748">
        <f>+'Balance de energía'!$Q$30</f>
        <v>0</v>
      </c>
      <c r="E15" s="748">
        <f>+'Balance de energía'!$Q$31</f>
        <v>0</v>
      </c>
      <c r="F15" s="748">
        <f>+'Balance de energía'!$Q$32</f>
        <v>0</v>
      </c>
      <c r="G15" s="748">
        <f>+'Balance de energía'!$Q$33</f>
        <v>0</v>
      </c>
      <c r="H15" s="748">
        <f>+'Balance de energía'!$Q$34</f>
        <v>0</v>
      </c>
      <c r="I15" s="748">
        <f>+'Balance de energía'!$Q$35</f>
        <v>0</v>
      </c>
      <c r="J15" s="748">
        <f>+'Balance de energía'!$Q$36</f>
        <v>0</v>
      </c>
      <c r="K15" s="748">
        <f>+'Balance de energía'!$Q$37</f>
        <v>0.25174800000000003</v>
      </c>
      <c r="L15" s="748">
        <f>+'Balance de energía'!$Q$38</f>
        <v>603.11652927995783</v>
      </c>
      <c r="M15" s="748">
        <f>+'Balance de energía'!$Q$39</f>
        <v>100.47442500000001</v>
      </c>
      <c r="N15" s="749">
        <f t="shared" si="1"/>
        <v>703.84270227995785</v>
      </c>
      <c r="O15" s="429"/>
      <c r="P15" s="315"/>
      <c r="Q15" s="314"/>
      <c r="R15" s="361"/>
      <c r="S15" s="361"/>
      <c r="T15" s="207"/>
      <c r="U15" s="207"/>
      <c r="V15" s="207"/>
      <c r="W15" s="207"/>
      <c r="X15" s="207"/>
      <c r="Y15" s="207"/>
    </row>
    <row r="16" spans="1:25" s="301" customFormat="1" ht="15.95" customHeight="1" outlineLevel="1">
      <c r="A16" s="298"/>
      <c r="B16" s="469" t="s">
        <v>40</v>
      </c>
      <c r="C16" s="748">
        <f>+'Balance de energía'!$R$29</f>
        <v>0</v>
      </c>
      <c r="D16" s="748">
        <f>+'Balance de energía'!$R$30</f>
        <v>0</v>
      </c>
      <c r="E16" s="748">
        <f>+'Balance de energía'!$R$31</f>
        <v>0</v>
      </c>
      <c r="F16" s="748">
        <f>+'Balance de energía'!$R$32</f>
        <v>0</v>
      </c>
      <c r="G16" s="748">
        <f>+'Balance de energía'!$R$33</f>
        <v>0</v>
      </c>
      <c r="H16" s="748">
        <f>+'Balance de energía'!$R$34</f>
        <v>0</v>
      </c>
      <c r="I16" s="748">
        <f>+'Balance de energía'!$R$35</f>
        <v>0</v>
      </c>
      <c r="J16" s="748">
        <f>+'Balance de energía'!$R$36</f>
        <v>0</v>
      </c>
      <c r="K16" s="748">
        <f>+'Balance de energía'!$R$37</f>
        <v>0</v>
      </c>
      <c r="L16" s="748">
        <f>+'Balance de energía'!$R$38</f>
        <v>0</v>
      </c>
      <c r="M16" s="748">
        <f>+'Balance de energía'!$R$39</f>
        <v>0</v>
      </c>
      <c r="N16" s="749">
        <f t="shared" si="1"/>
        <v>0</v>
      </c>
      <c r="O16" s="429"/>
      <c r="P16" s="315"/>
      <c r="Q16" s="314"/>
      <c r="R16" s="207"/>
      <c r="S16" s="207"/>
      <c r="T16" s="207"/>
      <c r="U16" s="207"/>
      <c r="V16" s="207"/>
      <c r="W16" s="207"/>
      <c r="X16" s="207"/>
      <c r="Y16" s="207"/>
    </row>
    <row r="17" spans="1:25" s="301" customFormat="1" ht="15.95" customHeight="1" outlineLevel="1">
      <c r="A17" s="298"/>
      <c r="B17" s="469" t="s">
        <v>274</v>
      </c>
      <c r="C17" s="748">
        <f>+'Balance de energía'!$S$29</f>
        <v>0</v>
      </c>
      <c r="D17" s="748">
        <f>+'Balance de energía'!$S$30</f>
        <v>0</v>
      </c>
      <c r="E17" s="748">
        <f>+'Balance de energía'!$S$31</f>
        <v>0</v>
      </c>
      <c r="F17" s="748">
        <f>+'Balance de energía'!$S$32</f>
        <v>0</v>
      </c>
      <c r="G17" s="748">
        <f>+'Balance de energía'!$S$33</f>
        <v>0</v>
      </c>
      <c r="H17" s="748">
        <f>+'Balance de energía'!$S$34</f>
        <v>0</v>
      </c>
      <c r="I17" s="748">
        <f>+'Balance de energía'!$S$35</f>
        <v>0</v>
      </c>
      <c r="J17" s="748">
        <f>+'Balance de energía'!$S$36</f>
        <v>0</v>
      </c>
      <c r="K17" s="748">
        <f>+'Balance de energía'!$S$37</f>
        <v>0</v>
      </c>
      <c r="L17" s="748">
        <f>+'Balance de energía'!$S$38</f>
        <v>0</v>
      </c>
      <c r="M17" s="748">
        <f>+'Balance de energía'!$S$39</f>
        <v>0</v>
      </c>
      <c r="N17" s="749">
        <f t="shared" si="1"/>
        <v>0</v>
      </c>
      <c r="O17" s="429"/>
      <c r="P17" s="315"/>
      <c r="Q17" s="314"/>
      <c r="R17" s="207"/>
      <c r="S17" s="207"/>
      <c r="T17" s="207"/>
      <c r="U17" s="207"/>
      <c r="V17" s="207"/>
      <c r="W17" s="207"/>
      <c r="X17" s="207"/>
      <c r="Y17" s="207"/>
    </row>
    <row r="18" spans="1:25" s="301" customFormat="1" ht="15.95" customHeight="1" outlineLevel="1">
      <c r="A18" s="298"/>
      <c r="B18" s="470" t="s">
        <v>275</v>
      </c>
      <c r="C18" s="748">
        <f>+'Balance de energía'!$T$29</f>
        <v>8.9579699999999995</v>
      </c>
      <c r="D18" s="748">
        <f>+'Balance de energía'!$T$30</f>
        <v>0</v>
      </c>
      <c r="E18" s="748">
        <f>+'Balance de energía'!$T$31</f>
        <v>0</v>
      </c>
      <c r="F18" s="748">
        <f>+'Balance de energía'!$T$32</f>
        <v>0</v>
      </c>
      <c r="G18" s="748">
        <f>+'Balance de energía'!$T$33</f>
        <v>0</v>
      </c>
      <c r="H18" s="748">
        <f>+'Balance de energía'!$T$34</f>
        <v>0</v>
      </c>
      <c r="I18" s="748">
        <f>+'Balance de energía'!$T$35</f>
        <v>2018.7614369999999</v>
      </c>
      <c r="J18" s="748">
        <f>+'Balance de energía'!$T$36</f>
        <v>0</v>
      </c>
      <c r="K18" s="748">
        <f>+'Balance de energía'!$T$37</f>
        <v>0</v>
      </c>
      <c r="L18" s="748">
        <f>+'Balance de energía'!$T$38</f>
        <v>98.744568999999998</v>
      </c>
      <c r="M18" s="748">
        <f>+'Balance de energía'!$T$39</f>
        <v>0</v>
      </c>
      <c r="N18" s="749">
        <f t="shared" si="1"/>
        <v>2126.463976</v>
      </c>
      <c r="O18" s="429"/>
      <c r="P18" s="315"/>
      <c r="Q18" s="314"/>
      <c r="R18" s="207"/>
      <c r="S18" s="207"/>
      <c r="T18" s="207"/>
      <c r="U18" s="207"/>
      <c r="V18" s="207"/>
      <c r="W18" s="207"/>
      <c r="X18" s="207"/>
      <c r="Y18" s="207"/>
    </row>
    <row r="19" spans="1:25" s="301" customFormat="1" ht="15.95" customHeight="1" outlineLevel="1">
      <c r="A19" s="298"/>
      <c r="B19" s="470" t="s">
        <v>479</v>
      </c>
      <c r="C19" s="748">
        <f>+'Balance de energía'!$U$29</f>
        <v>0</v>
      </c>
      <c r="D19" s="748">
        <f>+'Balance de energía'!$U$30</f>
        <v>0</v>
      </c>
      <c r="E19" s="748">
        <f>+'Balance de energía'!$U$31</f>
        <v>0</v>
      </c>
      <c r="F19" s="748">
        <f>+'Balance de energía'!$U$32</f>
        <v>0</v>
      </c>
      <c r="G19" s="748">
        <f>+'Balance de energía'!$U$33</f>
        <v>0</v>
      </c>
      <c r="H19" s="748">
        <f>+'Balance de energía'!$U$34</f>
        <v>0</v>
      </c>
      <c r="I19" s="748">
        <f>+'Balance de energía'!$U$35</f>
        <v>0</v>
      </c>
      <c r="J19" s="748">
        <f>+'Balance de energía'!$U$36</f>
        <v>0</v>
      </c>
      <c r="K19" s="748">
        <f>+'Balance de energía'!$U$37</f>
        <v>0</v>
      </c>
      <c r="L19" s="748">
        <f>+'Balance de energía'!$U$38</f>
        <v>0</v>
      </c>
      <c r="M19" s="748">
        <f>+'Balance de energía'!$U$39</f>
        <v>0</v>
      </c>
      <c r="N19" s="749">
        <f t="shared" si="1"/>
        <v>0</v>
      </c>
      <c r="O19" s="429"/>
      <c r="P19" s="315"/>
      <c r="Q19" s="314"/>
      <c r="R19" s="207"/>
      <c r="S19" s="207"/>
      <c r="T19" s="207"/>
      <c r="U19" s="207"/>
      <c r="V19" s="207"/>
      <c r="W19" s="207"/>
      <c r="X19" s="207"/>
      <c r="Y19" s="207"/>
    </row>
    <row r="20" spans="1:25" s="301" customFormat="1" ht="15.95" customHeight="1">
      <c r="A20" s="298"/>
      <c r="B20" s="473" t="s">
        <v>126</v>
      </c>
      <c r="C20" s="749">
        <f>+'Balance de energía'!$V$29</f>
        <v>19323.835112407916</v>
      </c>
      <c r="D20" s="749">
        <f>+'Balance de energía'!$V$30</f>
        <v>319.79984166000003</v>
      </c>
      <c r="E20" s="749">
        <f>+'Balance de energía'!$V$31</f>
        <v>645.75078000000008</v>
      </c>
      <c r="F20" s="749">
        <f>+'Balance de energía'!$V$32</f>
        <v>4123.9938990737201</v>
      </c>
      <c r="G20" s="749">
        <f>+'Balance de energía'!$V$33</f>
        <v>321.91761573999997</v>
      </c>
      <c r="H20" s="749">
        <f>+'Balance de energía'!$V$34</f>
        <v>31.82516</v>
      </c>
      <c r="I20" s="749">
        <f>+'Balance de energía'!$V$35</f>
        <v>404.99199528349783</v>
      </c>
      <c r="J20" s="749">
        <f>+'Balance de energía'!$V$36</f>
        <v>15.948823840000001</v>
      </c>
      <c r="K20" s="749">
        <f>+'Balance de energía'!$V$37</f>
        <v>89.672853599999996</v>
      </c>
      <c r="L20" s="749">
        <f>+'Balance de energía'!$V$38</f>
        <v>9922.8583685170724</v>
      </c>
      <c r="M20" s="749">
        <f>+'Balance de energía'!$V$39</f>
        <v>783.28814286299985</v>
      </c>
      <c r="N20" s="749">
        <f>SUM(C20:M20)</f>
        <v>35983.882592985203</v>
      </c>
      <c r="O20" s="429"/>
      <c r="P20" s="315"/>
      <c r="Q20" s="314"/>
      <c r="R20" s="207"/>
      <c r="S20" s="207"/>
      <c r="T20" s="207"/>
      <c r="U20" s="207"/>
      <c r="V20" s="207"/>
      <c r="W20" s="207"/>
      <c r="X20" s="207"/>
      <c r="Y20" s="207"/>
    </row>
    <row r="21" spans="1:25" s="301" customFormat="1" ht="15.95" customHeight="1">
      <c r="A21" s="298"/>
      <c r="B21" s="473" t="s">
        <v>292</v>
      </c>
      <c r="C21" s="749">
        <f>+'Balance de energía'!$W$29</f>
        <v>37.385999999999996</v>
      </c>
      <c r="D21" s="749">
        <f>+'Balance de energía'!$W$30</f>
        <v>0</v>
      </c>
      <c r="E21" s="749">
        <f>+'Balance de energía'!$W$31</f>
        <v>0</v>
      </c>
      <c r="F21" s="749">
        <f>+'Balance de energía'!$W$32</f>
        <v>0</v>
      </c>
      <c r="G21" s="749">
        <f>+'Balance de energía'!$W$33</f>
        <v>0</v>
      </c>
      <c r="H21" s="749">
        <f>+'Balance de energía'!$W$34</f>
        <v>0</v>
      </c>
      <c r="I21" s="749">
        <f>+'Balance de energía'!$W$35</f>
        <v>0</v>
      </c>
      <c r="J21" s="749">
        <f>+'Balance de energía'!$W$36</f>
        <v>41.599750499999999</v>
      </c>
      <c r="K21" s="749">
        <f>+'Balance de energía'!$W$37</f>
        <v>0</v>
      </c>
      <c r="L21" s="749">
        <f>+'Balance de energía'!$W$38</f>
        <v>11.043585</v>
      </c>
      <c r="M21" s="749">
        <f>+'Balance de energía'!$W$39</f>
        <v>0</v>
      </c>
      <c r="N21" s="749">
        <f t="shared" ref="N21:N30" si="2">SUM(C21:M21)</f>
        <v>90.029335500000002</v>
      </c>
      <c r="O21" s="429"/>
      <c r="P21" s="315"/>
      <c r="Q21" s="314"/>
      <c r="R21" s="207"/>
      <c r="S21" s="207"/>
      <c r="T21" s="207"/>
      <c r="U21" s="207"/>
      <c r="V21" s="207"/>
      <c r="W21" s="207"/>
      <c r="X21" s="207"/>
      <c r="Y21" s="207"/>
    </row>
    <row r="22" spans="1:25" s="301" customFormat="1" ht="15.95" customHeight="1">
      <c r="A22" s="298"/>
      <c r="B22" s="473" t="s">
        <v>277</v>
      </c>
      <c r="C22" s="749">
        <f>+'Balance de energía'!$X$29</f>
        <v>0</v>
      </c>
      <c r="D22" s="749">
        <f>+'Balance de energía'!$X$30</f>
        <v>0</v>
      </c>
      <c r="E22" s="749">
        <f>+'Balance de energía'!$X$31</f>
        <v>0</v>
      </c>
      <c r="F22" s="749">
        <f>+'Balance de energía'!$X$32</f>
        <v>0</v>
      </c>
      <c r="G22" s="749">
        <f>+'Balance de energía'!$X$33</f>
        <v>581.15</v>
      </c>
      <c r="H22" s="749">
        <f>+'Balance de energía'!$X$34</f>
        <v>0</v>
      </c>
      <c r="I22" s="749">
        <f>+'Balance de energía'!$X$35</f>
        <v>0</v>
      </c>
      <c r="J22" s="749">
        <f>+'Balance de energía'!$X$36</f>
        <v>0</v>
      </c>
      <c r="K22" s="749">
        <f>+'Balance de energía'!$X$37</f>
        <v>0</v>
      </c>
      <c r="L22" s="749">
        <f>+'Balance de energía'!$X$38</f>
        <v>0</v>
      </c>
      <c r="M22" s="749">
        <f>+'Balance de energía'!$X$39</f>
        <v>0</v>
      </c>
      <c r="N22" s="749">
        <f t="shared" si="2"/>
        <v>581.15</v>
      </c>
      <c r="O22" s="429"/>
      <c r="P22" s="315"/>
      <c r="Q22" s="314"/>
      <c r="R22" s="207"/>
      <c r="S22" s="207"/>
      <c r="T22" s="207"/>
      <c r="U22" s="207"/>
      <c r="V22" s="207"/>
      <c r="W22" s="207"/>
      <c r="X22" s="207"/>
      <c r="Y22" s="207"/>
    </row>
    <row r="23" spans="1:25" s="301" customFormat="1" ht="15.95" customHeight="1">
      <c r="A23" s="298"/>
      <c r="B23" s="473" t="s">
        <v>611</v>
      </c>
      <c r="C23" s="749">
        <f>+'Balance de energía'!$Y$29</f>
        <v>0</v>
      </c>
      <c r="D23" s="749">
        <f>+'Balance de energía'!$Y$30</f>
        <v>0</v>
      </c>
      <c r="E23" s="749">
        <f>+'Balance de energía'!$Y$31</f>
        <v>0</v>
      </c>
      <c r="F23" s="749">
        <f>+'Balance de energía'!$Y$32</f>
        <v>0</v>
      </c>
      <c r="G23" s="749">
        <f>+'Balance de energía'!$Y$33</f>
        <v>0</v>
      </c>
      <c r="H23" s="749">
        <f>+'Balance de energía'!$Y$34</f>
        <v>0</v>
      </c>
      <c r="I23" s="749">
        <f>+'Balance de energía'!$Y$35</f>
        <v>0</v>
      </c>
      <c r="J23" s="749">
        <f>+'Balance de energía'!$Y$36</f>
        <v>0</v>
      </c>
      <c r="K23" s="749">
        <f>+'Balance de energía'!$Y$37</f>
        <v>0</v>
      </c>
      <c r="L23" s="749">
        <f>+'Balance de energía'!$Y$38</f>
        <v>0</v>
      </c>
      <c r="M23" s="749">
        <f>+'Balance de energía'!$Y$39</f>
        <v>0</v>
      </c>
      <c r="N23" s="749">
        <f>SUM(C23:M23)</f>
        <v>0</v>
      </c>
      <c r="O23" s="429"/>
      <c r="P23" s="315"/>
      <c r="Q23" s="314"/>
      <c r="R23" s="207"/>
      <c r="S23" s="207"/>
      <c r="T23" s="207"/>
      <c r="U23" s="207"/>
      <c r="V23" s="207"/>
      <c r="W23" s="207"/>
      <c r="X23" s="207"/>
      <c r="Y23" s="207"/>
    </row>
    <row r="24" spans="1:25" s="301" customFormat="1" ht="15.95" customHeight="1">
      <c r="A24" s="298"/>
      <c r="B24" s="473" t="s">
        <v>478</v>
      </c>
      <c r="C24" s="749">
        <f>+'Balance de energía'!$Z$29</f>
        <v>0</v>
      </c>
      <c r="D24" s="749">
        <f>+'Balance de energía'!$Z$30</f>
        <v>0</v>
      </c>
      <c r="E24" s="749">
        <f>+'Balance de energía'!$Z$31</f>
        <v>0</v>
      </c>
      <c r="F24" s="749">
        <f>+'Balance de energía'!$Z$32</f>
        <v>0</v>
      </c>
      <c r="G24" s="749">
        <f>+'Balance de energía'!$Z$33</f>
        <v>151</v>
      </c>
      <c r="H24" s="749">
        <f>+'Balance de energía'!$Z$34</f>
        <v>0</v>
      </c>
      <c r="I24" s="749">
        <f>+'Balance de energía'!$Z$35</f>
        <v>0</v>
      </c>
      <c r="J24" s="749">
        <f>+'Balance de energía'!$Z$36</f>
        <v>0</v>
      </c>
      <c r="K24" s="749">
        <f>+'Balance de energía'!$Z$37</f>
        <v>0</v>
      </c>
      <c r="L24" s="749">
        <f>+'Balance de energía'!$Z$38</f>
        <v>0</v>
      </c>
      <c r="M24" s="749">
        <f>+'Balance de energía'!$Z$39</f>
        <v>0</v>
      </c>
      <c r="N24" s="749">
        <f t="shared" si="2"/>
        <v>151</v>
      </c>
      <c r="O24" s="429"/>
      <c r="P24" s="315"/>
      <c r="Q24" s="314"/>
      <c r="R24" s="207"/>
      <c r="S24" s="207"/>
      <c r="T24" s="207"/>
      <c r="U24" s="207"/>
      <c r="V24" s="207"/>
      <c r="W24" s="207"/>
      <c r="X24" s="207"/>
      <c r="Y24" s="207"/>
    </row>
    <row r="25" spans="1:25" s="301" customFormat="1" ht="15.95" customHeight="1">
      <c r="A25" s="298"/>
      <c r="B25" s="473" t="s">
        <v>279</v>
      </c>
      <c r="C25" s="749">
        <f>+'Balance de energía'!$AA$29</f>
        <v>0</v>
      </c>
      <c r="D25" s="749">
        <f>+'Balance de energía'!$AA$30</f>
        <v>0</v>
      </c>
      <c r="E25" s="749">
        <f>+'Balance de energía'!$AA$31</f>
        <v>0</v>
      </c>
      <c r="F25" s="749">
        <f>+'Balance de energía'!$AA$32</f>
        <v>0</v>
      </c>
      <c r="G25" s="749">
        <f>+'Balance de energía'!$AA$33</f>
        <v>0</v>
      </c>
      <c r="H25" s="749">
        <f>+'Balance de energía'!$AA$34</f>
        <v>0</v>
      </c>
      <c r="I25" s="749">
        <f>+'Balance de energía'!$AA$35</f>
        <v>0</v>
      </c>
      <c r="J25" s="749">
        <f>+'Balance de energía'!$AA$36</f>
        <v>2.08116E-4</v>
      </c>
      <c r="K25" s="749">
        <f>+'Balance de energía'!$AA$37</f>
        <v>3.0036000000000006E-4</v>
      </c>
      <c r="L25" s="749">
        <f>+'Balance de energía'!$AA$38</f>
        <v>1.1453558159999999</v>
      </c>
      <c r="M25" s="749">
        <f>+'Balance de energía'!$AA$39</f>
        <v>0</v>
      </c>
      <c r="N25" s="749">
        <f t="shared" si="2"/>
        <v>1.145864292</v>
      </c>
      <c r="O25" s="429"/>
      <c r="P25" s="315"/>
      <c r="Q25" s="314"/>
      <c r="R25" s="207"/>
      <c r="S25" s="207"/>
      <c r="T25" s="207"/>
      <c r="U25" s="207"/>
      <c r="V25" s="207"/>
      <c r="W25" s="207"/>
      <c r="X25" s="207"/>
      <c r="Y25" s="207"/>
    </row>
    <row r="26" spans="1:25" s="301" customFormat="1" ht="15.95" customHeight="1">
      <c r="A26" s="298"/>
      <c r="B26" s="473" t="s">
        <v>65</v>
      </c>
      <c r="C26" s="749">
        <f>+'Balance de energía'!$AB$29</f>
        <v>0</v>
      </c>
      <c r="D26" s="749">
        <f>+'Balance de energía'!$AB$30</f>
        <v>0</v>
      </c>
      <c r="E26" s="749">
        <f>+'Balance de energía'!$AB$31</f>
        <v>0</v>
      </c>
      <c r="F26" s="749">
        <f>+'Balance de energía'!$AB$32</f>
        <v>0</v>
      </c>
      <c r="G26" s="749">
        <f>+'Balance de energía'!$AB$33</f>
        <v>0</v>
      </c>
      <c r="H26" s="749">
        <f>+'Balance de energía'!$AB$34</f>
        <v>0</v>
      </c>
      <c r="I26" s="749">
        <f>+'Balance de energía'!$AB$35</f>
        <v>0</v>
      </c>
      <c r="J26" s="749">
        <f>+'Balance de energía'!$AB$36</f>
        <v>0</v>
      </c>
      <c r="K26" s="749">
        <f>+'Balance de energía'!$AB$37</f>
        <v>0</v>
      </c>
      <c r="L26" s="749">
        <f>+'Balance de energía'!$AB$38</f>
        <v>0</v>
      </c>
      <c r="M26" s="749">
        <f>+'Balance de energía'!$AB$39</f>
        <v>0</v>
      </c>
      <c r="N26" s="749">
        <f t="shared" si="2"/>
        <v>0</v>
      </c>
      <c r="O26" s="429"/>
      <c r="P26" s="315"/>
      <c r="Q26" s="314"/>
      <c r="R26" s="207"/>
      <c r="S26" s="207"/>
      <c r="T26" s="207"/>
      <c r="U26" s="207"/>
      <c r="V26" s="207"/>
      <c r="W26" s="207"/>
      <c r="X26" s="207"/>
      <c r="Y26" s="207"/>
    </row>
    <row r="27" spans="1:25" s="301" customFormat="1" ht="15.95" customHeight="1">
      <c r="A27" s="298"/>
      <c r="B27" s="473" t="s">
        <v>135</v>
      </c>
      <c r="C27" s="749">
        <f>+'Balance de energía'!$D$29</f>
        <v>947.17720216892417</v>
      </c>
      <c r="D27" s="749">
        <f>+'Balance de energía'!$D$30</f>
        <v>163.28589227799998</v>
      </c>
      <c r="E27" s="749">
        <f>+'Balance de energía'!$D$31</f>
        <v>0</v>
      </c>
      <c r="F27" s="749">
        <f>+'Balance de energía'!$D$32</f>
        <v>1018.121098660844</v>
      </c>
      <c r="G27" s="749">
        <f>+'Balance de energía'!$D$33</f>
        <v>345.61700000000002</v>
      </c>
      <c r="H27" s="749">
        <f>+'Balance de energía'!$D$34</f>
        <v>0</v>
      </c>
      <c r="I27" s="749">
        <f>+'Balance de energía'!$D$35</f>
        <v>104.858198479002</v>
      </c>
      <c r="J27" s="749">
        <f>+'Balance de energía'!$D$36</f>
        <v>8.5211316961649999</v>
      </c>
      <c r="K27" s="749">
        <f>+'Balance de energía'!$D$37</f>
        <v>43.563235262830005</v>
      </c>
      <c r="L27" s="749">
        <f>+'Balance de energía'!$D$38</f>
        <v>4470.6375332459193</v>
      </c>
      <c r="M27" s="749">
        <f>+'Balance de energía'!$D$39</f>
        <v>821.60901277361074</v>
      </c>
      <c r="N27" s="749">
        <f t="shared" si="2"/>
        <v>7923.3903045652951</v>
      </c>
      <c r="O27" s="429"/>
      <c r="P27" s="315"/>
      <c r="Q27" s="314"/>
      <c r="R27" s="207"/>
      <c r="S27" s="207"/>
      <c r="T27" s="207"/>
      <c r="U27" s="207"/>
      <c r="V27" s="207"/>
      <c r="W27" s="207"/>
      <c r="X27" s="207"/>
      <c r="Y27" s="207"/>
    </row>
    <row r="28" spans="1:25" s="301" customFormat="1" ht="15.95" customHeight="1">
      <c r="A28" s="298"/>
      <c r="B28" s="473" t="s">
        <v>41</v>
      </c>
      <c r="C28" s="749">
        <f>+'Balance de energía'!$E$29</f>
        <v>0.11522</v>
      </c>
      <c r="D28" s="749">
        <f>+'Balance de energía'!$E$30</f>
        <v>0</v>
      </c>
      <c r="E28" s="749">
        <f>+'Balance de energía'!$E$31</f>
        <v>510.12173239999998</v>
      </c>
      <c r="F28" s="749">
        <f>+'Balance de energía'!$E$32</f>
        <v>0</v>
      </c>
      <c r="G28" s="749">
        <f>+'Balance de energía'!$E$33</f>
        <v>0</v>
      </c>
      <c r="H28" s="749">
        <f>+'Balance de energía'!$E$34</f>
        <v>0</v>
      </c>
      <c r="I28" s="749">
        <f>+'Balance de energía'!$E$35</f>
        <v>6.9355000000000002</v>
      </c>
      <c r="J28" s="749">
        <f>+'Balance de energía'!$E$36</f>
        <v>713.51429099999996</v>
      </c>
      <c r="K28" s="749">
        <f>+'Balance de energía'!$E$37</f>
        <v>2.1235490000000001</v>
      </c>
      <c r="L28" s="749">
        <f>+'Balance de energía'!$E$38</f>
        <v>1438.8369417317099</v>
      </c>
      <c r="M28" s="749">
        <f>+'Balance de energía'!$E$39</f>
        <v>0</v>
      </c>
      <c r="N28" s="749">
        <f t="shared" si="2"/>
        <v>2671.6472341317099</v>
      </c>
      <c r="O28" s="429"/>
      <c r="P28" s="315"/>
      <c r="Q28" s="314"/>
      <c r="R28" s="207"/>
      <c r="S28" s="207"/>
      <c r="T28" s="207"/>
      <c r="U28" s="207"/>
      <c r="V28" s="207"/>
      <c r="W28" s="207"/>
      <c r="X28" s="207"/>
      <c r="Y28" s="207"/>
    </row>
    <row r="29" spans="1:25" s="301" customFormat="1" ht="15.95" customHeight="1">
      <c r="A29" s="298"/>
      <c r="B29" s="471" t="s">
        <v>447</v>
      </c>
      <c r="C29" s="749">
        <f>+'Balance de energía'!$F$29</f>
        <v>0</v>
      </c>
      <c r="D29" s="749">
        <f>+'Balance de energía'!$F$30</f>
        <v>0</v>
      </c>
      <c r="E29" s="749">
        <f>+'Balance de energía'!$F$31</f>
        <v>0</v>
      </c>
      <c r="F29" s="749">
        <f>+'Balance de energía'!$F$32</f>
        <v>14733.231729713581</v>
      </c>
      <c r="G29" s="749">
        <f>+'Balance de energía'!$F$33</f>
        <v>0</v>
      </c>
      <c r="H29" s="749">
        <f>+'Balance de energía'!$F$34</f>
        <v>0</v>
      </c>
      <c r="I29" s="749">
        <f>+'Balance de energía'!$F$35</f>
        <v>135.58374480519481</v>
      </c>
      <c r="J29" s="749">
        <f>+'Balance de energía'!$F$36</f>
        <v>0</v>
      </c>
      <c r="K29" s="749">
        <f>+'Balance de energía'!$F$37</f>
        <v>0</v>
      </c>
      <c r="L29" s="749">
        <f>+'Balance de energía'!$F$38</f>
        <v>4550.8636846780009</v>
      </c>
      <c r="M29" s="749">
        <f>+'Balance de energía'!$F$39</f>
        <v>9.1945720000000009</v>
      </c>
      <c r="N29" s="749">
        <f t="shared" si="2"/>
        <v>19428.873731196778</v>
      </c>
      <c r="O29" s="429"/>
      <c r="P29" s="315"/>
      <c r="Q29" s="314"/>
      <c r="R29" s="207"/>
      <c r="S29" s="207"/>
      <c r="T29" s="207"/>
      <c r="U29" s="207"/>
      <c r="V29" s="207"/>
      <c r="W29" s="207"/>
      <c r="X29" s="207"/>
      <c r="Y29" s="207"/>
    </row>
    <row r="30" spans="1:25" s="301" customFormat="1" ht="15.95" customHeight="1">
      <c r="A30" s="298"/>
      <c r="B30" s="473" t="s">
        <v>42</v>
      </c>
      <c r="C30" s="749">
        <f>+'Balance de energía'!$J$29</f>
        <v>0</v>
      </c>
      <c r="D30" s="749">
        <f>+'Balance de energía'!$J$30</f>
        <v>0</v>
      </c>
      <c r="E30" s="749">
        <f>+'Balance de energía'!$J$31</f>
        <v>0</v>
      </c>
      <c r="F30" s="749">
        <f>+'Balance de energía'!$J$32</f>
        <v>0</v>
      </c>
      <c r="G30" s="749">
        <f>+'Balance de energía'!$J$33</f>
        <v>0</v>
      </c>
      <c r="H30" s="749">
        <f>+'Balance de energía'!$J$34</f>
        <v>0</v>
      </c>
      <c r="I30" s="749">
        <f>+'Balance de energía'!$J$35</f>
        <v>0</v>
      </c>
      <c r="J30" s="749">
        <f>+'Balance de energía'!$J$36</f>
        <v>0</v>
      </c>
      <c r="K30" s="749">
        <f>+'Balance de energía'!$J$37</f>
        <v>0</v>
      </c>
      <c r="L30" s="749">
        <f>+'Balance de energía'!$J$38</f>
        <v>0</v>
      </c>
      <c r="M30" s="749">
        <f>+'Balance de energía'!$J$39</f>
        <v>0</v>
      </c>
      <c r="N30" s="749">
        <f t="shared" si="2"/>
        <v>0</v>
      </c>
      <c r="O30" s="429"/>
      <c r="P30" s="315"/>
      <c r="Q30" s="314"/>
      <c r="R30" s="207"/>
      <c r="S30" s="207"/>
      <c r="T30" s="207"/>
      <c r="U30" s="207"/>
      <c r="V30" s="207"/>
      <c r="W30" s="207"/>
      <c r="X30" s="207"/>
      <c r="Y30" s="207"/>
    </row>
    <row r="31" spans="1:25" s="301" customFormat="1" ht="15.95" customHeight="1">
      <c r="A31" s="298"/>
      <c r="B31" s="472" t="s">
        <v>33</v>
      </c>
      <c r="C31" s="455">
        <f>SUM(C20:C29)+C8</f>
        <v>37878.328116382734</v>
      </c>
      <c r="D31" s="455">
        <f t="shared" ref="D31:N31" si="3">SUM(D20:D29)+D8</f>
        <v>1619.9463674620001</v>
      </c>
      <c r="E31" s="455">
        <f t="shared" si="3"/>
        <v>1929.646279544</v>
      </c>
      <c r="F31" s="455">
        <f t="shared" si="3"/>
        <v>21877.165696394084</v>
      </c>
      <c r="G31" s="455">
        <f t="shared" si="3"/>
        <v>1428.8799257399999</v>
      </c>
      <c r="H31" s="455">
        <f t="shared" si="3"/>
        <v>70.996409128422698</v>
      </c>
      <c r="I31" s="455">
        <f t="shared" si="3"/>
        <v>2743.8608090636944</v>
      </c>
      <c r="J31" s="455">
        <f t="shared" si="3"/>
        <v>793.16260931156489</v>
      </c>
      <c r="K31" s="455">
        <f t="shared" si="3"/>
        <v>2256.1375221153894</v>
      </c>
      <c r="L31" s="455">
        <f t="shared" si="3"/>
        <v>33234.192605257478</v>
      </c>
      <c r="M31" s="455">
        <f t="shared" si="3"/>
        <v>6205.8977071992085</v>
      </c>
      <c r="N31" s="455">
        <f t="shared" si="3"/>
        <v>110038.21404759859</v>
      </c>
      <c r="O31" s="429"/>
      <c r="P31" s="315"/>
      <c r="Q31" s="314"/>
      <c r="R31" s="207"/>
      <c r="S31" s="207"/>
      <c r="T31" s="207"/>
      <c r="U31" s="207"/>
      <c r="V31" s="207"/>
      <c r="W31" s="207"/>
      <c r="X31" s="207"/>
      <c r="Y31" s="207"/>
    </row>
    <row r="32" spans="1:25">
      <c r="A32" s="298"/>
      <c r="B32" s="297"/>
      <c r="C32" s="215"/>
      <c r="D32" s="215"/>
      <c r="E32" s="215"/>
      <c r="F32" s="215"/>
      <c r="G32" s="215"/>
      <c r="H32" s="215"/>
      <c r="I32" s="215"/>
      <c r="J32" s="215"/>
      <c r="K32" s="215"/>
      <c r="L32" s="215"/>
      <c r="M32" s="215"/>
      <c r="N32" s="215"/>
      <c r="O32" s="15"/>
      <c r="P32" s="14"/>
      <c r="Q32" s="14"/>
    </row>
    <row r="33" spans="1:17">
      <c r="A33" s="175"/>
      <c r="B33" s="275" t="s">
        <v>15</v>
      </c>
      <c r="C33" s="215"/>
      <c r="D33" s="215"/>
      <c r="E33" s="215"/>
      <c r="F33" s="215"/>
      <c r="G33" s="215"/>
      <c r="H33" s="215"/>
      <c r="I33" s="215"/>
      <c r="J33" s="215"/>
      <c r="K33" s="215"/>
      <c r="L33" s="215"/>
      <c r="M33" s="215"/>
      <c r="N33" s="215"/>
      <c r="O33" s="15"/>
      <c r="P33" s="14"/>
      <c r="Q33" s="14"/>
    </row>
    <row r="34" spans="1:17">
      <c r="A34" s="175"/>
      <c r="B34" s="278"/>
      <c r="C34" s="192"/>
      <c r="D34" s="192"/>
      <c r="E34" s="192"/>
      <c r="F34" s="192"/>
      <c r="G34" s="192"/>
      <c r="H34" s="192"/>
      <c r="I34" s="192"/>
      <c r="J34" s="176"/>
      <c r="K34" s="194"/>
      <c r="L34" s="194"/>
      <c r="M34" s="194"/>
      <c r="N34" s="194"/>
      <c r="O34" s="8"/>
      <c r="P34" s="8"/>
      <c r="Q34" s="8"/>
    </row>
    <row r="35" spans="1:17">
      <c r="A35" s="175"/>
      <c r="B35" s="278" t="s">
        <v>631</v>
      </c>
      <c r="C35" s="192"/>
      <c r="D35" s="192"/>
      <c r="E35" s="192"/>
      <c r="F35" s="192"/>
      <c r="G35" s="192"/>
      <c r="H35" s="192"/>
      <c r="I35" s="192"/>
      <c r="J35" s="194"/>
      <c r="K35" s="194"/>
      <c r="L35" s="194"/>
      <c r="M35" s="194"/>
      <c r="N35" s="194"/>
      <c r="O35" s="8"/>
      <c r="P35" s="8"/>
      <c r="Q35" s="8"/>
    </row>
    <row r="36" spans="1:17">
      <c r="A36" s="175"/>
      <c r="B36" s="313" t="s">
        <v>630</v>
      </c>
      <c r="C36" s="180"/>
      <c r="D36" s="181"/>
      <c r="E36" s="181"/>
      <c r="F36" s="181"/>
      <c r="G36" s="168"/>
      <c r="H36" s="171"/>
      <c r="I36" s="162"/>
      <c r="J36" s="162"/>
      <c r="K36" s="162"/>
      <c r="L36" s="162"/>
      <c r="M36" s="162"/>
      <c r="N36" s="162"/>
      <c r="O36" s="5"/>
      <c r="P36" s="5"/>
      <c r="Q36" s="5"/>
    </row>
    <row r="37" spans="1:17">
      <c r="A37" s="175"/>
      <c r="B37" s="271" t="s">
        <v>338</v>
      </c>
      <c r="C37" s="171"/>
      <c r="D37" s="171"/>
      <c r="E37" s="171"/>
      <c r="F37" s="171"/>
      <c r="G37" s="171"/>
      <c r="H37" s="171"/>
      <c r="I37" s="162"/>
      <c r="J37" s="162"/>
      <c r="K37" s="162"/>
      <c r="L37" s="162"/>
      <c r="M37" s="162"/>
      <c r="N37" s="162"/>
      <c r="O37" s="5"/>
      <c r="P37" s="5"/>
      <c r="Q37" s="5"/>
    </row>
    <row r="38" spans="1:17">
      <c r="A38" s="175"/>
      <c r="B38" s="272" t="s">
        <v>293</v>
      </c>
      <c r="C38" s="171"/>
      <c r="D38" s="171"/>
      <c r="E38" s="171"/>
      <c r="F38" s="171"/>
      <c r="G38" s="171"/>
      <c r="H38" s="171"/>
      <c r="I38" s="162"/>
      <c r="J38" s="162"/>
      <c r="K38" s="162"/>
      <c r="L38" s="162"/>
      <c r="M38" s="162"/>
      <c r="N38" s="162"/>
      <c r="O38" s="5"/>
      <c r="P38" s="5"/>
      <c r="Q38" s="5"/>
    </row>
    <row r="39" spans="1:17">
      <c r="A39" s="175"/>
      <c r="B39" s="272" t="s">
        <v>527</v>
      </c>
      <c r="C39" s="171"/>
      <c r="D39" s="171"/>
      <c r="E39" s="171"/>
      <c r="F39" s="171"/>
      <c r="G39" s="171"/>
      <c r="H39" s="171"/>
      <c r="I39" s="162"/>
      <c r="J39" s="162"/>
      <c r="K39" s="162"/>
      <c r="L39" s="162"/>
      <c r="M39" s="162"/>
      <c r="N39" s="162"/>
      <c r="O39" s="5"/>
      <c r="P39" s="5"/>
      <c r="Q39" s="5"/>
    </row>
    <row r="40" spans="1:17">
      <c r="A40" s="175"/>
      <c r="B40" s="216"/>
      <c r="C40" s="216"/>
      <c r="D40" s="216"/>
      <c r="E40" s="216"/>
      <c r="F40" s="216"/>
      <c r="G40" s="216"/>
      <c r="H40" s="216"/>
      <c r="I40" s="216"/>
      <c r="J40" s="216"/>
      <c r="K40" s="216"/>
      <c r="L40" s="216"/>
      <c r="M40" s="216"/>
      <c r="N40" s="216"/>
      <c r="O40" s="13"/>
      <c r="P40" s="14"/>
      <c r="Q40" s="14"/>
    </row>
    <row r="41" spans="1:17">
      <c r="B41" s="14"/>
      <c r="C41" s="14"/>
      <c r="D41" s="14"/>
      <c r="E41" s="14"/>
      <c r="F41" s="14"/>
      <c r="G41" s="14"/>
      <c r="H41" s="14"/>
      <c r="I41" s="14"/>
      <c r="J41" s="14"/>
      <c r="K41" s="14"/>
      <c r="L41" s="14"/>
      <c r="M41" s="14"/>
      <c r="N41" s="14"/>
      <c r="O41" s="13"/>
      <c r="P41" s="14"/>
      <c r="Q41" s="14"/>
    </row>
    <row r="42" spans="1:17">
      <c r="B42" s="14"/>
      <c r="C42" s="14"/>
      <c r="D42" s="14"/>
      <c r="E42" s="14"/>
      <c r="F42" s="14"/>
      <c r="G42" s="14"/>
      <c r="H42" s="14"/>
      <c r="I42" s="14"/>
      <c r="J42" s="14"/>
      <c r="K42" s="14"/>
      <c r="L42" s="14"/>
      <c r="M42" s="14"/>
      <c r="N42" s="14"/>
      <c r="O42" s="13"/>
      <c r="P42" s="14"/>
      <c r="Q42" s="14"/>
    </row>
    <row r="43" spans="1:17">
      <c r="B43" s="14"/>
      <c r="C43" s="14"/>
      <c r="D43" s="14"/>
      <c r="E43" s="14"/>
      <c r="F43" s="14"/>
      <c r="G43" s="14"/>
      <c r="H43" s="14"/>
      <c r="I43" s="14"/>
      <c r="J43" s="14"/>
      <c r="K43" s="14"/>
      <c r="L43" s="14"/>
      <c r="M43" s="14"/>
      <c r="N43" s="14"/>
      <c r="O43" s="13"/>
      <c r="P43" s="14"/>
      <c r="Q43" s="14"/>
    </row>
    <row r="44" spans="1:17">
      <c r="B44" s="14"/>
      <c r="C44" s="14"/>
      <c r="D44" s="14"/>
      <c r="E44" s="14"/>
      <c r="F44" s="14"/>
      <c r="G44" s="14"/>
      <c r="H44" s="14"/>
      <c r="I44" s="14"/>
      <c r="J44" s="14"/>
      <c r="K44" s="14"/>
      <c r="L44" s="14"/>
      <c r="M44" s="14"/>
      <c r="N44" s="14"/>
      <c r="O44" s="13"/>
      <c r="P44" s="14"/>
      <c r="Q44" s="14"/>
    </row>
    <row r="45" spans="1:17">
      <c r="B45" s="14"/>
      <c r="C45" s="14"/>
      <c r="D45" s="14"/>
      <c r="E45" s="14"/>
      <c r="F45" s="14"/>
      <c r="G45" s="14"/>
      <c r="H45" s="14"/>
      <c r="I45" s="14"/>
      <c r="J45" s="14"/>
      <c r="K45" s="14"/>
      <c r="L45" s="14"/>
      <c r="M45" s="14"/>
      <c r="N45" s="14"/>
      <c r="O45" s="13"/>
      <c r="P45" s="14"/>
      <c r="Q45" s="14"/>
    </row>
    <row r="46" spans="1:17">
      <c r="B46" s="14"/>
      <c r="C46" s="14"/>
      <c r="D46" s="14"/>
      <c r="E46" s="14"/>
      <c r="F46" s="14"/>
      <c r="G46" s="14"/>
      <c r="H46" s="14"/>
      <c r="I46" s="14"/>
      <c r="J46" s="14"/>
      <c r="K46" s="14"/>
      <c r="L46" s="14"/>
      <c r="M46" s="14"/>
      <c r="N46" s="14"/>
      <c r="O46" s="13"/>
      <c r="P46" s="14"/>
      <c r="Q46" s="14"/>
    </row>
    <row r="47" spans="1:17">
      <c r="B47" s="14"/>
      <c r="C47" s="14"/>
      <c r="D47" s="14"/>
      <c r="E47" s="14"/>
      <c r="F47" s="14"/>
      <c r="G47" s="14"/>
      <c r="H47" s="14"/>
      <c r="I47" s="14"/>
      <c r="J47" s="14"/>
      <c r="K47" s="14"/>
      <c r="L47" s="14"/>
      <c r="M47" s="14"/>
      <c r="N47" s="14"/>
      <c r="O47" s="13"/>
      <c r="P47" s="14"/>
      <c r="Q47" s="14"/>
    </row>
    <row r="48" spans="1:17">
      <c r="B48" s="14"/>
      <c r="C48" s="14"/>
      <c r="D48" s="14"/>
      <c r="E48" s="14"/>
      <c r="F48" s="14"/>
      <c r="G48" s="14"/>
      <c r="H48" s="14"/>
      <c r="I48" s="14"/>
      <c r="J48" s="14"/>
      <c r="K48" s="14"/>
      <c r="L48" s="14"/>
      <c r="M48" s="14"/>
      <c r="N48" s="14"/>
      <c r="O48" s="13"/>
      <c r="P48" s="14"/>
      <c r="Q48" s="14"/>
    </row>
    <row r="49" spans="2:17">
      <c r="B49" s="14"/>
      <c r="C49" s="14"/>
      <c r="D49" s="14"/>
      <c r="E49" s="14"/>
      <c r="F49" s="14"/>
      <c r="G49" s="14"/>
      <c r="H49" s="14"/>
      <c r="I49" s="14"/>
      <c r="J49" s="14"/>
      <c r="K49" s="14"/>
      <c r="L49" s="14"/>
      <c r="M49" s="14"/>
      <c r="N49" s="14"/>
      <c r="O49" s="13"/>
      <c r="P49" s="14"/>
      <c r="Q49" s="14"/>
    </row>
    <row r="50" spans="2:17">
      <c r="B50" s="14"/>
      <c r="C50" s="14"/>
      <c r="D50" s="14"/>
      <c r="E50" s="14"/>
      <c r="F50" s="14"/>
      <c r="G50" s="14"/>
      <c r="H50" s="14"/>
      <c r="I50" s="14"/>
      <c r="J50" s="14"/>
      <c r="K50" s="14"/>
      <c r="L50" s="14"/>
      <c r="M50" s="14"/>
      <c r="N50" s="14"/>
      <c r="O50" s="13"/>
      <c r="P50" s="14"/>
      <c r="Q50" s="14"/>
    </row>
    <row r="51" spans="2:17">
      <c r="B51" s="14"/>
      <c r="C51" s="14"/>
      <c r="D51" s="14"/>
      <c r="E51" s="14"/>
      <c r="F51" s="14"/>
      <c r="G51" s="14"/>
      <c r="H51" s="14"/>
      <c r="I51" s="14"/>
      <c r="J51" s="14"/>
      <c r="K51" s="14"/>
      <c r="L51" s="14"/>
      <c r="M51" s="14"/>
      <c r="N51" s="14"/>
      <c r="O51" s="13"/>
      <c r="P51" s="14"/>
      <c r="Q51" s="14"/>
    </row>
    <row r="52" spans="2:17">
      <c r="B52" s="14"/>
      <c r="C52" s="14"/>
      <c r="D52" s="14"/>
      <c r="E52" s="14"/>
      <c r="F52" s="14"/>
      <c r="G52" s="14"/>
      <c r="H52" s="14"/>
      <c r="I52" s="14"/>
      <c r="J52" s="14"/>
      <c r="K52" s="14"/>
      <c r="L52" s="14"/>
      <c r="M52" s="14"/>
      <c r="N52" s="14"/>
      <c r="O52" s="13"/>
      <c r="P52" s="14"/>
      <c r="Q52" s="14"/>
    </row>
    <row r="53" spans="2:17">
      <c r="B53" s="14"/>
      <c r="C53" s="14"/>
      <c r="D53" s="14"/>
      <c r="E53" s="14"/>
      <c r="F53" s="14"/>
      <c r="G53" s="14"/>
      <c r="H53" s="14"/>
      <c r="I53" s="14"/>
      <c r="J53" s="14"/>
      <c r="K53" s="14"/>
      <c r="L53" s="14"/>
      <c r="M53" s="14"/>
      <c r="N53" s="14"/>
      <c r="O53" s="13"/>
      <c r="P53" s="14"/>
      <c r="Q53" s="14"/>
    </row>
    <row r="54" spans="2:17">
      <c r="B54" s="14"/>
      <c r="C54" s="14"/>
      <c r="D54" s="14"/>
      <c r="E54" s="14"/>
      <c r="F54" s="14"/>
      <c r="G54" s="14"/>
      <c r="H54" s="14"/>
      <c r="I54" s="14"/>
      <c r="J54" s="14"/>
      <c r="K54" s="14"/>
      <c r="L54" s="14"/>
      <c r="M54" s="14"/>
      <c r="N54" s="14"/>
      <c r="O54" s="13"/>
      <c r="P54" s="14"/>
      <c r="Q54" s="14"/>
    </row>
    <row r="55" spans="2:17">
      <c r="B55" s="14"/>
      <c r="C55" s="14"/>
      <c r="D55" s="14"/>
      <c r="E55" s="14"/>
      <c r="F55" s="14"/>
      <c r="G55" s="14"/>
      <c r="H55" s="14"/>
      <c r="I55" s="14"/>
      <c r="J55" s="14"/>
      <c r="K55" s="14"/>
      <c r="L55" s="14"/>
      <c r="M55" s="14"/>
      <c r="N55" s="14"/>
      <c r="O55" s="13"/>
      <c r="P55" s="14"/>
      <c r="Q55" s="14"/>
    </row>
    <row r="56" spans="2:17">
      <c r="B56" s="2"/>
      <c r="C56" s="2"/>
      <c r="D56" s="2"/>
      <c r="E56" s="2"/>
      <c r="F56" s="2"/>
      <c r="G56" s="2"/>
      <c r="H56" s="2"/>
      <c r="I56" s="2"/>
      <c r="J56" s="2"/>
      <c r="K56" s="2"/>
      <c r="L56" s="2"/>
      <c r="M56" s="2"/>
      <c r="N56" s="2"/>
    </row>
    <row r="57" spans="2:17">
      <c r="B57" s="2"/>
      <c r="C57" s="2"/>
      <c r="D57" s="2"/>
      <c r="E57" s="2"/>
      <c r="F57" s="2"/>
      <c r="G57" s="2"/>
      <c r="H57" s="2"/>
      <c r="I57" s="2"/>
      <c r="J57" s="2"/>
      <c r="K57" s="2"/>
      <c r="L57" s="2"/>
      <c r="M57" s="2"/>
      <c r="N57" s="2"/>
    </row>
    <row r="58" spans="2:17">
      <c r="B58" s="2"/>
      <c r="C58" s="2"/>
      <c r="D58" s="2"/>
      <c r="E58" s="2"/>
      <c r="F58" s="2"/>
      <c r="G58" s="2"/>
      <c r="H58" s="2"/>
      <c r="I58" s="2"/>
      <c r="J58" s="2"/>
      <c r="K58" s="2"/>
      <c r="L58" s="2"/>
      <c r="M58" s="2"/>
      <c r="N58" s="2"/>
    </row>
    <row r="59" spans="2:17">
      <c r="B59" s="2"/>
      <c r="C59" s="2"/>
      <c r="D59" s="2"/>
      <c r="E59" s="2"/>
      <c r="F59" s="2"/>
      <c r="G59" s="2"/>
      <c r="H59" s="2"/>
      <c r="I59" s="2"/>
      <c r="J59" s="2"/>
      <c r="K59" s="2"/>
      <c r="L59" s="2"/>
      <c r="M59" s="2"/>
      <c r="N59" s="2"/>
    </row>
    <row r="60" spans="2:17">
      <c r="B60" s="2"/>
      <c r="C60" s="2"/>
      <c r="D60" s="2"/>
      <c r="E60" s="2"/>
      <c r="F60" s="2"/>
      <c r="G60" s="2"/>
      <c r="H60" s="2"/>
      <c r="I60" s="2"/>
      <c r="J60" s="2"/>
      <c r="K60" s="2"/>
      <c r="L60" s="2"/>
      <c r="M60" s="2"/>
      <c r="N60" s="2"/>
    </row>
    <row r="61" spans="2:17">
      <c r="B61" s="2"/>
      <c r="C61" s="2"/>
      <c r="D61" s="2"/>
      <c r="E61" s="2"/>
      <c r="F61" s="2"/>
      <c r="G61" s="2"/>
      <c r="H61" s="2"/>
      <c r="I61" s="2"/>
      <c r="J61" s="2"/>
      <c r="K61" s="2"/>
      <c r="L61" s="2"/>
      <c r="M61" s="2"/>
      <c r="N61" s="2"/>
    </row>
    <row r="62" spans="2:17">
      <c r="B62" s="2"/>
      <c r="C62" s="2"/>
      <c r="D62" s="2"/>
      <c r="E62" s="2"/>
      <c r="F62" s="2"/>
      <c r="G62" s="2"/>
      <c r="H62" s="2"/>
      <c r="I62" s="2"/>
      <c r="J62" s="2"/>
      <c r="K62" s="2"/>
      <c r="L62" s="2"/>
      <c r="M62" s="2"/>
      <c r="N62" s="2"/>
    </row>
    <row r="63" spans="2:17">
      <c r="B63" s="2"/>
      <c r="C63" s="2"/>
      <c r="D63" s="2"/>
      <c r="E63" s="2"/>
      <c r="F63" s="2"/>
      <c r="G63" s="2"/>
      <c r="H63" s="2"/>
      <c r="I63" s="2"/>
      <c r="J63" s="2"/>
      <c r="K63" s="2"/>
      <c r="L63" s="2"/>
      <c r="M63" s="2"/>
      <c r="N63" s="2"/>
    </row>
    <row r="64" spans="2:17">
      <c r="B64" s="2"/>
      <c r="C64" s="2"/>
      <c r="D64" s="2"/>
      <c r="E64" s="2"/>
      <c r="F64" s="2"/>
      <c r="G64" s="2"/>
      <c r="H64" s="2"/>
      <c r="I64" s="2"/>
      <c r="J64" s="2"/>
      <c r="K64" s="2"/>
      <c r="L64" s="2"/>
      <c r="M64" s="2"/>
      <c r="N64" s="2"/>
    </row>
    <row r="65" spans="3:14" s="2" customFormat="1"/>
    <row r="66" spans="3:14" s="2" customFormat="1"/>
    <row r="67" spans="3:14" s="2" customFormat="1"/>
    <row r="68" spans="3:14" s="2" customFormat="1"/>
    <row r="69" spans="3:14" s="2" customFormat="1"/>
    <row r="70" spans="3:14" s="2" customFormat="1"/>
    <row r="71" spans="3:14" s="2" customFormat="1"/>
    <row r="72" spans="3:14" s="2" customFormat="1"/>
    <row r="73" spans="3:14" s="2" customFormat="1"/>
    <row r="74" spans="3:14" s="2" customFormat="1"/>
    <row r="75" spans="3:14" s="2" customFormat="1"/>
    <row r="76" spans="3:14" s="2" customFormat="1"/>
    <row r="77" spans="3:14" s="2" customFormat="1"/>
    <row r="78" spans="3:14" s="2" customFormat="1"/>
    <row r="79" spans="3:14">
      <c r="C79" s="2"/>
      <c r="D79" s="2"/>
      <c r="E79" s="2"/>
      <c r="F79" s="2"/>
      <c r="G79" s="2"/>
      <c r="H79" s="2"/>
      <c r="I79" s="2"/>
      <c r="J79" s="2"/>
      <c r="K79" s="2"/>
      <c r="L79" s="2"/>
      <c r="M79" s="2"/>
      <c r="N79" s="2"/>
    </row>
    <row r="80" spans="3:14">
      <c r="C80" s="2"/>
      <c r="D80" s="2"/>
      <c r="E80" s="2"/>
      <c r="F80" s="2"/>
      <c r="G80" s="2"/>
      <c r="H80" s="2"/>
      <c r="I80" s="2"/>
      <c r="J80" s="2"/>
      <c r="K80" s="2"/>
      <c r="L80" s="2"/>
      <c r="M80" s="2"/>
      <c r="N80" s="2"/>
    </row>
    <row r="81" spans="3:14">
      <c r="C81" s="2"/>
      <c r="D81" s="2"/>
      <c r="E81" s="2"/>
      <c r="F81" s="2"/>
      <c r="G81" s="2"/>
      <c r="H81" s="2"/>
      <c r="I81" s="2"/>
      <c r="J81" s="2"/>
      <c r="K81" s="2"/>
      <c r="L81" s="2"/>
      <c r="M81" s="2"/>
      <c r="N81" s="2"/>
    </row>
    <row r="82" spans="3:14">
      <c r="C82" s="2"/>
      <c r="D82" s="2"/>
      <c r="E82" s="2"/>
      <c r="F82" s="2"/>
      <c r="G82" s="2"/>
      <c r="H82" s="2"/>
      <c r="I82" s="2"/>
      <c r="J82" s="2"/>
      <c r="K82" s="2"/>
      <c r="L82" s="2"/>
      <c r="M82" s="2"/>
      <c r="N82" s="2"/>
    </row>
    <row r="83" spans="3:14">
      <c r="C83" s="2"/>
      <c r="D83" s="2"/>
      <c r="E83" s="2"/>
      <c r="F83" s="2"/>
      <c r="G83" s="2"/>
      <c r="H83" s="2"/>
      <c r="I83" s="2"/>
      <c r="J83" s="2"/>
      <c r="K83" s="2"/>
      <c r="L83" s="2"/>
      <c r="M83" s="2"/>
      <c r="N83" s="2"/>
    </row>
    <row r="84" spans="3:14">
      <c r="C84" s="2"/>
      <c r="D84" s="2"/>
      <c r="E84" s="2"/>
      <c r="F84" s="2"/>
      <c r="G84" s="2"/>
      <c r="H84" s="2"/>
      <c r="I84" s="2"/>
      <c r="J84" s="2"/>
      <c r="K84" s="2"/>
      <c r="L84" s="2"/>
      <c r="M84" s="2"/>
      <c r="N84" s="2"/>
    </row>
    <row r="85" spans="3:14">
      <c r="C85" s="2"/>
      <c r="D85" s="2"/>
      <c r="E85" s="2"/>
      <c r="F85" s="2"/>
      <c r="G85" s="2"/>
      <c r="H85" s="2"/>
      <c r="I85" s="2"/>
      <c r="J85" s="2"/>
      <c r="K85" s="2"/>
      <c r="L85" s="2"/>
      <c r="M85" s="2"/>
      <c r="N85" s="2"/>
    </row>
    <row r="86" spans="3:14">
      <c r="C86" s="2"/>
      <c r="D86" s="2"/>
      <c r="E86" s="2"/>
      <c r="F86" s="2"/>
      <c r="G86" s="2"/>
      <c r="H86" s="2"/>
      <c r="I86" s="2"/>
      <c r="J86" s="2"/>
      <c r="K86" s="2"/>
      <c r="L86" s="2"/>
      <c r="M86" s="2"/>
      <c r="N86" s="2"/>
    </row>
    <row r="87" spans="3:14">
      <c r="C87" s="2"/>
      <c r="D87" s="2"/>
      <c r="E87" s="2"/>
      <c r="F87" s="2"/>
      <c r="G87" s="2"/>
      <c r="H87" s="2"/>
      <c r="I87" s="2"/>
      <c r="J87" s="2"/>
      <c r="K87" s="2"/>
      <c r="L87" s="2"/>
      <c r="M87" s="2"/>
      <c r="N87" s="2"/>
    </row>
    <row r="88" spans="3:14">
      <c r="C88" s="2"/>
      <c r="D88" s="2"/>
      <c r="E88" s="2"/>
      <c r="F88" s="2"/>
      <c r="G88" s="2"/>
      <c r="H88" s="2"/>
      <c r="I88" s="2"/>
      <c r="J88" s="2"/>
      <c r="K88" s="2"/>
      <c r="L88" s="2"/>
      <c r="M88" s="2"/>
      <c r="N88" s="2"/>
    </row>
  </sheetData>
  <mergeCells count="17">
    <mergeCell ref="N6:N7"/>
    <mergeCell ref="F6:F7"/>
    <mergeCell ref="L6:L7"/>
    <mergeCell ref="M6:M7"/>
    <mergeCell ref="B2:N2"/>
    <mergeCell ref="B3:N3"/>
    <mergeCell ref="B4:N4"/>
    <mergeCell ref="B5:N5"/>
    <mergeCell ref="B6:B7"/>
    <mergeCell ref="C6:C7"/>
    <mergeCell ref="D6:D7"/>
    <mergeCell ref="E6:E7"/>
    <mergeCell ref="G6:G7"/>
    <mergeCell ref="H6:H7"/>
    <mergeCell ref="I6:I7"/>
    <mergeCell ref="J6:J7"/>
    <mergeCell ref="K6:K7"/>
  </mergeCells>
  <phoneticPr fontId="0" type="noConversion"/>
  <hyperlinks>
    <hyperlink ref="P2" location="Índice!A1" display="VOLVER A INDICE"/>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theme="9" tint="0.39997558519241921"/>
  </sheetPr>
  <dimension ref="A1:U84"/>
  <sheetViews>
    <sheetView workbookViewId="0">
      <selection sqref="A1:A2"/>
    </sheetView>
  </sheetViews>
  <sheetFormatPr baseColWidth="10" defaultRowHeight="12.75" outlineLevelRow="1"/>
  <cols>
    <col min="1" max="1" width="1.42578125" style="134" customWidth="1"/>
    <col min="2" max="2" width="30.42578125" style="134" customWidth="1"/>
    <col min="3" max="4" width="11.42578125" style="134"/>
    <col min="5" max="5" width="13.28515625" style="134" bestFit="1" customWidth="1"/>
    <col min="6" max="6" width="12.85546875" style="134" customWidth="1"/>
    <col min="7" max="7" width="11.42578125" style="134"/>
    <col min="8" max="14" width="11.42578125" style="2"/>
    <col min="15" max="16384" width="11.42578125" style="134"/>
  </cols>
  <sheetData>
    <row r="1" spans="1:21" ht="6.75" customHeight="1">
      <c r="A1" s="175"/>
      <c r="B1" s="175"/>
      <c r="C1" s="175"/>
      <c r="D1" s="175"/>
      <c r="E1" s="175"/>
      <c r="F1" s="175"/>
      <c r="G1" s="175"/>
      <c r="H1" s="24"/>
    </row>
    <row r="2" spans="1:21" ht="15.95" customHeight="1">
      <c r="A2" s="175"/>
      <c r="B2" s="836" t="s">
        <v>127</v>
      </c>
      <c r="C2" s="836"/>
      <c r="D2" s="836" t="s">
        <v>127</v>
      </c>
      <c r="E2" s="836"/>
      <c r="F2" s="836"/>
      <c r="H2" s="699" t="s">
        <v>229</v>
      </c>
      <c r="I2" s="16"/>
      <c r="J2" s="16"/>
    </row>
    <row r="3" spans="1:21" ht="15.95" customHeight="1">
      <c r="A3" s="175"/>
      <c r="B3" s="836" t="s">
        <v>346</v>
      </c>
      <c r="C3" s="836"/>
      <c r="D3" s="836"/>
      <c r="E3" s="836"/>
      <c r="F3" s="836"/>
      <c r="H3" s="309"/>
      <c r="I3" s="16"/>
      <c r="J3" s="16"/>
    </row>
    <row r="4" spans="1:21" ht="15.95" customHeight="1">
      <c r="A4" s="175"/>
      <c r="B4" s="836" t="s">
        <v>446</v>
      </c>
      <c r="C4" s="836"/>
      <c r="D4" s="836"/>
      <c r="E4" s="836"/>
      <c r="F4" s="836"/>
      <c r="G4" s="422"/>
      <c r="I4" s="16"/>
      <c r="J4" s="16"/>
    </row>
    <row r="5" spans="1:21" ht="15.95" customHeight="1">
      <c r="A5" s="175"/>
      <c r="B5" s="836" t="s">
        <v>342</v>
      </c>
      <c r="C5" s="836"/>
      <c r="D5" s="836"/>
      <c r="E5" s="836"/>
      <c r="F5" s="836"/>
      <c r="G5" s="423"/>
      <c r="H5" s="217"/>
      <c r="I5" s="16"/>
      <c r="J5" s="16"/>
    </row>
    <row r="6" spans="1:21" s="301" customFormat="1" ht="15.95" customHeight="1">
      <c r="A6" s="298"/>
      <c r="B6" s="454" t="s">
        <v>253</v>
      </c>
      <c r="C6" s="454" t="s">
        <v>59</v>
      </c>
      <c r="D6" s="454" t="s">
        <v>60</v>
      </c>
      <c r="E6" s="454" t="s">
        <v>61</v>
      </c>
      <c r="F6" s="454" t="s">
        <v>33</v>
      </c>
      <c r="G6" s="477"/>
      <c r="H6" s="299"/>
      <c r="I6" s="300"/>
      <c r="J6" s="300"/>
      <c r="K6" s="207"/>
      <c r="L6" s="207"/>
      <c r="M6" s="207"/>
      <c r="N6" s="207"/>
    </row>
    <row r="7" spans="1:21" s="301" customFormat="1" ht="15.95" customHeight="1">
      <c r="A7" s="298"/>
      <c r="B7" s="473" t="s">
        <v>345</v>
      </c>
      <c r="C7" s="749">
        <f>SUM(C8:C18)</f>
        <v>3682.7084283488248</v>
      </c>
      <c r="D7" s="749">
        <f>SUM(D8:D18)</f>
        <v>717.40298815901372</v>
      </c>
      <c r="E7" s="749">
        <f>SUM(E8:E18)</f>
        <v>10330.877151640914</v>
      </c>
      <c r="F7" s="749">
        <f>SUM(F8:F18)</f>
        <v>14730.988568148752</v>
      </c>
      <c r="G7" s="478"/>
      <c r="H7" s="299"/>
      <c r="I7" s="300"/>
      <c r="J7" s="300"/>
      <c r="K7" s="207"/>
      <c r="L7" s="207"/>
      <c r="M7" s="207"/>
      <c r="N7" s="207"/>
      <c r="O7" s="207"/>
      <c r="P7" s="207"/>
      <c r="Q7" s="207"/>
      <c r="R7" s="207"/>
      <c r="S7" s="207"/>
      <c r="T7" s="207"/>
      <c r="U7" s="207"/>
    </row>
    <row r="8" spans="1:21" s="301" customFormat="1" ht="15.95" customHeight="1" outlineLevel="1">
      <c r="A8" s="298"/>
      <c r="B8" s="469" t="s">
        <v>269</v>
      </c>
      <c r="C8" s="748">
        <f>+'Balance de energía'!$K$46</f>
        <v>2422.2729363759086</v>
      </c>
      <c r="D8" s="748">
        <f>+'Balance de energía'!$K$47</f>
        <v>121.64917437301375</v>
      </c>
      <c r="E8" s="748">
        <f>+'Balance de energía'!$K$48</f>
        <v>0</v>
      </c>
      <c r="F8" s="749">
        <f>SUM(C8:E8)</f>
        <v>2543.9221107489225</v>
      </c>
      <c r="G8" s="478"/>
      <c r="H8" s="299"/>
      <c r="I8" s="300"/>
      <c r="J8" s="300"/>
      <c r="K8" s="207"/>
      <c r="L8" s="207"/>
      <c r="M8" s="207"/>
      <c r="N8" s="207"/>
      <c r="O8" s="207"/>
      <c r="P8" s="207"/>
      <c r="Q8" s="207"/>
      <c r="R8" s="207"/>
      <c r="S8" s="207"/>
      <c r="T8" s="207"/>
      <c r="U8" s="207"/>
    </row>
    <row r="9" spans="1:21" s="301" customFormat="1" ht="15.95" customHeight="1" outlineLevel="1">
      <c r="A9" s="298"/>
      <c r="B9" s="469" t="s">
        <v>270</v>
      </c>
      <c r="C9" s="748">
        <f>+'Balance de energía'!$L$46</f>
        <v>66.580500000000001</v>
      </c>
      <c r="D9" s="748">
        <f>+'Balance de energía'!$L$47</f>
        <v>33.642000000000003</v>
      </c>
      <c r="E9" s="748">
        <f>+'Balance de energía'!$L$48</f>
        <v>0</v>
      </c>
      <c r="F9" s="749">
        <f t="shared" ref="F9:F29" si="0">SUM(C9:E9)</f>
        <v>100.2225</v>
      </c>
      <c r="G9" s="478"/>
      <c r="H9" s="299"/>
      <c r="I9" s="300"/>
      <c r="J9" s="300"/>
      <c r="K9" s="207"/>
      <c r="L9" s="207"/>
      <c r="M9" s="207"/>
      <c r="N9" s="207"/>
      <c r="O9" s="207"/>
      <c r="P9" s="207"/>
      <c r="Q9" s="207"/>
      <c r="R9" s="207"/>
      <c r="S9" s="207"/>
      <c r="T9" s="207"/>
      <c r="U9" s="207"/>
    </row>
    <row r="10" spans="1:21" s="301" customFormat="1" ht="15.95" customHeight="1" outlineLevel="1">
      <c r="A10" s="298"/>
      <c r="B10" s="469" t="s">
        <v>330</v>
      </c>
      <c r="C10" s="748">
        <f>+'Balance de energía'!$M$46</f>
        <v>0</v>
      </c>
      <c r="D10" s="748">
        <f>+'Balance de energía'!$M$47</f>
        <v>0</v>
      </c>
      <c r="E10" s="748">
        <f>+'Balance de energía'!$M$48</f>
        <v>0</v>
      </c>
      <c r="F10" s="749">
        <f t="shared" si="0"/>
        <v>0</v>
      </c>
      <c r="G10" s="478"/>
      <c r="H10" s="299"/>
      <c r="I10" s="300"/>
      <c r="J10" s="300"/>
      <c r="K10" s="207"/>
      <c r="L10" s="207"/>
      <c r="M10" s="207"/>
      <c r="N10" s="207"/>
      <c r="O10" s="207"/>
      <c r="P10" s="207"/>
      <c r="Q10" s="207"/>
      <c r="R10" s="207"/>
      <c r="S10" s="207"/>
      <c r="T10" s="207"/>
      <c r="U10" s="207"/>
    </row>
    <row r="11" spans="1:21" s="301" customFormat="1" ht="15.95" customHeight="1" outlineLevel="1">
      <c r="A11" s="298"/>
      <c r="B11" s="469" t="s">
        <v>38</v>
      </c>
      <c r="C11" s="748">
        <f>+'Balance de energía'!$N$46</f>
        <v>14.853753446498978</v>
      </c>
      <c r="D11" s="748">
        <f>+'Balance de energía'!$N$47</f>
        <v>10.232171586000003</v>
      </c>
      <c r="E11" s="748">
        <f>+'Balance de energía'!$N$48</f>
        <v>1335.7076495068425</v>
      </c>
      <c r="F11" s="749">
        <f t="shared" si="0"/>
        <v>1360.7935745393415</v>
      </c>
      <c r="G11" s="478"/>
      <c r="H11" s="302"/>
      <c r="I11" s="303"/>
      <c r="J11" s="300"/>
      <c r="K11" s="207"/>
      <c r="L11" s="207"/>
      <c r="M11" s="207"/>
      <c r="N11" s="207"/>
      <c r="O11" s="207"/>
      <c r="P11" s="207"/>
      <c r="Q11" s="207"/>
      <c r="R11" s="207"/>
      <c r="S11" s="207"/>
      <c r="T11" s="207"/>
      <c r="U11" s="207"/>
    </row>
    <row r="12" spans="1:21" s="301" customFormat="1" ht="15.95" customHeight="1" outlineLevel="1">
      <c r="A12" s="298"/>
      <c r="B12" s="469" t="s">
        <v>271</v>
      </c>
      <c r="C12" s="748">
        <f>+'Balance de energía'!$O$46</f>
        <v>1107.7239553929999</v>
      </c>
      <c r="D12" s="748">
        <f>+'Balance de energía'!$O$47</f>
        <v>218.07977619999997</v>
      </c>
      <c r="E12" s="748">
        <f>+'Balance de energía'!$O$48</f>
        <v>8995.1695021340711</v>
      </c>
      <c r="F12" s="749">
        <f t="shared" si="0"/>
        <v>10320.973233727071</v>
      </c>
      <c r="G12" s="478"/>
      <c r="H12" s="302"/>
      <c r="I12" s="303"/>
      <c r="J12" s="300"/>
      <c r="K12" s="207"/>
      <c r="L12" s="207"/>
      <c r="M12" s="207"/>
      <c r="N12" s="207"/>
      <c r="O12" s="207"/>
      <c r="P12" s="207"/>
      <c r="Q12" s="207"/>
      <c r="R12" s="207"/>
      <c r="S12" s="207"/>
      <c r="T12" s="207"/>
      <c r="U12" s="207"/>
    </row>
    <row r="13" spans="1:21" s="301" customFormat="1" ht="15.95" customHeight="1" outlineLevel="1">
      <c r="A13" s="298"/>
      <c r="B13" s="469" t="s">
        <v>272</v>
      </c>
      <c r="C13" s="748">
        <f>+'Balance de energía'!$P$46</f>
        <v>1.7979460194174754</v>
      </c>
      <c r="D13" s="748">
        <f>+'Balance de energía'!$P$47</f>
        <v>0</v>
      </c>
      <c r="E13" s="748">
        <f>+'Balance de energía'!$P$48</f>
        <v>0</v>
      </c>
      <c r="F13" s="749">
        <f t="shared" si="0"/>
        <v>1.7979460194174754</v>
      </c>
      <c r="G13" s="478"/>
      <c r="H13" s="302"/>
      <c r="I13" s="303"/>
      <c r="J13" s="300"/>
      <c r="K13" s="207"/>
      <c r="L13" s="207"/>
      <c r="M13" s="207"/>
      <c r="N13" s="207"/>
      <c r="O13" s="207"/>
      <c r="P13" s="207"/>
      <c r="Q13" s="207"/>
      <c r="R13" s="207"/>
      <c r="S13" s="207"/>
      <c r="T13" s="207"/>
      <c r="U13" s="207"/>
    </row>
    <row r="14" spans="1:21" s="301" customFormat="1" ht="15.95" customHeight="1" outlineLevel="1">
      <c r="A14" s="298"/>
      <c r="B14" s="469" t="s">
        <v>273</v>
      </c>
      <c r="C14" s="748">
        <f>+'Balance de energía'!$Q$46</f>
        <v>69.479337113999989</v>
      </c>
      <c r="D14" s="748">
        <f>+'Balance de energía'!$Q$47</f>
        <v>333.79986600000001</v>
      </c>
      <c r="E14" s="748">
        <f>+'Balance de energía'!$Q$48</f>
        <v>0</v>
      </c>
      <c r="F14" s="749">
        <f t="shared" si="0"/>
        <v>403.27920311399998</v>
      </c>
      <c r="G14" s="478"/>
      <c r="H14" s="302"/>
      <c r="I14" s="303"/>
      <c r="J14" s="300"/>
      <c r="K14" s="207"/>
      <c r="L14" s="207"/>
      <c r="M14" s="207"/>
      <c r="N14" s="207"/>
      <c r="O14" s="207"/>
      <c r="P14" s="207"/>
      <c r="Q14" s="207"/>
      <c r="R14" s="207"/>
      <c r="S14" s="207"/>
      <c r="T14" s="207"/>
      <c r="U14" s="207"/>
    </row>
    <row r="15" spans="1:21" s="301" customFormat="1" ht="15.95" customHeight="1" outlineLevel="1">
      <c r="A15" s="298"/>
      <c r="B15" s="469" t="s">
        <v>40</v>
      </c>
      <c r="C15" s="748">
        <f>+'Balance de energía'!$R$46</f>
        <v>0</v>
      </c>
      <c r="D15" s="748">
        <f>+'Balance de energía'!$R$47</f>
        <v>0</v>
      </c>
      <c r="E15" s="748">
        <f>+'Balance de energía'!$R$48</f>
        <v>0</v>
      </c>
      <c r="F15" s="749">
        <f t="shared" si="0"/>
        <v>0</v>
      </c>
      <c r="G15" s="478"/>
      <c r="H15" s="302"/>
      <c r="I15" s="303"/>
      <c r="J15" s="300"/>
      <c r="K15" s="207"/>
      <c r="L15" s="207"/>
      <c r="M15" s="207"/>
      <c r="N15" s="207"/>
      <c r="O15" s="207"/>
      <c r="P15" s="207"/>
      <c r="Q15" s="207"/>
      <c r="R15" s="207"/>
      <c r="S15" s="207"/>
      <c r="T15" s="207"/>
      <c r="U15" s="207"/>
    </row>
    <row r="16" spans="1:21" s="301" customFormat="1" ht="15.95" customHeight="1" outlineLevel="1">
      <c r="A16" s="298"/>
      <c r="B16" s="469" t="s">
        <v>274</v>
      </c>
      <c r="C16" s="748">
        <f>+'Balance de energía'!$S$46</f>
        <v>0</v>
      </c>
      <c r="D16" s="748">
        <f>+'Balance de energía'!$S$47</f>
        <v>0</v>
      </c>
      <c r="E16" s="748">
        <f>+'Balance de energía'!$S$48</f>
        <v>0</v>
      </c>
      <c r="F16" s="749">
        <f t="shared" si="0"/>
        <v>0</v>
      </c>
      <c r="G16" s="478"/>
      <c r="H16" s="302"/>
      <c r="I16" s="303"/>
      <c r="J16" s="300"/>
      <c r="K16" s="207"/>
      <c r="L16" s="207"/>
      <c r="M16" s="207"/>
      <c r="N16" s="207"/>
      <c r="O16" s="207"/>
      <c r="P16" s="207"/>
      <c r="Q16" s="207"/>
      <c r="R16" s="207"/>
      <c r="S16" s="207"/>
      <c r="T16" s="207"/>
      <c r="U16" s="207"/>
    </row>
    <row r="17" spans="1:21" s="301" customFormat="1" ht="15.95" customHeight="1" outlineLevel="1">
      <c r="A17" s="298"/>
      <c r="B17" s="470" t="s">
        <v>275</v>
      </c>
      <c r="C17" s="748">
        <f>+'Balance de energía'!$T$46</f>
        <v>0</v>
      </c>
      <c r="D17" s="748">
        <f>+'Balance de energía'!$T$47</f>
        <v>0</v>
      </c>
      <c r="E17" s="748">
        <f>+'Balance de energía'!$T$48</f>
        <v>0</v>
      </c>
      <c r="F17" s="749">
        <f t="shared" si="0"/>
        <v>0</v>
      </c>
      <c r="G17" s="478"/>
      <c r="H17" s="302"/>
      <c r="I17" s="303"/>
      <c r="J17" s="300"/>
      <c r="K17" s="207"/>
      <c r="L17" s="207"/>
      <c r="M17" s="207"/>
      <c r="N17" s="207"/>
      <c r="O17" s="207"/>
      <c r="P17" s="207"/>
      <c r="Q17" s="207"/>
      <c r="R17" s="207"/>
      <c r="S17" s="207"/>
      <c r="T17" s="207"/>
      <c r="U17" s="207"/>
    </row>
    <row r="18" spans="1:21" s="301" customFormat="1" ht="15.95" customHeight="1" outlineLevel="1">
      <c r="A18" s="298"/>
      <c r="B18" s="470" t="s">
        <v>479</v>
      </c>
      <c r="C18" s="748">
        <f>+'Balance de energía'!$U$46</f>
        <v>0</v>
      </c>
      <c r="D18" s="748">
        <f>+'Balance de energía'!$U$47</f>
        <v>0</v>
      </c>
      <c r="E18" s="748">
        <f>+'Balance de energía'!$U$48</f>
        <v>0</v>
      </c>
      <c r="F18" s="749">
        <f t="shared" si="0"/>
        <v>0</v>
      </c>
      <c r="G18" s="478"/>
      <c r="H18" s="302"/>
      <c r="I18" s="303"/>
      <c r="J18" s="300"/>
      <c r="K18" s="207"/>
      <c r="L18" s="207"/>
      <c r="M18" s="207"/>
      <c r="N18" s="207"/>
      <c r="O18" s="207"/>
      <c r="P18" s="207"/>
      <c r="Q18" s="207"/>
      <c r="R18" s="207"/>
      <c r="S18" s="207"/>
      <c r="T18" s="207"/>
      <c r="U18" s="207"/>
    </row>
    <row r="19" spans="1:21" s="301" customFormat="1" ht="15.95" customHeight="1">
      <c r="A19" s="298"/>
      <c r="B19" s="473" t="s">
        <v>126</v>
      </c>
      <c r="C19" s="749">
        <f>+'Balance de energía'!$V$46</f>
        <v>8401.5811223857145</v>
      </c>
      <c r="D19" s="749">
        <f>+'Balance de energía'!$V$47</f>
        <v>1740.90178618956</v>
      </c>
      <c r="E19" s="749">
        <f>+'Balance de energía'!$V$48</f>
        <v>10109.326640360183</v>
      </c>
      <c r="F19" s="749">
        <f t="shared" si="0"/>
        <v>20251.80954893546</v>
      </c>
      <c r="G19" s="478"/>
      <c r="H19" s="302"/>
      <c r="I19" s="303"/>
      <c r="J19" s="300"/>
      <c r="K19" s="207"/>
      <c r="L19" s="207"/>
      <c r="M19" s="207"/>
      <c r="N19" s="207"/>
      <c r="O19" s="207"/>
      <c r="P19" s="207"/>
      <c r="Q19" s="207"/>
      <c r="R19" s="207"/>
      <c r="S19" s="207"/>
      <c r="T19" s="207"/>
      <c r="U19" s="207"/>
    </row>
    <row r="20" spans="1:21" s="301" customFormat="1" ht="15.95" customHeight="1">
      <c r="A20" s="298"/>
      <c r="B20" s="473" t="s">
        <v>292</v>
      </c>
      <c r="C20" s="749">
        <f>+'Balance de energía'!$W$46</f>
        <v>0</v>
      </c>
      <c r="D20" s="749">
        <f>+'Balance de energía'!$W$47</f>
        <v>0</v>
      </c>
      <c r="E20" s="749">
        <f>+'Balance de energía'!$W$48</f>
        <v>0</v>
      </c>
      <c r="F20" s="749">
        <f t="shared" si="0"/>
        <v>0</v>
      </c>
      <c r="G20" s="478"/>
      <c r="H20" s="302"/>
      <c r="I20" s="303"/>
      <c r="J20" s="300"/>
      <c r="K20" s="207"/>
      <c r="L20" s="207"/>
      <c r="M20" s="207"/>
      <c r="N20" s="207"/>
      <c r="O20" s="207"/>
      <c r="P20" s="207"/>
      <c r="Q20" s="207"/>
      <c r="R20" s="207"/>
      <c r="S20" s="207"/>
      <c r="T20" s="207"/>
      <c r="U20" s="207"/>
    </row>
    <row r="21" spans="1:21" s="301" customFormat="1" ht="15.95" customHeight="1">
      <c r="A21" s="298"/>
      <c r="B21" s="473" t="s">
        <v>277</v>
      </c>
      <c r="C21" s="749">
        <f>+'Balance de energía'!$X$46</f>
        <v>0</v>
      </c>
      <c r="D21" s="749">
        <f>+'Balance de energía'!$X$47</f>
        <v>0</v>
      </c>
      <c r="E21" s="749">
        <f>+'Balance de energía'!$X$48</f>
        <v>0</v>
      </c>
      <c r="F21" s="749">
        <f t="shared" si="0"/>
        <v>0</v>
      </c>
      <c r="G21" s="478"/>
      <c r="H21" s="302"/>
      <c r="I21" s="303"/>
      <c r="J21" s="300"/>
      <c r="K21" s="207"/>
      <c r="L21" s="207"/>
      <c r="M21" s="207"/>
      <c r="N21" s="207"/>
      <c r="O21" s="207"/>
      <c r="P21" s="207"/>
      <c r="Q21" s="207"/>
      <c r="R21" s="207"/>
      <c r="S21" s="207"/>
      <c r="T21" s="207"/>
      <c r="U21" s="207"/>
    </row>
    <row r="22" spans="1:21" s="301" customFormat="1" ht="15.95" customHeight="1">
      <c r="A22" s="298"/>
      <c r="B22" s="473" t="s">
        <v>611</v>
      </c>
      <c r="C22" s="749">
        <f>+'Balance de energía'!$Y$46</f>
        <v>0</v>
      </c>
      <c r="D22" s="749">
        <f>+'Balance de energía'!$Y$47</f>
        <v>0</v>
      </c>
      <c r="E22" s="749">
        <f>+'Balance de energía'!$Y$48</f>
        <v>0</v>
      </c>
      <c r="F22" s="749">
        <f t="shared" si="0"/>
        <v>0</v>
      </c>
      <c r="G22" s="478"/>
      <c r="H22" s="302"/>
      <c r="I22" s="303"/>
      <c r="J22" s="300"/>
      <c r="K22" s="207"/>
      <c r="L22" s="207"/>
      <c r="M22" s="207"/>
      <c r="N22" s="207"/>
      <c r="O22" s="207"/>
      <c r="P22" s="207"/>
      <c r="Q22" s="207"/>
      <c r="R22" s="207"/>
      <c r="S22" s="207"/>
      <c r="T22" s="207"/>
      <c r="U22" s="207"/>
    </row>
    <row r="23" spans="1:21" s="301" customFormat="1" ht="15.95" customHeight="1">
      <c r="A23" s="298"/>
      <c r="B23" s="473" t="s">
        <v>478</v>
      </c>
      <c r="C23" s="749">
        <f>+'Balance de energía'!$Z$46</f>
        <v>0</v>
      </c>
      <c r="D23" s="749">
        <f>+'Balance de energía'!$Z$47</f>
        <v>0</v>
      </c>
      <c r="E23" s="749">
        <f>+'Balance de energía'!$Z$48</f>
        <v>0</v>
      </c>
      <c r="F23" s="749">
        <f t="shared" si="0"/>
        <v>0</v>
      </c>
      <c r="G23" s="478"/>
      <c r="H23" s="302"/>
      <c r="I23" s="303"/>
      <c r="J23" s="300"/>
      <c r="K23" s="207"/>
      <c r="L23" s="207"/>
      <c r="M23" s="207"/>
      <c r="N23" s="207"/>
      <c r="O23" s="207"/>
      <c r="P23" s="207"/>
      <c r="Q23" s="207"/>
      <c r="R23" s="207"/>
      <c r="S23" s="207"/>
      <c r="T23" s="207"/>
      <c r="U23" s="207"/>
    </row>
    <row r="24" spans="1:21" s="301" customFormat="1" ht="15.95" customHeight="1">
      <c r="A24" s="298"/>
      <c r="B24" s="473" t="s">
        <v>279</v>
      </c>
      <c r="C24" s="749">
        <f>+'Balance de energía'!$AA$46</f>
        <v>48.487355399999998</v>
      </c>
      <c r="D24" s="749">
        <f>+'Balance de energía'!$AA$47</f>
        <v>3.5974898</v>
      </c>
      <c r="E24" s="749">
        <f>+'Balance de energía'!$AA$48</f>
        <v>26.0016134</v>
      </c>
      <c r="F24" s="749">
        <f t="shared" si="0"/>
        <v>78.0864586</v>
      </c>
      <c r="G24" s="478"/>
      <c r="H24" s="302"/>
      <c r="I24" s="303"/>
      <c r="J24" s="300"/>
      <c r="K24" s="207"/>
      <c r="L24" s="207"/>
      <c r="M24" s="207"/>
      <c r="N24" s="207"/>
      <c r="O24" s="207"/>
      <c r="P24" s="207"/>
      <c r="Q24" s="207"/>
      <c r="R24" s="207"/>
      <c r="S24" s="207"/>
      <c r="T24" s="207"/>
      <c r="U24" s="207"/>
    </row>
    <row r="25" spans="1:21" s="301" customFormat="1" ht="15.95" customHeight="1">
      <c r="A25" s="298"/>
      <c r="B25" s="473" t="s">
        <v>65</v>
      </c>
      <c r="C25" s="749">
        <f>+'Balance de energía'!$AB$46</f>
        <v>0</v>
      </c>
      <c r="D25" s="749">
        <f>+'Balance de energía'!$AB$47</f>
        <v>0</v>
      </c>
      <c r="E25" s="749">
        <f>+'Balance de energía'!$AB$48</f>
        <v>0</v>
      </c>
      <c r="F25" s="749">
        <f t="shared" si="0"/>
        <v>0</v>
      </c>
      <c r="G25" s="478"/>
      <c r="H25" s="302"/>
      <c r="I25" s="303"/>
      <c r="J25" s="300"/>
      <c r="K25" s="207"/>
      <c r="L25" s="207"/>
      <c r="M25" s="207"/>
      <c r="N25" s="207"/>
      <c r="O25" s="207"/>
      <c r="P25" s="207"/>
      <c r="Q25" s="207"/>
      <c r="R25" s="207"/>
      <c r="S25" s="207"/>
      <c r="T25" s="207"/>
      <c r="U25" s="207"/>
    </row>
    <row r="26" spans="1:21" s="301" customFormat="1" ht="15.95" customHeight="1">
      <c r="A26" s="298"/>
      <c r="B26" s="473" t="s">
        <v>135</v>
      </c>
      <c r="C26" s="749">
        <f>+'Balance de energía'!$D$46</f>
        <v>1391.7336653799921</v>
      </c>
      <c r="D26" s="749">
        <f>+'Balance de energía'!$D$47</f>
        <v>244.71766524726002</v>
      </c>
      <c r="E26" s="749">
        <f>+'Balance de energía'!$D$48</f>
        <v>4907.5447983288595</v>
      </c>
      <c r="F26" s="749">
        <f t="shared" si="0"/>
        <v>6543.9961289561115</v>
      </c>
      <c r="G26" s="478"/>
      <c r="H26" s="302"/>
      <c r="I26" s="303"/>
      <c r="J26" s="300"/>
      <c r="K26" s="207"/>
      <c r="L26" s="207"/>
      <c r="M26" s="207"/>
      <c r="N26" s="207"/>
      <c r="O26" s="207"/>
      <c r="P26" s="207"/>
      <c r="Q26" s="207"/>
      <c r="R26" s="207"/>
      <c r="S26" s="207"/>
      <c r="T26" s="207"/>
      <c r="U26" s="207"/>
    </row>
    <row r="27" spans="1:21" s="301" customFormat="1" ht="15.95" customHeight="1">
      <c r="A27" s="298"/>
      <c r="B27" s="473" t="s">
        <v>41</v>
      </c>
      <c r="C27" s="749">
        <f>+'Balance de energía'!$E$46</f>
        <v>0.92300000000000004</v>
      </c>
      <c r="D27" s="749">
        <f>+'Balance de energía'!$E$47</f>
        <v>30.984538547592916</v>
      </c>
      <c r="E27" s="749">
        <f>+'Balance de energía'!$E$48</f>
        <v>0</v>
      </c>
      <c r="F27" s="749">
        <f t="shared" si="0"/>
        <v>31.907538547592914</v>
      </c>
      <c r="G27" s="478"/>
      <c r="H27" s="302"/>
      <c r="I27" s="303"/>
      <c r="J27" s="300"/>
      <c r="K27" s="207"/>
      <c r="L27" s="207"/>
      <c r="M27" s="207"/>
      <c r="N27" s="207"/>
      <c r="O27" s="207"/>
      <c r="P27" s="207"/>
      <c r="Q27" s="207"/>
      <c r="R27" s="207"/>
      <c r="S27" s="207"/>
      <c r="T27" s="207"/>
      <c r="U27" s="207"/>
    </row>
    <row r="28" spans="1:21" s="301" customFormat="1" ht="15.95" customHeight="1">
      <c r="A28" s="298"/>
      <c r="B28" s="471" t="s">
        <v>447</v>
      </c>
      <c r="C28" s="749">
        <f>+'Balance de energía'!$F$46</f>
        <v>53.79190013532903</v>
      </c>
      <c r="D28" s="749">
        <f>+'Balance de energía'!$F$47</f>
        <v>67.068102466718614</v>
      </c>
      <c r="E28" s="749">
        <f>+'Balance de energía'!$F$48</f>
        <v>17714.156874019784</v>
      </c>
      <c r="F28" s="749">
        <f t="shared" si="0"/>
        <v>17835.01687662183</v>
      </c>
      <c r="G28" s="478"/>
      <c r="H28" s="302"/>
      <c r="I28" s="303"/>
      <c r="J28" s="300"/>
      <c r="K28" s="207"/>
      <c r="L28" s="207"/>
      <c r="M28" s="207"/>
      <c r="N28" s="207"/>
      <c r="O28" s="207"/>
      <c r="P28" s="207"/>
      <c r="Q28" s="207"/>
      <c r="R28" s="207"/>
      <c r="S28" s="207"/>
      <c r="T28" s="207"/>
      <c r="U28" s="207"/>
    </row>
    <row r="29" spans="1:21" s="301" customFormat="1" ht="15.95" customHeight="1">
      <c r="A29" s="298"/>
      <c r="B29" s="473" t="s">
        <v>42</v>
      </c>
      <c r="C29" s="749">
        <f>+'Balance de energía'!$J$46</f>
        <v>163.8922824</v>
      </c>
      <c r="D29" s="749">
        <f>+'Balance de energía'!$J$47</f>
        <v>0</v>
      </c>
      <c r="E29" s="749">
        <f>+'Balance de energía'!$J$48</f>
        <v>0</v>
      </c>
      <c r="F29" s="749">
        <f t="shared" si="0"/>
        <v>163.8922824</v>
      </c>
      <c r="G29" s="478"/>
      <c r="H29" s="302"/>
      <c r="I29" s="303"/>
      <c r="J29" s="300"/>
      <c r="K29" s="207"/>
      <c r="L29" s="207"/>
      <c r="M29" s="207"/>
      <c r="N29" s="207"/>
      <c r="O29" s="207"/>
      <c r="P29" s="207"/>
      <c r="Q29" s="207"/>
      <c r="R29" s="207"/>
      <c r="S29" s="207"/>
      <c r="T29" s="207"/>
      <c r="U29" s="207"/>
    </row>
    <row r="30" spans="1:21" s="301" customFormat="1" ht="15.95" customHeight="1">
      <c r="A30" s="298"/>
      <c r="B30" s="472" t="s">
        <v>33</v>
      </c>
      <c r="C30" s="455">
        <f>SUM(C19:C29)+C7</f>
        <v>13743.117754049861</v>
      </c>
      <c r="D30" s="455">
        <f>SUM(D19:D29)+D7</f>
        <v>2804.672570410145</v>
      </c>
      <c r="E30" s="455">
        <f>SUM(E19:E29)+E7</f>
        <v>43087.90707774974</v>
      </c>
      <c r="F30" s="455">
        <f>SUM(F19:F29)+F7</f>
        <v>59635.697402209735</v>
      </c>
      <c r="G30" s="478"/>
      <c r="H30" s="302"/>
      <c r="I30" s="303"/>
      <c r="J30" s="300"/>
      <c r="K30" s="207"/>
      <c r="L30" s="207"/>
      <c r="M30" s="207"/>
      <c r="N30" s="207"/>
      <c r="O30" s="207"/>
      <c r="P30" s="207"/>
      <c r="Q30" s="207"/>
      <c r="R30" s="207"/>
      <c r="S30" s="207"/>
      <c r="T30" s="207"/>
      <c r="U30" s="207"/>
    </row>
    <row r="31" spans="1:21">
      <c r="A31" s="175"/>
      <c r="B31" s="479"/>
      <c r="C31" s="479"/>
      <c r="D31" s="479"/>
      <c r="E31" s="479"/>
      <c r="F31" s="479"/>
      <c r="G31" s="479"/>
      <c r="H31" s="218"/>
      <c r="I31" s="16"/>
      <c r="J31" s="16"/>
      <c r="O31" s="2"/>
      <c r="P31" s="2"/>
      <c r="Q31" s="2"/>
      <c r="R31" s="2"/>
      <c r="S31" s="2"/>
      <c r="T31" s="2"/>
      <c r="U31" s="2"/>
    </row>
    <row r="32" spans="1:21">
      <c r="A32" s="175"/>
      <c r="B32" s="313" t="s">
        <v>630</v>
      </c>
      <c r="C32" s="180"/>
      <c r="D32" s="181"/>
      <c r="E32" s="181"/>
      <c r="F32" s="181"/>
      <c r="G32" s="168"/>
      <c r="H32" s="171"/>
      <c r="I32" s="5"/>
      <c r="J32" s="5"/>
    </row>
    <row r="33" spans="1:10">
      <c r="A33" s="175"/>
      <c r="B33" s="271" t="s">
        <v>338</v>
      </c>
      <c r="C33" s="171"/>
      <c r="D33" s="171"/>
      <c r="E33" s="171"/>
      <c r="F33" s="171"/>
      <c r="G33" s="171"/>
      <c r="H33" s="171"/>
      <c r="I33" s="5"/>
      <c r="J33" s="5"/>
    </row>
    <row r="34" spans="1:10">
      <c r="A34" s="175"/>
      <c r="B34" s="272" t="s">
        <v>293</v>
      </c>
      <c r="C34" s="171"/>
      <c r="D34" s="171"/>
      <c r="E34" s="171"/>
      <c r="F34" s="171"/>
      <c r="G34" s="171"/>
      <c r="H34" s="171"/>
      <c r="I34" s="5"/>
      <c r="J34" s="5"/>
    </row>
    <row r="35" spans="1:10">
      <c r="A35" s="175"/>
      <c r="B35" s="272" t="s">
        <v>527</v>
      </c>
      <c r="C35" s="171"/>
      <c r="D35" s="171"/>
      <c r="E35" s="171"/>
      <c r="F35" s="171"/>
      <c r="G35" s="171"/>
      <c r="H35" s="171"/>
      <c r="I35" s="5"/>
      <c r="J35" s="5"/>
    </row>
    <row r="36" spans="1:10">
      <c r="A36" s="175"/>
      <c r="B36" s="217"/>
      <c r="C36" s="217"/>
      <c r="D36" s="217"/>
      <c r="E36" s="217"/>
      <c r="F36" s="217"/>
      <c r="G36" s="217"/>
      <c r="H36" s="217"/>
      <c r="I36" s="16"/>
      <c r="J36" s="16"/>
    </row>
    <row r="37" spans="1:10">
      <c r="A37" s="175"/>
      <c r="B37" s="217"/>
      <c r="C37" s="217"/>
      <c r="D37" s="217"/>
      <c r="E37" s="217"/>
      <c r="F37" s="217"/>
      <c r="G37" s="217"/>
      <c r="H37" s="217"/>
      <c r="I37" s="16"/>
      <c r="J37" s="16"/>
    </row>
    <row r="38" spans="1:10">
      <c r="A38" s="175"/>
      <c r="B38" s="217"/>
      <c r="C38" s="217"/>
      <c r="D38" s="217"/>
      <c r="E38" s="217"/>
      <c r="F38" s="217"/>
      <c r="G38" s="217"/>
      <c r="H38" s="217"/>
      <c r="I38" s="16"/>
      <c r="J38" s="16"/>
    </row>
    <row r="39" spans="1:10">
      <c r="A39" s="175"/>
      <c r="B39" s="217"/>
      <c r="C39" s="217"/>
      <c r="D39" s="217"/>
      <c r="E39" s="217"/>
      <c r="F39" s="217"/>
      <c r="G39" s="217"/>
      <c r="H39" s="217"/>
      <c r="I39" s="16"/>
      <c r="J39" s="16"/>
    </row>
    <row r="40" spans="1:10">
      <c r="B40" s="16"/>
      <c r="C40" s="16"/>
      <c r="D40" s="16"/>
      <c r="E40" s="16"/>
      <c r="F40" s="16"/>
      <c r="G40" s="16"/>
      <c r="H40" s="16"/>
      <c r="I40" s="16"/>
      <c r="J40" s="16"/>
    </row>
    <row r="41" spans="1:10">
      <c r="B41" s="16"/>
      <c r="C41" s="16"/>
      <c r="D41" s="16"/>
      <c r="E41" s="16"/>
      <c r="F41" s="16"/>
      <c r="G41" s="16"/>
      <c r="H41" s="16"/>
      <c r="I41" s="16"/>
      <c r="J41" s="16"/>
    </row>
    <row r="42" spans="1:10">
      <c r="B42" s="2"/>
      <c r="C42" s="2"/>
      <c r="D42" s="2"/>
      <c r="E42" s="2"/>
      <c r="F42" s="2"/>
      <c r="G42" s="2"/>
    </row>
    <row r="43" spans="1:10">
      <c r="B43" s="2"/>
      <c r="C43" s="2"/>
      <c r="D43" s="2"/>
      <c r="E43" s="2"/>
      <c r="F43" s="2"/>
      <c r="G43" s="2"/>
    </row>
    <row r="44" spans="1:10">
      <c r="B44" s="2"/>
      <c r="C44" s="2"/>
      <c r="D44" s="2"/>
      <c r="E44" s="2"/>
      <c r="F44" s="2"/>
      <c r="G44" s="2"/>
    </row>
    <row r="45" spans="1:10" s="2" customFormat="1"/>
    <row r="46" spans="1:10" s="2" customFormat="1"/>
    <row r="47" spans="1:10" s="2" customFormat="1"/>
    <row r="48" spans="1:10"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sheetData>
  <mergeCells count="4">
    <mergeCell ref="B3:F3"/>
    <mergeCell ref="B4:F4"/>
    <mergeCell ref="B5:F5"/>
    <mergeCell ref="B2:F2"/>
  </mergeCells>
  <phoneticPr fontId="0" type="noConversion"/>
  <hyperlinks>
    <hyperlink ref="H2" location="Índice!A1" display="VOLVER A INDICE"/>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theme="9" tint="0.39997558519241921"/>
  </sheetPr>
  <dimension ref="A1:L44"/>
  <sheetViews>
    <sheetView workbookViewId="0"/>
  </sheetViews>
  <sheetFormatPr baseColWidth="10" defaultRowHeight="12.75" outlineLevelRow="1"/>
  <cols>
    <col min="1" max="1" width="2.28515625" style="360" customWidth="1"/>
    <col min="2" max="2" width="30.85546875" style="360" customWidth="1"/>
    <col min="3" max="3" width="13.42578125" style="360" customWidth="1"/>
    <col min="4" max="4" width="15" style="360" customWidth="1"/>
    <col min="5" max="5" width="19.85546875" style="360" customWidth="1"/>
    <col min="6" max="6" width="16" style="360" customWidth="1"/>
    <col min="7" max="7" width="12.28515625" style="360" customWidth="1"/>
    <col min="8" max="8" width="18.85546875" style="360" customWidth="1"/>
    <col min="9" max="9" width="16.5703125" style="360" customWidth="1"/>
    <col min="10" max="16384" width="11.42578125" style="360"/>
  </cols>
  <sheetData>
    <row r="1" spans="1:12" ht="9.75" customHeight="1">
      <c r="A1" s="441"/>
      <c r="B1" s="441"/>
      <c r="C1" s="441"/>
      <c r="D1" s="441"/>
      <c r="E1" s="441"/>
      <c r="F1" s="441"/>
      <c r="G1" s="441"/>
      <c r="H1" s="441"/>
      <c r="I1" s="441"/>
    </row>
    <row r="2" spans="1:12" s="361" customFormat="1" ht="15.95" customHeight="1">
      <c r="A2" s="307"/>
      <c r="B2" s="835" t="s">
        <v>127</v>
      </c>
      <c r="C2" s="835"/>
      <c r="D2" s="835"/>
      <c r="E2" s="835"/>
      <c r="F2" s="835"/>
      <c r="G2" s="835"/>
      <c r="H2" s="835"/>
      <c r="I2" s="835"/>
      <c r="J2" s="835"/>
      <c r="L2" s="699" t="s">
        <v>229</v>
      </c>
    </row>
    <row r="3" spans="1:12" s="361" customFormat="1" ht="15.95" customHeight="1">
      <c r="A3" s="307"/>
      <c r="B3" s="835" t="s">
        <v>346</v>
      </c>
      <c r="C3" s="835"/>
      <c r="D3" s="835"/>
      <c r="E3" s="835"/>
      <c r="F3" s="835"/>
      <c r="G3" s="835"/>
      <c r="H3" s="835"/>
      <c r="I3" s="835"/>
      <c r="J3" s="835"/>
      <c r="L3" s="309"/>
    </row>
    <row r="4" spans="1:12" s="361" customFormat="1" ht="15.95" customHeight="1">
      <c r="A4" s="307"/>
      <c r="B4" s="835" t="s">
        <v>446</v>
      </c>
      <c r="C4" s="835"/>
      <c r="D4" s="835"/>
      <c r="E4" s="835"/>
      <c r="F4" s="835"/>
      <c r="G4" s="835"/>
      <c r="H4" s="835"/>
      <c r="I4" s="835"/>
      <c r="J4" s="835"/>
      <c r="K4" s="378"/>
    </row>
    <row r="5" spans="1:12" s="361" customFormat="1" ht="15.95" customHeight="1">
      <c r="A5" s="307"/>
      <c r="B5" s="835" t="s">
        <v>615</v>
      </c>
      <c r="C5" s="835"/>
      <c r="D5" s="835"/>
      <c r="E5" s="835"/>
      <c r="F5" s="835"/>
      <c r="G5" s="835"/>
      <c r="H5" s="835"/>
      <c r="I5" s="835"/>
      <c r="J5" s="835"/>
      <c r="K5" s="378"/>
    </row>
    <row r="6" spans="1:12" ht="15.95" customHeight="1">
      <c r="A6" s="204"/>
      <c r="B6" s="819" t="s">
        <v>253</v>
      </c>
      <c r="C6" s="827" t="s">
        <v>63</v>
      </c>
      <c r="D6" s="819" t="s">
        <v>616</v>
      </c>
      <c r="E6" s="827" t="s">
        <v>450</v>
      </c>
      <c r="F6" s="827" t="s">
        <v>451</v>
      </c>
      <c r="G6" s="827" t="s">
        <v>282</v>
      </c>
      <c r="H6" s="827" t="s">
        <v>452</v>
      </c>
      <c r="I6" s="827" t="s">
        <v>453</v>
      </c>
      <c r="J6" s="819" t="s">
        <v>33</v>
      </c>
      <c r="K6" s="368"/>
    </row>
    <row r="7" spans="1:12" ht="15.95" customHeight="1">
      <c r="A7" s="204"/>
      <c r="B7" s="819"/>
      <c r="C7" s="827"/>
      <c r="D7" s="819"/>
      <c r="E7" s="827"/>
      <c r="F7" s="827"/>
      <c r="G7" s="827"/>
      <c r="H7" s="827"/>
      <c r="I7" s="827"/>
      <c r="J7" s="819"/>
      <c r="K7" s="368"/>
    </row>
    <row r="8" spans="1:12" ht="15.95" customHeight="1">
      <c r="A8" s="204"/>
      <c r="B8" s="473" t="s">
        <v>345</v>
      </c>
      <c r="C8" s="749">
        <f t="shared" ref="C8:J8" si="0">SUM(C9:C19)</f>
        <v>4.9266748439999999</v>
      </c>
      <c r="D8" s="749">
        <f t="shared" si="0"/>
        <v>0</v>
      </c>
      <c r="E8" s="749">
        <f t="shared" si="0"/>
        <v>0</v>
      </c>
      <c r="F8" s="749">
        <f t="shared" si="0"/>
        <v>35.846574896999996</v>
      </c>
      <c r="G8" s="749">
        <f t="shared" si="0"/>
        <v>6.2072999999999998E-3</v>
      </c>
      <c r="H8" s="749">
        <f t="shared" si="0"/>
        <v>2164.9103190792557</v>
      </c>
      <c r="I8" s="749">
        <f t="shared" si="0"/>
        <v>0</v>
      </c>
      <c r="J8" s="749">
        <f t="shared" si="0"/>
        <v>2205.6897761202563</v>
      </c>
      <c r="K8" s="368"/>
    </row>
    <row r="9" spans="1:12" ht="15.95" customHeight="1" outlineLevel="1">
      <c r="A9" s="204"/>
      <c r="B9" s="469" t="s">
        <v>269</v>
      </c>
      <c r="C9" s="748">
        <f>+'Balance de energía'!$K$21</f>
        <v>0.84760754399999994</v>
      </c>
      <c r="D9" s="748">
        <f>+'Balance de energía'!$K$22</f>
        <v>0</v>
      </c>
      <c r="E9" s="748">
        <f>+'Balance de energía'!$K$23</f>
        <v>0</v>
      </c>
      <c r="F9" s="748">
        <f>+'Balance de energía'!$K$24</f>
        <v>0</v>
      </c>
      <c r="G9" s="748">
        <f>+'Balance de energía'!$K$25</f>
        <v>0</v>
      </c>
      <c r="H9" s="748">
        <f>+'Balance de energía'!$K$26</f>
        <v>0</v>
      </c>
      <c r="I9" s="748">
        <f>+'Balance de energía'!$K$27</f>
        <v>0</v>
      </c>
      <c r="J9" s="749">
        <f>SUM(C9:I9)</f>
        <v>0.84760754399999994</v>
      </c>
      <c r="K9" s="368"/>
    </row>
    <row r="10" spans="1:12" ht="15.95" customHeight="1" outlineLevel="1">
      <c r="A10" s="204"/>
      <c r="B10" s="469" t="s">
        <v>270</v>
      </c>
      <c r="C10" s="748">
        <f>+'Balance de energía'!$L$21</f>
        <v>0</v>
      </c>
      <c r="D10" s="748">
        <f>+'Balance de energía'!$L$22</f>
        <v>0</v>
      </c>
      <c r="E10" s="748">
        <f>+'Balance de energía'!$L$23</f>
        <v>0</v>
      </c>
      <c r="F10" s="748">
        <f>+'Balance de energía'!$L24</f>
        <v>34.010686499999998</v>
      </c>
      <c r="G10" s="748">
        <f>+'Balance de energía'!$L$25</f>
        <v>0</v>
      </c>
      <c r="H10" s="748">
        <f>+'Balance de energía'!$L$26</f>
        <v>0</v>
      </c>
      <c r="I10" s="748">
        <f>+'Balance de energía'!$L$27</f>
        <v>0</v>
      </c>
      <c r="J10" s="749">
        <f t="shared" ref="J10:J30" si="1">SUM(C10:I10)</f>
        <v>34.010686499999998</v>
      </c>
      <c r="K10" s="368"/>
    </row>
    <row r="11" spans="1:12" ht="15.95" customHeight="1" outlineLevel="1">
      <c r="A11" s="204"/>
      <c r="B11" s="469" t="s">
        <v>330</v>
      </c>
      <c r="C11" s="748">
        <f>+'Balance de energía'!$M$21</f>
        <v>0</v>
      </c>
      <c r="D11" s="748">
        <f>+'Balance de energía'!$M$22</f>
        <v>0</v>
      </c>
      <c r="E11" s="748">
        <f>+'Balance de energía'!$M$23</f>
        <v>0</v>
      </c>
      <c r="F11" s="748">
        <f>+'Balance de energía'!$M$24</f>
        <v>0</v>
      </c>
      <c r="G11" s="748">
        <f>+'Balance de energía'!$M$25</f>
        <v>0</v>
      </c>
      <c r="H11" s="748">
        <f>+'Balance de energía'!$M$26</f>
        <v>0</v>
      </c>
      <c r="I11" s="748">
        <f>+'Balance de energía'!$M$27</f>
        <v>0</v>
      </c>
      <c r="J11" s="749">
        <f t="shared" si="1"/>
        <v>0</v>
      </c>
      <c r="K11" s="368"/>
    </row>
    <row r="12" spans="1:12" ht="15.95" customHeight="1" outlineLevel="1">
      <c r="A12" s="204"/>
      <c r="B12" s="469" t="s">
        <v>38</v>
      </c>
      <c r="C12" s="748">
        <f>+'Balance de energía'!$N$21</f>
        <v>0</v>
      </c>
      <c r="D12" s="748">
        <f>+'Balance de energía'!$N$22</f>
        <v>0</v>
      </c>
      <c r="E12" s="748">
        <f>+'Balance de energía'!$N$23</f>
        <v>0</v>
      </c>
      <c r="F12" s="748">
        <f>+'Balance de energía'!$N$24</f>
        <v>5.0978969999999997E-3</v>
      </c>
      <c r="G12" s="748">
        <f>+'Balance de energía'!$N$25</f>
        <v>0</v>
      </c>
      <c r="H12" s="748">
        <f>+'Balance de energía'!$N$26</f>
        <v>0</v>
      </c>
      <c r="I12" s="748">
        <f>+'Balance de energía'!$N$27</f>
        <v>0</v>
      </c>
      <c r="J12" s="749">
        <f t="shared" si="1"/>
        <v>5.0978969999999997E-3</v>
      </c>
      <c r="K12" s="368"/>
    </row>
    <row r="13" spans="1:12" ht="15.95" customHeight="1" outlineLevel="1">
      <c r="A13" s="204"/>
      <c r="B13" s="469" t="s">
        <v>271</v>
      </c>
      <c r="C13" s="748">
        <f>+'Balance de energía'!$O$21</f>
        <v>4.0790673000000002</v>
      </c>
      <c r="D13" s="748">
        <f>+'Balance de energía'!$O$22</f>
        <v>0</v>
      </c>
      <c r="E13" s="748">
        <f>+'Balance de energía'!$O$23</f>
        <v>0</v>
      </c>
      <c r="F13" s="748">
        <f>+'Balance de energía'!$O$24</f>
        <v>1.8307905000000002</v>
      </c>
      <c r="G13" s="748">
        <f>+'Balance de energía'!$O$25</f>
        <v>6.2072999999999998E-3</v>
      </c>
      <c r="H13" s="748">
        <f>+'Balance de energía'!$O$26</f>
        <v>147.56797</v>
      </c>
      <c r="I13" s="748">
        <f>+'Balance de energía'!$O$27</f>
        <v>0</v>
      </c>
      <c r="J13" s="749">
        <f t="shared" si="1"/>
        <v>153.4840351</v>
      </c>
      <c r="K13" s="368"/>
    </row>
    <row r="14" spans="1:12" ht="15.95" customHeight="1" outlineLevel="1">
      <c r="A14" s="204"/>
      <c r="B14" s="469" t="s">
        <v>272</v>
      </c>
      <c r="C14" s="748">
        <f>+'Balance de energía'!$P$21</f>
        <v>0</v>
      </c>
      <c r="D14" s="748">
        <f>+'Balance de energía'!$P$22</f>
        <v>0</v>
      </c>
      <c r="E14" s="748">
        <f>+'Balance de energía'!$P$23</f>
        <v>0</v>
      </c>
      <c r="F14" s="748">
        <f>+'Balance de energía'!$P$24</f>
        <v>0</v>
      </c>
      <c r="G14" s="748">
        <f>+'Balance de energía'!$P$25</f>
        <v>0</v>
      </c>
      <c r="H14" s="748">
        <f>+'Balance de energía'!$P$26</f>
        <v>0</v>
      </c>
      <c r="I14" s="748">
        <f>+'Balance de energía'!$P$27</f>
        <v>0</v>
      </c>
      <c r="J14" s="749">
        <f t="shared" si="1"/>
        <v>0</v>
      </c>
      <c r="K14" s="368"/>
    </row>
    <row r="15" spans="1:12" ht="15.95" customHeight="1" outlineLevel="1">
      <c r="A15" s="204"/>
      <c r="B15" s="469" t="s">
        <v>273</v>
      </c>
      <c r="C15" s="748">
        <f>+'Balance de energía'!$Q$21</f>
        <v>0</v>
      </c>
      <c r="D15" s="748">
        <f>+'Balance de energía'!$Q$22</f>
        <v>0</v>
      </c>
      <c r="E15" s="748">
        <f>+'Balance de energía'!$Q$23</f>
        <v>0</v>
      </c>
      <c r="F15" s="748">
        <f>+'Balance de energía'!$Q$24</f>
        <v>0</v>
      </c>
      <c r="G15" s="748">
        <f>+'Balance de energía'!$Q$25</f>
        <v>0</v>
      </c>
      <c r="H15" s="748">
        <f>+'Balance de energía'!$Q$26</f>
        <v>0.20589389999999999</v>
      </c>
      <c r="I15" s="748">
        <f>+'Balance de energía'!$Q$27</f>
        <v>0</v>
      </c>
      <c r="J15" s="749">
        <f t="shared" si="1"/>
        <v>0.20589389999999999</v>
      </c>
      <c r="K15" s="368"/>
    </row>
    <row r="16" spans="1:12" ht="15.95" customHeight="1" outlineLevel="1">
      <c r="A16" s="204"/>
      <c r="B16" s="469" t="s">
        <v>40</v>
      </c>
      <c r="C16" s="748">
        <f>+'Balance de energía'!$R$21</f>
        <v>0</v>
      </c>
      <c r="D16" s="748">
        <f>+'Balance de energía'!$R$22</f>
        <v>0</v>
      </c>
      <c r="E16" s="748">
        <f>+'Balance de energía'!$R$23</f>
        <v>0</v>
      </c>
      <c r="F16" s="748">
        <f>+'Balance de energía'!$R$24</f>
        <v>0</v>
      </c>
      <c r="G16" s="748">
        <f>+'Balance de energía'!$R$25</f>
        <v>0</v>
      </c>
      <c r="H16" s="748">
        <f>+'Balance de energía'!$R$26</f>
        <v>1344.0961925500001</v>
      </c>
      <c r="I16" s="748">
        <f>+'Balance de energía'!$R$27</f>
        <v>0</v>
      </c>
      <c r="J16" s="749">
        <f t="shared" si="1"/>
        <v>1344.0961925500001</v>
      </c>
      <c r="K16" s="368"/>
    </row>
    <row r="17" spans="1:11" ht="15.95" customHeight="1" outlineLevel="1">
      <c r="A17" s="204"/>
      <c r="B17" s="469" t="s">
        <v>274</v>
      </c>
      <c r="C17" s="748">
        <f>+'Balance de energía'!$S$21</f>
        <v>0</v>
      </c>
      <c r="D17" s="748">
        <f>+'Balance de energía'!$S$22</f>
        <v>0</v>
      </c>
      <c r="E17" s="748">
        <f>+'Balance de energía'!$S$23</f>
        <v>0</v>
      </c>
      <c r="F17" s="748">
        <f>+'Balance de energía'!$S$24</f>
        <v>0</v>
      </c>
      <c r="G17" s="748">
        <f>+'Balance de energía'!$S$25</f>
        <v>0</v>
      </c>
      <c r="H17" s="748">
        <f>+'Balance de energía'!$S$26</f>
        <v>1.4761283207119327</v>
      </c>
      <c r="I17" s="748">
        <f>+'Balance de energía'!$S$27</f>
        <v>0</v>
      </c>
      <c r="J17" s="749">
        <f t="shared" si="1"/>
        <v>1.4761283207119327</v>
      </c>
      <c r="K17" s="368"/>
    </row>
    <row r="18" spans="1:11" ht="15.95" customHeight="1" outlineLevel="1">
      <c r="A18" s="204"/>
      <c r="B18" s="470" t="s">
        <v>275</v>
      </c>
      <c r="C18" s="748">
        <f>+'Balance de energía'!$T$21</f>
        <v>0</v>
      </c>
      <c r="D18" s="748">
        <f>+'Balance de energía'!$T$22</f>
        <v>0</v>
      </c>
      <c r="E18" s="748">
        <f>+'Balance de energía'!$T$23</f>
        <v>0</v>
      </c>
      <c r="F18" s="748">
        <f>+'Balance de energía'!$T$24</f>
        <v>0</v>
      </c>
      <c r="G18" s="748">
        <f>+'Balance de energía'!$T$25</f>
        <v>0</v>
      </c>
      <c r="H18" s="748">
        <f>+'Balance de energía'!$T$26</f>
        <v>0</v>
      </c>
      <c r="I18" s="748">
        <f>+'Balance de energía'!$T$27</f>
        <v>0</v>
      </c>
      <c r="J18" s="749">
        <f t="shared" si="1"/>
        <v>0</v>
      </c>
      <c r="K18" s="368"/>
    </row>
    <row r="19" spans="1:11" ht="15.95" customHeight="1" outlineLevel="1">
      <c r="A19" s="204"/>
      <c r="B19" s="470" t="s">
        <v>479</v>
      </c>
      <c r="C19" s="748">
        <f>+'Balance de energía'!$U$21</f>
        <v>0</v>
      </c>
      <c r="D19" s="748">
        <f>+'Balance de energía'!$U$22</f>
        <v>0</v>
      </c>
      <c r="E19" s="748">
        <f>+'Balance de energía'!$U$23</f>
        <v>0</v>
      </c>
      <c r="F19" s="748">
        <f>+'Balance de energía'!$U$24</f>
        <v>0</v>
      </c>
      <c r="G19" s="748">
        <f>+'Balance de energía'!$U$25</f>
        <v>0</v>
      </c>
      <c r="H19" s="748">
        <f>+'Balance de energía'!$U$26</f>
        <v>671.564134308544</v>
      </c>
      <c r="I19" s="748">
        <f>+'Balance de energía'!$U$27</f>
        <v>0</v>
      </c>
      <c r="J19" s="749">
        <f t="shared" si="1"/>
        <v>671.564134308544</v>
      </c>
      <c r="K19" s="368"/>
    </row>
    <row r="20" spans="1:11" ht="15.95" customHeight="1">
      <c r="A20" s="204"/>
      <c r="B20" s="473" t="s">
        <v>126</v>
      </c>
      <c r="C20" s="749">
        <f>+'Balance de energía'!$V$21</f>
        <v>2.44039362</v>
      </c>
      <c r="D20" s="749">
        <f>+'Balance de energía'!$V$22</f>
        <v>2742.6122376837475</v>
      </c>
      <c r="E20" s="749">
        <f>+'Balance de energía'!$V$23</f>
        <v>0</v>
      </c>
      <c r="F20" s="749">
        <f>+'Balance de energía'!$V$24</f>
        <v>0</v>
      </c>
      <c r="G20" s="749">
        <f>+'Balance de energía'!$V$25</f>
        <v>0</v>
      </c>
      <c r="H20" s="749">
        <f>+'Balance de energía'!$V$26</f>
        <v>537.69175738180002</v>
      </c>
      <c r="I20" s="749">
        <f>+'Balance de energía'!$V$27</f>
        <v>12.930960000000001</v>
      </c>
      <c r="J20" s="749">
        <f t="shared" si="1"/>
        <v>3295.6753486855478</v>
      </c>
      <c r="K20" s="368"/>
    </row>
    <row r="21" spans="1:11" ht="15.95" customHeight="1">
      <c r="A21" s="204"/>
      <c r="B21" s="473" t="s">
        <v>292</v>
      </c>
      <c r="C21" s="749">
        <f>+'Balance de energía'!$W$21</f>
        <v>0</v>
      </c>
      <c r="D21" s="749">
        <f>+'Balance de energía'!$W$22</f>
        <v>0</v>
      </c>
      <c r="E21" s="749">
        <f>+'Balance de energía'!$W$23</f>
        <v>0</v>
      </c>
      <c r="F21" s="749">
        <f>+'Balance de energía'!$W$24</f>
        <v>0</v>
      </c>
      <c r="G21" s="749">
        <f>+'Balance de energía'!$W$25</f>
        <v>0</v>
      </c>
      <c r="H21" s="749">
        <f>+'Balance de energía'!$W$26</f>
        <v>0</v>
      </c>
      <c r="I21" s="749">
        <f>+'Balance de energía'!$W$27</f>
        <v>0</v>
      </c>
      <c r="J21" s="749">
        <f t="shared" si="1"/>
        <v>0</v>
      </c>
      <c r="K21" s="368"/>
    </row>
    <row r="22" spans="1:11" ht="15.95" customHeight="1">
      <c r="A22" s="204"/>
      <c r="B22" s="473" t="s">
        <v>277</v>
      </c>
      <c r="C22" s="749">
        <f>+'Balance de energía'!$X$21</f>
        <v>0</v>
      </c>
      <c r="D22" s="749">
        <f>+'Balance de energía'!$X$22</f>
        <v>0</v>
      </c>
      <c r="E22" s="749">
        <f>+'Balance de energía'!$X$23</f>
        <v>112.749</v>
      </c>
      <c r="F22" s="749">
        <f>+'Balance de energía'!$X$24</f>
        <v>122.14400000000001</v>
      </c>
      <c r="G22" s="749">
        <f>+'Balance de energía'!$X$25</f>
        <v>0</v>
      </c>
      <c r="H22" s="749">
        <f>+'Balance de energía'!$X$26</f>
        <v>0</v>
      </c>
      <c r="I22" s="749">
        <f>+'Balance de energía'!$X$27</f>
        <v>0</v>
      </c>
      <c r="J22" s="749">
        <f t="shared" si="1"/>
        <v>234.893</v>
      </c>
      <c r="K22" s="368"/>
    </row>
    <row r="23" spans="1:11" ht="15.95" customHeight="1">
      <c r="A23" s="204"/>
      <c r="B23" s="473" t="s">
        <v>611</v>
      </c>
      <c r="C23" s="749">
        <f>+'Balance de energía'!$Y$21</f>
        <v>0</v>
      </c>
      <c r="D23" s="749">
        <f>+'Balance de energía'!$Y$22</f>
        <v>0</v>
      </c>
      <c r="E23" s="749">
        <f>+'Balance de energía'!$Y$23</f>
        <v>0</v>
      </c>
      <c r="F23" s="749">
        <f>+'Balance de energía'!$Y$24</f>
        <v>195.45099999999999</v>
      </c>
      <c r="G23" s="749">
        <f>+'Balance de energía'!$Y$25</f>
        <v>0</v>
      </c>
      <c r="H23" s="749">
        <f>+'Balance de energía'!$Y$26</f>
        <v>0</v>
      </c>
      <c r="I23" s="749">
        <f>+'Balance de energía'!$Y$27</f>
        <v>0</v>
      </c>
      <c r="J23" s="749">
        <f t="shared" si="1"/>
        <v>195.45099999999999</v>
      </c>
      <c r="K23" s="368"/>
    </row>
    <row r="24" spans="1:11" ht="15.95" customHeight="1">
      <c r="A24" s="204"/>
      <c r="B24" s="473" t="s">
        <v>478</v>
      </c>
      <c r="C24" s="749">
        <f>+'Balance de energía'!$Z$21</f>
        <v>0</v>
      </c>
      <c r="D24" s="749">
        <f>+'Balance de energía'!$Z$22</f>
        <v>0</v>
      </c>
      <c r="E24" s="749">
        <f>+'Balance de energía'!$Z$23</f>
        <v>290.15300000000002</v>
      </c>
      <c r="F24" s="749">
        <f>+'Balance de energía'!$Z$24</f>
        <v>262.31700000000001</v>
      </c>
      <c r="G24" s="749">
        <f>+'Balance de energía'!$Z$25</f>
        <v>0</v>
      </c>
      <c r="H24" s="749">
        <f>+'Balance de energía'!$Z$26</f>
        <v>0</v>
      </c>
      <c r="I24" s="749">
        <f>+'Balance de energía'!$Z$27</f>
        <v>0</v>
      </c>
      <c r="J24" s="749">
        <f t="shared" si="1"/>
        <v>552.47</v>
      </c>
      <c r="K24" s="368"/>
    </row>
    <row r="25" spans="1:11" ht="15.95" customHeight="1">
      <c r="A25" s="204"/>
      <c r="B25" s="473" t="s">
        <v>279</v>
      </c>
      <c r="C25" s="749">
        <f>+'Balance de energía'!$AA$21</f>
        <v>0</v>
      </c>
      <c r="D25" s="749">
        <f>+'Balance de energía'!$AA$22</f>
        <v>0</v>
      </c>
      <c r="E25" s="749">
        <f>+'Balance de energía'!$AA$23</f>
        <v>0</v>
      </c>
      <c r="F25" s="749">
        <f>+'Balance de energía'!$AA$24</f>
        <v>0</v>
      </c>
      <c r="G25" s="749">
        <f>+'Balance de energía'!$AA$25</f>
        <v>0.25969270293200003</v>
      </c>
      <c r="H25" s="749">
        <f>+'Balance de energía'!$AA$26</f>
        <v>0</v>
      </c>
      <c r="I25" s="749">
        <f>+'Balance de energía'!$AA$27</f>
        <v>0</v>
      </c>
      <c r="J25" s="749">
        <f t="shared" si="1"/>
        <v>0.25969270293200003</v>
      </c>
      <c r="K25" s="368"/>
    </row>
    <row r="26" spans="1:11" ht="15.95" customHeight="1">
      <c r="A26" s="204"/>
      <c r="B26" s="473" t="s">
        <v>65</v>
      </c>
      <c r="C26" s="749">
        <f>+'Balance de energía'!$AB$21</f>
        <v>0</v>
      </c>
      <c r="D26" s="749">
        <f>+'Balance de energía'!$AB$22</f>
        <v>0</v>
      </c>
      <c r="E26" s="749">
        <f>+'Balance de energía'!$AB$23</f>
        <v>0</v>
      </c>
      <c r="F26" s="749">
        <f>+'Balance de energía'!$AB$24</f>
        <v>0</v>
      </c>
      <c r="G26" s="749">
        <f>+'Balance de energía'!$AB$25</f>
        <v>0</v>
      </c>
      <c r="H26" s="749">
        <f>+'Balance de energía'!$AB$26</f>
        <v>0</v>
      </c>
      <c r="I26" s="749">
        <f>+'Balance de energía'!$AB$27</f>
        <v>0</v>
      </c>
      <c r="J26" s="749">
        <f t="shared" si="1"/>
        <v>0</v>
      </c>
      <c r="K26" s="368"/>
    </row>
    <row r="27" spans="1:11" ht="15.95" customHeight="1">
      <c r="A27" s="204"/>
      <c r="B27" s="473" t="s">
        <v>135</v>
      </c>
      <c r="C27" s="749">
        <f>+'Balance de energía'!$D$21</f>
        <v>0</v>
      </c>
      <c r="D27" s="749">
        <f>+'Balance de energía'!$D$22</f>
        <v>0</v>
      </c>
      <c r="E27" s="749">
        <f>+'Balance de energía'!$D$23</f>
        <v>0</v>
      </c>
      <c r="F27" s="749">
        <f>+'Balance de energía'!$D$24</f>
        <v>23.247</v>
      </c>
      <c r="G27" s="749">
        <f>+'Balance de energía'!$D$25</f>
        <v>0</v>
      </c>
      <c r="H27" s="749">
        <f>+'Balance de energía'!$D$26</f>
        <v>2146.183672875808</v>
      </c>
      <c r="I27" s="749">
        <f>+'Balance de energía'!$D$27</f>
        <v>684.5718468</v>
      </c>
      <c r="J27" s="749">
        <f t="shared" si="1"/>
        <v>2854.0025196758079</v>
      </c>
      <c r="K27" s="368"/>
    </row>
    <row r="28" spans="1:11" ht="15.95" customHeight="1">
      <c r="A28" s="204"/>
      <c r="B28" s="473" t="s">
        <v>41</v>
      </c>
      <c r="C28" s="749">
        <f>+'Balance de energía'!$E$21</f>
        <v>0</v>
      </c>
      <c r="D28" s="749">
        <f>+'Balance de energía'!$E$22</f>
        <v>0</v>
      </c>
      <c r="E28" s="749">
        <f>+'Balance de energía'!$E$23</f>
        <v>0</v>
      </c>
      <c r="F28" s="749">
        <f>+'Balance de energía'!$E$24</f>
        <v>0</v>
      </c>
      <c r="G28" s="749">
        <f>+'Balance de energía'!$E$25</f>
        <v>0</v>
      </c>
      <c r="H28" s="749">
        <f>+'Balance de energía'!$E$26</f>
        <v>0</v>
      </c>
      <c r="I28" s="749">
        <f>+'Balance de energía'!$E$27</f>
        <v>0</v>
      </c>
      <c r="J28" s="749">
        <f t="shared" si="1"/>
        <v>0</v>
      </c>
      <c r="K28" s="368"/>
    </row>
    <row r="29" spans="1:11" ht="15.95" customHeight="1">
      <c r="A29" s="204"/>
      <c r="B29" s="471" t="s">
        <v>447</v>
      </c>
      <c r="C29" s="749">
        <f>+'Balance de energía'!$F$21</f>
        <v>0</v>
      </c>
      <c r="D29" s="749">
        <f>+'Balance de energía'!$F$22</f>
        <v>0</v>
      </c>
      <c r="E29" s="749">
        <f>+'Balance de energía'!$F$23</f>
        <v>0</v>
      </c>
      <c r="F29" s="749">
        <f>+'Balance de energía'!$F$24</f>
        <v>0</v>
      </c>
      <c r="G29" s="749">
        <f>+'Balance de energía'!$F$25</f>
        <v>0</v>
      </c>
      <c r="H29" s="749">
        <f>+'Balance de energía'!$F$26</f>
        <v>0</v>
      </c>
      <c r="I29" s="749">
        <f>+'Balance de energía'!$F$27</f>
        <v>0</v>
      </c>
      <c r="J29" s="749">
        <f t="shared" si="1"/>
        <v>0</v>
      </c>
      <c r="K29" s="368"/>
    </row>
    <row r="30" spans="1:11" ht="15.95" customHeight="1">
      <c r="A30" s="204"/>
      <c r="B30" s="473" t="s">
        <v>42</v>
      </c>
      <c r="C30" s="749">
        <f>+'Balance de energía'!$J$21</f>
        <v>0</v>
      </c>
      <c r="D30" s="749">
        <f>+'Balance de energía'!$J$22</f>
        <v>0</v>
      </c>
      <c r="E30" s="749">
        <f>+'Balance de energía'!$J$23</f>
        <v>0</v>
      </c>
      <c r="F30" s="749">
        <f>+'Balance de energía'!$J$24</f>
        <v>0</v>
      </c>
      <c r="G30" s="749">
        <f>+'Balance de energía'!$J$25</f>
        <v>0</v>
      </c>
      <c r="H30" s="749">
        <f>+'Balance de energía'!$J$26</f>
        <v>0</v>
      </c>
      <c r="I30" s="749">
        <f>+'Balance de energía'!$J$27</f>
        <v>0</v>
      </c>
      <c r="J30" s="749">
        <f t="shared" si="1"/>
        <v>0</v>
      </c>
      <c r="K30" s="368"/>
    </row>
    <row r="31" spans="1:11" ht="15.95" customHeight="1">
      <c r="A31" s="204"/>
      <c r="B31" s="472" t="s">
        <v>33</v>
      </c>
      <c r="C31" s="455">
        <f t="shared" ref="C31:J31" si="2">SUM(C20:C30)+C8</f>
        <v>7.3670684639999999</v>
      </c>
      <c r="D31" s="455">
        <f t="shared" si="2"/>
        <v>2742.6122376837475</v>
      </c>
      <c r="E31" s="455">
        <f t="shared" si="2"/>
        <v>402.90200000000004</v>
      </c>
      <c r="F31" s="455">
        <f t="shared" si="2"/>
        <v>639.00557489699997</v>
      </c>
      <c r="G31" s="455">
        <f t="shared" si="2"/>
        <v>0.26590000293200006</v>
      </c>
      <c r="H31" s="455">
        <f t="shared" si="2"/>
        <v>4848.7857493368638</v>
      </c>
      <c r="I31" s="455">
        <f t="shared" si="2"/>
        <v>697.50280680000003</v>
      </c>
      <c r="J31" s="455">
        <f t="shared" si="2"/>
        <v>9338.441337184544</v>
      </c>
      <c r="K31" s="368"/>
    </row>
    <row r="32" spans="1:11">
      <c r="A32" s="441"/>
      <c r="B32" s="442"/>
      <c r="C32" s="443"/>
      <c r="D32" s="443"/>
      <c r="E32" s="443"/>
      <c r="F32" s="443"/>
      <c r="G32" s="443"/>
      <c r="H32" s="443"/>
      <c r="I32" s="441"/>
    </row>
    <row r="33" spans="1:9">
      <c r="A33" s="444"/>
      <c r="B33" s="445" t="s">
        <v>15</v>
      </c>
      <c r="C33" s="446"/>
      <c r="D33" s="446"/>
      <c r="E33" s="443"/>
      <c r="F33" s="443"/>
      <c r="G33" s="443"/>
      <c r="H33" s="443"/>
      <c r="I33" s="441"/>
    </row>
    <row r="34" spans="1:9">
      <c r="A34" s="444"/>
      <c r="B34" s="447" t="s">
        <v>617</v>
      </c>
      <c r="C34" s="444"/>
      <c r="D34" s="444"/>
      <c r="E34" s="441"/>
      <c r="F34" s="441"/>
      <c r="G34" s="441"/>
      <c r="H34" s="441"/>
      <c r="I34" s="441"/>
    </row>
    <row r="35" spans="1:9">
      <c r="A35" s="444"/>
      <c r="B35" s="447" t="s">
        <v>618</v>
      </c>
      <c r="C35" s="444"/>
      <c r="D35" s="444"/>
      <c r="E35" s="441"/>
      <c r="F35" s="441"/>
      <c r="G35" s="441"/>
      <c r="H35" s="441"/>
      <c r="I35" s="441"/>
    </row>
    <row r="36" spans="1:9">
      <c r="A36" s="444"/>
      <c r="B36" s="447" t="s">
        <v>350</v>
      </c>
      <c r="C36" s="444"/>
      <c r="D36" s="444"/>
      <c r="E36" s="441"/>
      <c r="F36" s="441"/>
      <c r="G36" s="441"/>
      <c r="H36" s="441"/>
      <c r="I36" s="441"/>
    </row>
    <row r="37" spans="1:9">
      <c r="A37" s="444"/>
      <c r="B37" s="447" t="s">
        <v>336</v>
      </c>
      <c r="C37" s="444"/>
      <c r="D37" s="444"/>
      <c r="E37" s="441"/>
      <c r="F37" s="441"/>
      <c r="G37" s="441"/>
      <c r="H37" s="441"/>
      <c r="I37" s="441"/>
    </row>
    <row r="38" spans="1:9">
      <c r="A38" s="444"/>
      <c r="B38" s="313" t="s">
        <v>630</v>
      </c>
      <c r="C38" s="448"/>
      <c r="D38" s="449"/>
      <c r="E38" s="449"/>
      <c r="F38" s="449"/>
      <c r="G38" s="450"/>
      <c r="H38" s="441"/>
      <c r="I38" s="441"/>
    </row>
    <row r="39" spans="1:9">
      <c r="A39" s="444"/>
      <c r="B39" s="271" t="s">
        <v>338</v>
      </c>
      <c r="C39" s="451"/>
      <c r="D39" s="451"/>
      <c r="E39" s="451"/>
      <c r="F39" s="451"/>
      <c r="G39" s="451"/>
      <c r="H39" s="441"/>
      <c r="I39" s="441"/>
    </row>
    <row r="40" spans="1:9">
      <c r="A40" s="444"/>
      <c r="B40" s="452" t="s">
        <v>293</v>
      </c>
      <c r="C40" s="451"/>
      <c r="D40" s="451"/>
      <c r="E40" s="451"/>
      <c r="F40" s="451"/>
      <c r="G40" s="451"/>
      <c r="H40" s="441"/>
      <c r="I40" s="441"/>
    </row>
    <row r="41" spans="1:9">
      <c r="A41" s="444"/>
      <c r="B41" s="272" t="s">
        <v>527</v>
      </c>
      <c r="C41" s="451"/>
      <c r="D41" s="451"/>
      <c r="E41" s="451"/>
      <c r="F41" s="451"/>
      <c r="G41" s="451"/>
      <c r="H41" s="441"/>
      <c r="I41" s="441"/>
    </row>
    <row r="42" spans="1:9">
      <c r="A42" s="441"/>
      <c r="B42" s="441"/>
      <c r="C42" s="441"/>
      <c r="D42" s="441"/>
      <c r="E42" s="441"/>
      <c r="F42" s="441"/>
      <c r="G42" s="441"/>
      <c r="H42" s="441"/>
      <c r="I42" s="441"/>
    </row>
    <row r="43" spans="1:9">
      <c r="A43" s="441"/>
      <c r="B43" s="441"/>
      <c r="C43" s="441"/>
      <c r="D43" s="441"/>
      <c r="E43" s="441"/>
      <c r="F43" s="441"/>
      <c r="G43" s="441"/>
      <c r="H43" s="441"/>
      <c r="I43" s="441"/>
    </row>
    <row r="44" spans="1:9">
      <c r="A44" s="441"/>
      <c r="B44" s="441"/>
      <c r="C44" s="441"/>
      <c r="D44" s="441"/>
      <c r="E44" s="441"/>
      <c r="F44" s="441"/>
      <c r="G44" s="441"/>
      <c r="H44" s="441"/>
      <c r="I44" s="441"/>
    </row>
  </sheetData>
  <mergeCells count="13">
    <mergeCell ref="I6:I7"/>
    <mergeCell ref="C6:C7"/>
    <mergeCell ref="D6:D7"/>
    <mergeCell ref="B2:J2"/>
    <mergeCell ref="B3:J3"/>
    <mergeCell ref="B4:J4"/>
    <mergeCell ref="B5:J5"/>
    <mergeCell ref="E6:E7"/>
    <mergeCell ref="F6:F7"/>
    <mergeCell ref="G6:G7"/>
    <mergeCell ref="H6:H7"/>
    <mergeCell ref="B6:B7"/>
    <mergeCell ref="J6:J7"/>
  </mergeCells>
  <phoneticPr fontId="28" type="noConversion"/>
  <hyperlinks>
    <hyperlink ref="L2" location="Índice!A1" display="VOLVER A INDICE"/>
  </hyperlinks>
  <pageMargins left="0.75" right="0.75" top="1" bottom="1" header="0" footer="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theme="9" tint="0.39997558519241921"/>
  </sheetPr>
  <dimension ref="A1:O62"/>
  <sheetViews>
    <sheetView workbookViewId="0"/>
  </sheetViews>
  <sheetFormatPr baseColWidth="10" defaultRowHeight="12.75" outlineLevelRow="1"/>
  <cols>
    <col min="1" max="1" width="1.28515625" style="134" customWidth="1"/>
    <col min="2" max="2" width="30.28515625" style="134" customWidth="1"/>
    <col min="3" max="3" width="11.5703125" style="134" customWidth="1"/>
    <col min="4" max="4" width="17.28515625" style="134" customWidth="1"/>
    <col min="5" max="5" width="16.140625" style="134" customWidth="1"/>
    <col min="6" max="6" width="18.28515625" style="134" customWidth="1"/>
    <col min="7" max="7" width="14.85546875" style="134" bestFit="1" customWidth="1"/>
    <col min="8" max="8" width="13.5703125" style="134" customWidth="1"/>
    <col min="9" max="9" width="17.85546875" style="2" customWidth="1"/>
    <col min="10" max="10" width="11.42578125" style="2"/>
    <col min="11" max="11" width="11.85546875" style="2" bestFit="1" customWidth="1"/>
    <col min="12" max="15" width="11.42578125" style="2"/>
    <col min="16" max="16384" width="11.42578125" style="134"/>
  </cols>
  <sheetData>
    <row r="1" spans="1:15" ht="6" customHeight="1">
      <c r="A1" s="175"/>
      <c r="B1" s="175"/>
      <c r="C1" s="175"/>
      <c r="D1" s="175"/>
      <c r="E1" s="175"/>
      <c r="F1" s="175"/>
      <c r="G1" s="175"/>
      <c r="H1" s="175"/>
      <c r="I1" s="24"/>
    </row>
    <row r="2" spans="1:15" s="301" customFormat="1" ht="15.95" customHeight="1">
      <c r="A2" s="308"/>
      <c r="B2" s="826" t="s">
        <v>127</v>
      </c>
      <c r="C2" s="826"/>
      <c r="D2" s="826"/>
      <c r="E2" s="826"/>
      <c r="F2" s="826"/>
      <c r="G2" s="826"/>
      <c r="H2" s="826"/>
      <c r="I2" s="826"/>
      <c r="J2" s="826"/>
      <c r="K2" s="826"/>
      <c r="M2" s="699" t="s">
        <v>229</v>
      </c>
      <c r="N2" s="207"/>
      <c r="O2" s="207"/>
    </row>
    <row r="3" spans="1:15" s="301" customFormat="1" ht="15.95" customHeight="1">
      <c r="A3" s="308"/>
      <c r="B3" s="837" t="s">
        <v>346</v>
      </c>
      <c r="C3" s="837"/>
      <c r="D3" s="837"/>
      <c r="E3" s="837"/>
      <c r="F3" s="837"/>
      <c r="G3" s="837"/>
      <c r="H3" s="837"/>
      <c r="I3" s="837"/>
      <c r="J3" s="837"/>
      <c r="K3" s="837"/>
      <c r="M3" s="309"/>
      <c r="N3" s="207"/>
      <c r="O3" s="207"/>
    </row>
    <row r="4" spans="1:15" s="301" customFormat="1" ht="15.95" customHeight="1">
      <c r="A4" s="308"/>
      <c r="B4" s="837" t="s">
        <v>446</v>
      </c>
      <c r="C4" s="837"/>
      <c r="D4" s="837"/>
      <c r="E4" s="837"/>
      <c r="F4" s="837"/>
      <c r="G4" s="837"/>
      <c r="H4" s="837"/>
      <c r="I4" s="837"/>
      <c r="J4" s="837"/>
      <c r="K4" s="837"/>
      <c r="L4" s="421"/>
      <c r="M4" s="207"/>
      <c r="N4" s="207"/>
      <c r="O4" s="207"/>
    </row>
    <row r="5" spans="1:15" s="301" customFormat="1" ht="15.95" customHeight="1">
      <c r="A5" s="308"/>
      <c r="B5" s="837" t="s">
        <v>337</v>
      </c>
      <c r="C5" s="837"/>
      <c r="D5" s="837"/>
      <c r="E5" s="837"/>
      <c r="F5" s="837"/>
      <c r="G5" s="837"/>
      <c r="H5" s="837"/>
      <c r="I5" s="837"/>
      <c r="J5" s="837"/>
      <c r="K5" s="837"/>
      <c r="L5" s="421"/>
      <c r="M5" s="207"/>
      <c r="O5" s="207"/>
    </row>
    <row r="6" spans="1:15" s="301" customFormat="1" ht="15.95" customHeight="1">
      <c r="A6" s="298"/>
      <c r="B6" s="819" t="s">
        <v>253</v>
      </c>
      <c r="C6" s="827" t="s">
        <v>63</v>
      </c>
      <c r="D6" s="827" t="s">
        <v>448</v>
      </c>
      <c r="E6" s="827" t="s">
        <v>449</v>
      </c>
      <c r="F6" s="827" t="s">
        <v>450</v>
      </c>
      <c r="G6" s="827" t="s">
        <v>451</v>
      </c>
      <c r="H6" s="827" t="s">
        <v>282</v>
      </c>
      <c r="I6" s="827" t="s">
        <v>452</v>
      </c>
      <c r="J6" s="827" t="s">
        <v>453</v>
      </c>
      <c r="K6" s="819" t="s">
        <v>33</v>
      </c>
      <c r="L6" s="378"/>
      <c r="M6" s="207"/>
      <c r="O6" s="207"/>
    </row>
    <row r="7" spans="1:15" s="301" customFormat="1" ht="15.95" customHeight="1">
      <c r="A7" s="298"/>
      <c r="B7" s="819"/>
      <c r="C7" s="827"/>
      <c r="D7" s="827"/>
      <c r="E7" s="827"/>
      <c r="F7" s="827"/>
      <c r="G7" s="827"/>
      <c r="H7" s="827"/>
      <c r="I7" s="827"/>
      <c r="J7" s="827"/>
      <c r="K7" s="819"/>
      <c r="L7" s="378"/>
      <c r="M7" s="207"/>
      <c r="O7" s="207"/>
    </row>
    <row r="8" spans="1:15" s="301" customFormat="1" ht="15.95" customHeight="1">
      <c r="A8" s="298"/>
      <c r="B8" s="473" t="s">
        <v>345</v>
      </c>
      <c r="C8" s="749">
        <f>SUM(C9:C19)</f>
        <v>0</v>
      </c>
      <c r="D8" s="749">
        <f t="shared" ref="D8:K8" si="0">SUM(D9:D19)</f>
        <v>5126.3301304480847</v>
      </c>
      <c r="E8" s="749">
        <f t="shared" si="0"/>
        <v>2714.933878094118</v>
      </c>
      <c r="F8" s="749">
        <f t="shared" si="0"/>
        <v>0</v>
      </c>
      <c r="G8" s="749">
        <f t="shared" si="0"/>
        <v>0</v>
      </c>
      <c r="H8" s="749">
        <f t="shared" si="0"/>
        <v>0</v>
      </c>
      <c r="I8" s="749">
        <f t="shared" si="0"/>
        <v>686.44744250000042</v>
      </c>
      <c r="J8" s="749">
        <f t="shared" si="0"/>
        <v>0</v>
      </c>
      <c r="K8" s="749">
        <f t="shared" si="0"/>
        <v>8527.7114510422034</v>
      </c>
      <c r="L8" s="378"/>
      <c r="M8" s="207"/>
      <c r="O8" s="207"/>
    </row>
    <row r="9" spans="1:15" s="301" customFormat="1" ht="15.95" customHeight="1" outlineLevel="1">
      <c r="A9" s="298"/>
      <c r="B9" s="469" t="s">
        <v>269</v>
      </c>
      <c r="C9" s="748">
        <f>+'Cuadro Consumo (tcal)'!L$9</f>
        <v>0</v>
      </c>
      <c r="D9" s="748">
        <f>+'Cuadro Consumo (tcal)'!L$10</f>
        <v>4991.2980984480855</v>
      </c>
      <c r="E9" s="748">
        <f>'Cuadro Consumo (tcal)'!$L$11</f>
        <v>482.62237849135977</v>
      </c>
      <c r="F9" s="748">
        <f>'Cuadro Consumo (tcal)'!$L$12</f>
        <v>0</v>
      </c>
      <c r="G9" s="748">
        <f>+'Cuadro Consumo (tcal)'!$L$13</f>
        <v>0</v>
      </c>
      <c r="H9" s="748">
        <f>'Cuadro Consumo (tcal)'!$L$14</f>
        <v>0</v>
      </c>
      <c r="I9" s="748">
        <f>'Cuadro Consumo (tcal)'!$L$15</f>
        <v>1202.100396</v>
      </c>
      <c r="J9" s="748">
        <f>'Cuadro Consumo (tcal)'!$L$16</f>
        <v>0</v>
      </c>
      <c r="K9" s="749">
        <f>SUM(C9:J9)</f>
        <v>6676.0208729394453</v>
      </c>
      <c r="L9" s="378"/>
      <c r="M9" s="207"/>
      <c r="O9" s="207"/>
    </row>
    <row r="10" spans="1:15" s="301" customFormat="1" ht="15.95" customHeight="1" outlineLevel="1">
      <c r="A10" s="298"/>
      <c r="B10" s="469" t="s">
        <v>270</v>
      </c>
      <c r="C10" s="748">
        <f>+'Cuadro Consumo (tcal)'!$M$9</f>
        <v>0</v>
      </c>
      <c r="D10" s="748">
        <f>+'Cuadro Consumo (tcal)'!$M$10</f>
        <v>129.32850000000002</v>
      </c>
      <c r="E10" s="748">
        <f>'Cuadro Consumo (tcal)'!$M$11</f>
        <v>811.37341626499301</v>
      </c>
      <c r="F10" s="748">
        <f>'Cuadro Consumo (tcal)'!$M$12</f>
        <v>0</v>
      </c>
      <c r="G10" s="748">
        <f>'Cuadro Consumo (tcal)'!$M$13</f>
        <v>0</v>
      </c>
      <c r="H10" s="748">
        <f>'Cuadro Consumo (tcal)'!$M$14</f>
        <v>0</v>
      </c>
      <c r="I10" s="748">
        <f>'Cuadro Consumo (tcal)'!$M$15</f>
        <v>640.19550000000004</v>
      </c>
      <c r="J10" s="748">
        <f>'Cuadro Consumo (tcal)'!$M$16</f>
        <v>0</v>
      </c>
      <c r="K10" s="749">
        <f t="shared" ref="K10:K30" si="1">SUM(C10:J10)</f>
        <v>1580.8974162649931</v>
      </c>
      <c r="L10" s="378"/>
      <c r="M10" s="207"/>
      <c r="O10" s="207"/>
    </row>
    <row r="11" spans="1:15" s="301" customFormat="1" ht="15.95" customHeight="1" outlineLevel="1">
      <c r="A11" s="298"/>
      <c r="B11" s="469" t="s">
        <v>330</v>
      </c>
      <c r="C11" s="748">
        <f>+'Cuadro Consumo (tcal)'!$N$9</f>
        <v>0</v>
      </c>
      <c r="D11" s="748">
        <f>+'Cuadro Consumo (tcal)'!$N$10</f>
        <v>0</v>
      </c>
      <c r="E11" s="748">
        <f>'Cuadro Consumo (tcal)'!$N$11</f>
        <v>0</v>
      </c>
      <c r="F11" s="748">
        <f>'Cuadro Consumo (tcal)'!$N$12</f>
        <v>0</v>
      </c>
      <c r="G11" s="748">
        <f>'Cuadro Consumo (tcal)'!$N$13</f>
        <v>0</v>
      </c>
      <c r="H11" s="748">
        <f>'Cuadro Consumo (tcal)'!$N$14</f>
        <v>0</v>
      </c>
      <c r="I11" s="748">
        <f>'Cuadro Consumo (tcal)'!$N$15</f>
        <v>-2798.2032959999997</v>
      </c>
      <c r="J11" s="748">
        <f>'Cuadro Consumo (tcal)'!$N$16</f>
        <v>0</v>
      </c>
      <c r="K11" s="749">
        <f t="shared" si="1"/>
        <v>-2798.2032959999997</v>
      </c>
      <c r="L11" s="378"/>
      <c r="M11" s="207"/>
      <c r="N11" s="207"/>
      <c r="O11" s="207"/>
    </row>
    <row r="12" spans="1:15" s="301" customFormat="1" ht="15.95" customHeight="1" outlineLevel="1">
      <c r="A12" s="298"/>
      <c r="B12" s="469" t="s">
        <v>38</v>
      </c>
      <c r="C12" s="748">
        <f>+'Cuadro Consumo (tcal)'!$O$9</f>
        <v>0</v>
      </c>
      <c r="D12" s="748">
        <f>+'Cuadro Consumo (tcal)'!$O$10</f>
        <v>0</v>
      </c>
      <c r="E12" s="748">
        <f>'Cuadro Consumo (tcal)'!$O$11</f>
        <v>0</v>
      </c>
      <c r="F12" s="748">
        <f>'Cuadro Consumo (tcal)'!$O$12</f>
        <v>0</v>
      </c>
      <c r="G12" s="748">
        <f>'Cuadro Consumo (tcal)'!$O$13</f>
        <v>0</v>
      </c>
      <c r="H12" s="748">
        <f>'Cuadro Consumo (tcal)'!$O$14</f>
        <v>0</v>
      </c>
      <c r="I12" s="748">
        <f>'Cuadro Consumo (tcal)'!$O$15</f>
        <v>58.360581000000025</v>
      </c>
      <c r="J12" s="748">
        <f>'Cuadro Consumo (tcal)'!$O$16</f>
        <v>0</v>
      </c>
      <c r="K12" s="749">
        <f t="shared" si="1"/>
        <v>58.360581000000025</v>
      </c>
      <c r="L12" s="378"/>
      <c r="M12" s="207"/>
      <c r="N12" s="207"/>
      <c r="O12" s="207"/>
    </row>
    <row r="13" spans="1:15" s="301" customFormat="1" ht="15.95" customHeight="1" outlineLevel="1">
      <c r="A13" s="298"/>
      <c r="B13" s="469" t="s">
        <v>271</v>
      </c>
      <c r="C13" s="748">
        <f>+'Cuadro Consumo (tcal)'!$P$9</f>
        <v>0</v>
      </c>
      <c r="D13" s="748">
        <f>+'Cuadro Consumo (tcal)'!$P$10</f>
        <v>3.9502870000000003</v>
      </c>
      <c r="E13" s="748">
        <f>'Cuadro Consumo (tcal)'!$P$11</f>
        <v>15.663229237765302</v>
      </c>
      <c r="F13" s="748">
        <f>'Cuadro Consumo (tcal)'!$P$12</f>
        <v>0</v>
      </c>
      <c r="G13" s="748">
        <f>'Cuadro Consumo (tcal)'!$P$13</f>
        <v>0</v>
      </c>
      <c r="H13" s="748">
        <f>'Cuadro Consumo (tcal)'!$P$14</f>
        <v>0</v>
      </c>
      <c r="I13" s="748">
        <f>'Cuadro Consumo (tcal)'!$P$15</f>
        <v>67.621455000000012</v>
      </c>
      <c r="J13" s="748">
        <f>'Cuadro Consumo (tcal)'!$P$16</f>
        <v>0</v>
      </c>
      <c r="K13" s="749">
        <f t="shared" si="1"/>
        <v>87.234971237765308</v>
      </c>
      <c r="L13" s="378"/>
      <c r="M13" s="207"/>
      <c r="N13" s="207"/>
      <c r="O13" s="207"/>
    </row>
    <row r="14" spans="1:15" s="301" customFormat="1" ht="15.95" customHeight="1" outlineLevel="1">
      <c r="A14" s="298"/>
      <c r="B14" s="469" t="s">
        <v>272</v>
      </c>
      <c r="C14" s="748">
        <f>+'Cuadro Consumo (tcal)'!$Q$9</f>
        <v>0</v>
      </c>
      <c r="D14" s="748">
        <f>+'Cuadro Consumo (tcal)'!$Q$10</f>
        <v>0</v>
      </c>
      <c r="E14" s="748">
        <f>'Cuadro Consumo (tcal)'!$Q$11</f>
        <v>0</v>
      </c>
      <c r="F14" s="748">
        <f>'Cuadro Consumo (tcal)'!$Q$12</f>
        <v>0</v>
      </c>
      <c r="G14" s="748">
        <f>'Cuadro Consumo (tcal)'!$Q$13</f>
        <v>0</v>
      </c>
      <c r="H14" s="748">
        <f>'Cuadro Consumo (tcal)'!$Q$14</f>
        <v>0</v>
      </c>
      <c r="I14" s="748">
        <f>'Cuadro Consumo (tcal)'!$Q$15</f>
        <v>0</v>
      </c>
      <c r="J14" s="748">
        <f>'Cuadro Consumo (tcal)'!$Q$16</f>
        <v>0</v>
      </c>
      <c r="K14" s="749">
        <f t="shared" si="1"/>
        <v>0</v>
      </c>
      <c r="L14" s="378"/>
      <c r="M14" s="207"/>
      <c r="N14" s="207"/>
      <c r="O14" s="207"/>
    </row>
    <row r="15" spans="1:15" s="301" customFormat="1" ht="15.95" customHeight="1" outlineLevel="1">
      <c r="A15" s="298"/>
      <c r="B15" s="469" t="s">
        <v>273</v>
      </c>
      <c r="C15" s="748">
        <f>+'Cuadro Consumo (tcal)'!$R$9</f>
        <v>0</v>
      </c>
      <c r="D15" s="748">
        <f>'Cuadro Consumo (tcal)'!$R$10</f>
        <v>1.7532450000000002</v>
      </c>
      <c r="E15" s="748">
        <f>'Cuadro Consumo (tcal)'!$R$11</f>
        <v>4.5854100000000002E-2</v>
      </c>
      <c r="F15" s="748">
        <f>'Cuadro Consumo (tcal)'!$R$12</f>
        <v>0</v>
      </c>
      <c r="G15" s="748">
        <f>'Cuadro Consumo (tcal)'!$R$13</f>
        <v>0</v>
      </c>
      <c r="H15" s="748">
        <f>'Cuadro Consumo (tcal)'!$R$14</f>
        <v>0</v>
      </c>
      <c r="I15" s="748">
        <f>'Cuadro Consumo (tcal)'!$R$15</f>
        <v>0</v>
      </c>
      <c r="J15" s="748">
        <f>'Cuadro Consumo (tcal)'!$R$16</f>
        <v>0</v>
      </c>
      <c r="K15" s="749">
        <f t="shared" si="1"/>
        <v>1.7990991000000001</v>
      </c>
      <c r="L15" s="378"/>
      <c r="M15" s="207"/>
      <c r="N15" s="207"/>
      <c r="O15" s="207"/>
    </row>
    <row r="16" spans="1:15" s="301" customFormat="1" ht="15.95" customHeight="1" outlineLevel="1">
      <c r="A16" s="298"/>
      <c r="B16" s="469" t="s">
        <v>40</v>
      </c>
      <c r="C16" s="748">
        <f>+'Cuadro Consumo (tcal)'!$S$9</f>
        <v>0</v>
      </c>
      <c r="D16" s="748">
        <f>'Cuadro Consumo (tcal)'!$S$10</f>
        <v>0</v>
      </c>
      <c r="E16" s="748">
        <f>'Cuadro Consumo (tcal)'!$S$11</f>
        <v>0</v>
      </c>
      <c r="F16" s="748">
        <f>'Cuadro Consumo (tcal)'!$S$12</f>
        <v>0</v>
      </c>
      <c r="G16" s="748">
        <f>'Cuadro Consumo (tcal)'!$S$13</f>
        <v>0</v>
      </c>
      <c r="H16" s="748">
        <f>'Cuadro Consumo (tcal)'!$S$14</f>
        <v>0</v>
      </c>
      <c r="I16" s="748">
        <f>'Cuadro Consumo (tcal)'!$S$15</f>
        <v>1516.3728065</v>
      </c>
      <c r="J16" s="748">
        <f>'Cuadro Consumo (tcal)'!$S$16</f>
        <v>0</v>
      </c>
      <c r="K16" s="749">
        <f t="shared" si="1"/>
        <v>1516.3728065</v>
      </c>
      <c r="L16" s="378"/>
      <c r="M16" s="207"/>
      <c r="N16" s="207"/>
      <c r="O16" s="207"/>
    </row>
    <row r="17" spans="1:15" s="301" customFormat="1" ht="15.95" customHeight="1" outlineLevel="1">
      <c r="A17" s="298"/>
      <c r="B17" s="469" t="s">
        <v>274</v>
      </c>
      <c r="C17" s="748">
        <f>+'Cuadro Consumo (tcal)'!$T$9</f>
        <v>0</v>
      </c>
      <c r="D17" s="748">
        <f>'Cuadro Consumo (tcal)'!$T$10</f>
        <v>0</v>
      </c>
      <c r="E17" s="748">
        <f>'Cuadro Consumo (tcal)'!$T$11</f>
        <v>0</v>
      </c>
      <c r="F17" s="748">
        <f>'Cuadro Consumo (tcal)'!$T$12</f>
        <v>0</v>
      </c>
      <c r="G17" s="748">
        <f>'Cuadro Consumo (tcal)'!$T$13</f>
        <v>0</v>
      </c>
      <c r="H17" s="748">
        <f>'Cuadro Consumo (tcal)'!$T$14</f>
        <v>0</v>
      </c>
      <c r="I17" s="748">
        <f>'Cuadro Consumo (tcal)'!$T$15</f>
        <v>0</v>
      </c>
      <c r="J17" s="748">
        <f>'Cuadro Consumo (tcal)'!$T$16</f>
        <v>0</v>
      </c>
      <c r="K17" s="749">
        <f t="shared" si="1"/>
        <v>0</v>
      </c>
      <c r="L17" s="378"/>
      <c r="M17" s="207"/>
      <c r="N17" s="207"/>
      <c r="O17" s="207"/>
    </row>
    <row r="18" spans="1:15" s="301" customFormat="1" ht="15.95" customHeight="1" outlineLevel="1">
      <c r="A18" s="298"/>
      <c r="B18" s="470" t="s">
        <v>275</v>
      </c>
      <c r="C18" s="748">
        <f>+'Cuadro Consumo (tcal)'!$U$9</f>
        <v>0</v>
      </c>
      <c r="D18" s="748">
        <f>'Cuadro Consumo (tcal)'!$U$10</f>
        <v>0</v>
      </c>
      <c r="E18" s="748">
        <f>'Cuadro Consumo (tcal)'!$U$11</f>
        <v>1405.229</v>
      </c>
      <c r="F18" s="748">
        <f>'Cuadro Consumo (tcal)'!$U$12</f>
        <v>0</v>
      </c>
      <c r="G18" s="748">
        <f>'Cuadro Consumo (tcal)'!$U$13</f>
        <v>0</v>
      </c>
      <c r="H18" s="748">
        <f>'Cuadro Consumo (tcal)'!$U$14</f>
        <v>0</v>
      </c>
      <c r="I18" s="748">
        <f>'Cuadro Consumo (tcal)'!$U$15</f>
        <v>0</v>
      </c>
      <c r="J18" s="748">
        <f>'Cuadro Consumo (tcal)'!$U$16</f>
        <v>0</v>
      </c>
      <c r="K18" s="749">
        <f t="shared" si="1"/>
        <v>1405.229</v>
      </c>
      <c r="L18" s="378"/>
      <c r="M18" s="207"/>
      <c r="N18" s="207"/>
      <c r="O18" s="207"/>
    </row>
    <row r="19" spans="1:15" s="301" customFormat="1" ht="15.95" customHeight="1" outlineLevel="1">
      <c r="A19" s="298"/>
      <c r="B19" s="470" t="s">
        <v>479</v>
      </c>
      <c r="C19" s="748">
        <f>+'Cuadro Consumo (tcal)'!$V$9</f>
        <v>0</v>
      </c>
      <c r="D19" s="748">
        <f>'Cuadro Consumo (tcal)'!$V$10</f>
        <v>0</v>
      </c>
      <c r="E19" s="748">
        <f>'Cuadro Consumo (tcal)'!$V$11</f>
        <v>0</v>
      </c>
      <c r="F19" s="748">
        <f>'Cuadro Consumo (tcal)'!$V$12</f>
        <v>0</v>
      </c>
      <c r="G19" s="748">
        <f>'Cuadro Consumo (tcal)'!$V$13</f>
        <v>0</v>
      </c>
      <c r="H19" s="748">
        <f>'Cuadro Consumo (tcal)'!$V$14</f>
        <v>0</v>
      </c>
      <c r="I19" s="748">
        <f>'Cuadro Consumo (tcal)'!$V$15</f>
        <v>0</v>
      </c>
      <c r="J19" s="748">
        <f>'Cuadro Consumo (tcal)'!$V$16</f>
        <v>0</v>
      </c>
      <c r="K19" s="749">
        <f t="shared" si="1"/>
        <v>0</v>
      </c>
      <c r="L19" s="378"/>
      <c r="M19" s="207"/>
      <c r="N19" s="207"/>
      <c r="O19" s="207"/>
    </row>
    <row r="20" spans="1:15" s="301" customFormat="1" ht="15.95" customHeight="1">
      <c r="A20" s="298"/>
      <c r="B20" s="473" t="s">
        <v>126</v>
      </c>
      <c r="C20" s="749">
        <f>+'Cuadro Consumo (tcal)'!$W$9</f>
        <v>0</v>
      </c>
      <c r="D20" s="749">
        <f>'Cuadro Consumo (tcal)'!$W$10</f>
        <v>0</v>
      </c>
      <c r="E20" s="749">
        <f>'Cuadro Consumo (tcal)'!$W$11</f>
        <v>0</v>
      </c>
      <c r="F20" s="749">
        <f>'Cuadro Consumo (tcal)'!$W$12</f>
        <v>0</v>
      </c>
      <c r="G20" s="749">
        <f>'Cuadro Consumo (tcal)'!$W$13</f>
        <v>0</v>
      </c>
      <c r="H20" s="749">
        <f>'Cuadro Consumo (tcal)'!$W$14</f>
        <v>0</v>
      </c>
      <c r="I20" s="749">
        <f>'Cuadro Consumo (tcal)'!$W$15</f>
        <v>0</v>
      </c>
      <c r="J20" s="749">
        <f>'Cuadro Consumo (tcal)'!$W$16</f>
        <v>0</v>
      </c>
      <c r="K20" s="749">
        <f t="shared" si="1"/>
        <v>0</v>
      </c>
      <c r="L20" s="378"/>
      <c r="M20" s="207"/>
      <c r="N20" s="207"/>
      <c r="O20" s="207"/>
    </row>
    <row r="21" spans="1:15" s="301" customFormat="1" ht="15.95" customHeight="1">
      <c r="A21" s="298"/>
      <c r="B21" s="473" t="s">
        <v>292</v>
      </c>
      <c r="C21" s="749">
        <f>+'Cuadro Consumo (tcal)'!$X$9</f>
        <v>0</v>
      </c>
      <c r="D21" s="749">
        <f>'Cuadro Consumo (tcal)'!$X$10</f>
        <v>0</v>
      </c>
      <c r="E21" s="749">
        <f>'Cuadro Consumo (tcal)'!$X$11</f>
        <v>0</v>
      </c>
      <c r="F21" s="749">
        <f>'Cuadro Consumo (tcal)'!$X$12</f>
        <v>0</v>
      </c>
      <c r="G21" s="749">
        <f>'Cuadro Consumo (tcal)'!$X$13</f>
        <v>2518.1265297599998</v>
      </c>
      <c r="H21" s="749">
        <f>'Cuadro Consumo (tcal)'!$X$14</f>
        <v>0</v>
      </c>
      <c r="I21" s="749">
        <f>'Cuadro Consumo (tcal)'!$X$15</f>
        <v>0</v>
      </c>
      <c r="J21" s="749">
        <f>'Cuadro Consumo (tcal)'!$X$16</f>
        <v>0</v>
      </c>
      <c r="K21" s="749">
        <f t="shared" si="1"/>
        <v>2518.1265297599998</v>
      </c>
      <c r="L21" s="378"/>
      <c r="M21" s="207"/>
      <c r="N21" s="207"/>
      <c r="O21" s="207"/>
    </row>
    <row r="22" spans="1:15" s="301" customFormat="1" ht="15.95" customHeight="1">
      <c r="A22" s="298"/>
      <c r="B22" s="473" t="s">
        <v>277</v>
      </c>
      <c r="C22" s="749">
        <f>'Cuadro Consumo (tcal)'!$Y$9</f>
        <v>0</v>
      </c>
      <c r="D22" s="749">
        <f>'Cuadro Consumo (tcal)'!$Y$10</f>
        <v>0</v>
      </c>
      <c r="E22" s="749">
        <f>'Cuadro Consumo (tcal)'!$Y$11</f>
        <v>0</v>
      </c>
      <c r="F22" s="749">
        <f>'Cuadro Consumo (tcal)'!$Y$12</f>
        <v>0</v>
      </c>
      <c r="G22" s="749">
        <f>'Cuadro Consumo (tcal)'!$Y$13</f>
        <v>0</v>
      </c>
      <c r="H22" s="749">
        <f>'Cuadro Consumo (tcal)'!$Y$14</f>
        <v>0</v>
      </c>
      <c r="I22" s="749">
        <f>'Cuadro Consumo (tcal)'!$Y$15</f>
        <v>0</v>
      </c>
      <c r="J22" s="749">
        <f>'Cuadro Consumo (tcal)'!$Y$16</f>
        <v>0</v>
      </c>
      <c r="K22" s="749">
        <f t="shared" si="1"/>
        <v>0</v>
      </c>
      <c r="L22" s="378"/>
      <c r="M22" s="207"/>
      <c r="N22" s="207"/>
      <c r="O22" s="207"/>
    </row>
    <row r="23" spans="1:15" s="301" customFormat="1" ht="15.95" customHeight="1">
      <c r="A23" s="298"/>
      <c r="B23" s="473" t="s">
        <v>341</v>
      </c>
      <c r="C23" s="749">
        <f>+'Cuadro Consumo (tcal)'!$Z$9</f>
        <v>0</v>
      </c>
      <c r="D23" s="749">
        <f>'Cuadro Consumo (tcal)'!$Z$10</f>
        <v>0</v>
      </c>
      <c r="E23" s="749">
        <f>'Cuadro Consumo (tcal)'!$Z$11</f>
        <v>0</v>
      </c>
      <c r="F23" s="749">
        <f>'Cuadro Consumo (tcal)'!$Z$12</f>
        <v>0</v>
      </c>
      <c r="G23" s="749">
        <f>'Cuadro Consumo (tcal)'!$Z$13</f>
        <v>0</v>
      </c>
      <c r="H23" s="749">
        <f>'Cuadro Consumo (tcal)'!$Z$14</f>
        <v>0</v>
      </c>
      <c r="I23" s="749">
        <f>'Cuadro Consumo (tcal)'!$Z$15</f>
        <v>0</v>
      </c>
      <c r="J23" s="749">
        <f>'Cuadro Consumo (tcal)'!$Z$16</f>
        <v>0</v>
      </c>
      <c r="K23" s="749">
        <f t="shared" si="1"/>
        <v>0</v>
      </c>
      <c r="L23" s="378"/>
      <c r="M23" s="207"/>
      <c r="N23" s="207"/>
      <c r="O23" s="207"/>
    </row>
    <row r="24" spans="1:15" s="301" customFormat="1" ht="15.95" customHeight="1">
      <c r="A24" s="298"/>
      <c r="B24" s="473" t="s">
        <v>478</v>
      </c>
      <c r="C24" s="749">
        <f>+'Cuadro Consumo (tcal)'!$AA$9</f>
        <v>0</v>
      </c>
      <c r="D24" s="749">
        <f>'Cuadro Consumo (tcal)'!$AA$10</f>
        <v>0</v>
      </c>
      <c r="E24" s="749">
        <f>'Cuadro Consumo (tcal)'!$AA$11</f>
        <v>0</v>
      </c>
      <c r="F24" s="749">
        <f>'Cuadro Consumo (tcal)'!$AA$12</f>
        <v>0</v>
      </c>
      <c r="G24" s="749">
        <f>'Cuadro Consumo (tcal)'!$AA$13</f>
        <v>0</v>
      </c>
      <c r="H24" s="749">
        <f>'Cuadro Consumo (tcal)'!$AA$14</f>
        <v>0</v>
      </c>
      <c r="I24" s="749">
        <f>'Cuadro Consumo (tcal)'!$AA$15</f>
        <v>0</v>
      </c>
      <c r="J24" s="749">
        <f>'Cuadro Consumo (tcal)'!$AA$16</f>
        <v>0</v>
      </c>
      <c r="K24" s="749">
        <f t="shared" si="1"/>
        <v>0</v>
      </c>
      <c r="L24" s="378"/>
      <c r="M24" s="207"/>
      <c r="N24" s="207"/>
      <c r="O24" s="207"/>
    </row>
    <row r="25" spans="1:15" s="301" customFormat="1" ht="15.95" customHeight="1">
      <c r="A25" s="298"/>
      <c r="B25" s="473" t="s">
        <v>279</v>
      </c>
      <c r="C25" s="749">
        <f>+'Cuadro Consumo (tcal)'!$AB$9</f>
        <v>0</v>
      </c>
      <c r="D25" s="749">
        <f>'Cuadro Consumo (tcal)'!$AB$10</f>
        <v>0</v>
      </c>
      <c r="E25" s="749">
        <f>'Cuadro Consumo (tcal)'!$AB$11</f>
        <v>0</v>
      </c>
      <c r="F25" s="749">
        <f>'Cuadro Consumo (tcal)'!$AB$12</f>
        <v>0</v>
      </c>
      <c r="G25" s="749">
        <f>'Cuadro Consumo (tcal)'!$AB$13</f>
        <v>0</v>
      </c>
      <c r="H25" s="749">
        <f>'Cuadro Consumo (tcal)'!$AB$14</f>
        <v>0</v>
      </c>
      <c r="I25" s="749">
        <f>'Cuadro Consumo (tcal)'!$AB$15</f>
        <v>0</v>
      </c>
      <c r="J25" s="749">
        <f>'Cuadro Consumo (tcal)'!$AB$16</f>
        <v>0</v>
      </c>
      <c r="K25" s="749">
        <f t="shared" si="1"/>
        <v>0</v>
      </c>
      <c r="L25" s="378"/>
      <c r="M25" s="207"/>
      <c r="N25" s="207"/>
      <c r="O25" s="207"/>
    </row>
    <row r="26" spans="1:15" s="301" customFormat="1" ht="15.95" customHeight="1">
      <c r="A26" s="298"/>
      <c r="B26" s="473" t="s">
        <v>65</v>
      </c>
      <c r="C26" s="749">
        <f>+'Cuadro Consumo (tcal)'!$AC$9</f>
        <v>0</v>
      </c>
      <c r="D26" s="749">
        <f>'Cuadro Consumo (tcal)'!$AC$10</f>
        <v>0</v>
      </c>
      <c r="E26" s="749">
        <f>'Cuadro Consumo (tcal)'!$AC$11</f>
        <v>0</v>
      </c>
      <c r="F26" s="749">
        <f>'Cuadro Consumo (tcal)'!$AC$12</f>
        <v>0</v>
      </c>
      <c r="G26" s="749">
        <f>'Cuadro Consumo (tcal)'!$AC$13</f>
        <v>0</v>
      </c>
      <c r="H26" s="749">
        <f>'Cuadro Consumo (tcal)'!$AC$14</f>
        <v>0</v>
      </c>
      <c r="I26" s="749">
        <f>'Cuadro Consumo (tcal)'!$AC$15</f>
        <v>0</v>
      </c>
      <c r="J26" s="749">
        <f>'Cuadro Consumo (tcal)'!$AC$16</f>
        <v>0</v>
      </c>
      <c r="K26" s="749">
        <f t="shared" si="1"/>
        <v>0</v>
      </c>
      <c r="L26" s="378"/>
      <c r="M26" s="207"/>
      <c r="N26" s="207"/>
      <c r="O26" s="207"/>
    </row>
    <row r="27" spans="1:15" s="301" customFormat="1" ht="15.95" customHeight="1">
      <c r="A27" s="298"/>
      <c r="B27" s="473" t="s">
        <v>135</v>
      </c>
      <c r="C27" s="749">
        <f>+'Cuadro Consumo (tcal)'!$E$9</f>
        <v>0</v>
      </c>
      <c r="D27" s="749">
        <f>'Cuadro Consumo (tcal)'!$E$10</f>
        <v>21126.819928204917</v>
      </c>
      <c r="E27" s="749">
        <f>'Cuadro Consumo (tcal)'!$E$11</f>
        <v>433.14320740573044</v>
      </c>
      <c r="F27" s="749">
        <f>+'Cuadro Consumo (tcal)'!$E$12</f>
        <v>0</v>
      </c>
      <c r="G27" s="749">
        <f>+'Cuadro Consumo (tcal)'!$E$13</f>
        <v>0</v>
      </c>
      <c r="H27" s="749">
        <f>+'Cuadro Consumo (tcal)'!$E$14</f>
        <v>77.908834900000002</v>
      </c>
      <c r="I27" s="749">
        <f>'Cuadro Consumo (tcal)'!$E$15</f>
        <v>0</v>
      </c>
      <c r="J27" s="749">
        <f>+'Cuadro Consumo (tcal)'!$E$16</f>
        <v>1440.1247439000001</v>
      </c>
      <c r="K27" s="749">
        <f t="shared" si="1"/>
        <v>23077.996714410649</v>
      </c>
      <c r="L27" s="378"/>
      <c r="M27" s="207"/>
      <c r="N27" s="207"/>
      <c r="O27" s="207"/>
    </row>
    <row r="28" spans="1:15" s="301" customFormat="1" ht="15.95" customHeight="1">
      <c r="A28" s="298"/>
      <c r="B28" s="473" t="s">
        <v>41</v>
      </c>
      <c r="C28" s="749">
        <f>+'Cuadro Consumo (tcal)'!$F$9</f>
        <v>0</v>
      </c>
      <c r="D28" s="749">
        <f>'Cuadro Consumo (tcal)'!$F$10</f>
        <v>69012.961753022944</v>
      </c>
      <c r="E28" s="749">
        <f>+'Cuadro Consumo (tcal)'!$F$11</f>
        <v>0</v>
      </c>
      <c r="F28" s="749">
        <f>+'Cuadro Consumo (tcal)'!$F$12</f>
        <v>3845.6002296000006</v>
      </c>
      <c r="G28" s="749">
        <f>+'Cuadro Consumo (tcal)'!$F$13</f>
        <v>0</v>
      </c>
      <c r="H28" s="749">
        <f>+'Cuadro Consumo (tcal)'!$F$14</f>
        <v>0</v>
      </c>
      <c r="I28" s="749">
        <f>+'Cuadro Consumo (tcal)'!$F$15</f>
        <v>0</v>
      </c>
      <c r="J28" s="749">
        <f>+'Cuadro Consumo (tcal)'!$F$16</f>
        <v>0</v>
      </c>
      <c r="K28" s="749">
        <f t="shared" si="1"/>
        <v>72858.561982622952</v>
      </c>
      <c r="L28" s="378"/>
      <c r="M28" s="207"/>
      <c r="N28" s="207"/>
      <c r="O28" s="207"/>
    </row>
    <row r="29" spans="1:15" s="301" customFormat="1" ht="15.95" customHeight="1">
      <c r="A29" s="298"/>
      <c r="B29" s="471" t="s">
        <v>447</v>
      </c>
      <c r="C29" s="749">
        <f>+'Cuadro Consumo (tcal)'!$G$9</f>
        <v>0</v>
      </c>
      <c r="D29" s="749">
        <f>'Cuadro Consumo (tcal)'!$G$10</f>
        <v>8609.1570452998494</v>
      </c>
      <c r="E29" s="749">
        <f>+'Cuadro Consumo (tcal)'!$G$11</f>
        <v>27085.871608537927</v>
      </c>
      <c r="F29" s="749">
        <f>+'Cuadro Consumo (tcal)'!$G$12</f>
        <v>0</v>
      </c>
      <c r="G29" s="749">
        <f>+'Cuadro Consumo (tcal)'!$G$13</f>
        <v>0</v>
      </c>
      <c r="H29" s="749">
        <f>+'Cuadro Consumo (tcal)'!$G$14</f>
        <v>0</v>
      </c>
      <c r="I29" s="749">
        <f>+'Cuadro Consumo (tcal)'!$G$15</f>
        <v>0</v>
      </c>
      <c r="J29" s="749">
        <f>+'Cuadro Consumo (tcal)'!$G$16</f>
        <v>0</v>
      </c>
      <c r="K29" s="749">
        <f t="shared" si="1"/>
        <v>35695.028653837777</v>
      </c>
      <c r="L29" s="378"/>
      <c r="M29" s="207"/>
      <c r="N29" s="207"/>
      <c r="O29" s="207"/>
    </row>
    <row r="30" spans="1:15" s="301" customFormat="1" ht="15.95" customHeight="1">
      <c r="A30" s="298"/>
      <c r="B30" s="473" t="s">
        <v>42</v>
      </c>
      <c r="C30" s="749">
        <f>+'Cuadro Consumo (tcal)'!$K$9</f>
        <v>0</v>
      </c>
      <c r="D30" s="749">
        <f>'Cuadro Consumo (tcal)'!$K$10</f>
        <v>667.45203408510167</v>
      </c>
      <c r="E30" s="749">
        <f>+'Cuadro Consumo (tcal)'!$K$11</f>
        <v>0</v>
      </c>
      <c r="F30" s="749">
        <f>+'Cuadro Consumo (tcal)'!$K$12</f>
        <v>0</v>
      </c>
      <c r="G30" s="749">
        <f>+'Cuadro Consumo (tcal)'!$K$13</f>
        <v>0</v>
      </c>
      <c r="H30" s="749">
        <f>+'Cuadro Consumo (tcal)'!$K$14</f>
        <v>11.2</v>
      </c>
      <c r="I30" s="749">
        <f>+'Cuadro Consumo (tcal)'!$K$15</f>
        <v>0</v>
      </c>
      <c r="J30" s="749">
        <f>+'Cuadro Consumo (tcal)'!$K$16</f>
        <v>0</v>
      </c>
      <c r="K30" s="749">
        <f t="shared" si="1"/>
        <v>678.65203408510172</v>
      </c>
      <c r="L30" s="378"/>
      <c r="M30" s="207"/>
      <c r="N30" s="207"/>
      <c r="O30" s="207"/>
    </row>
    <row r="31" spans="1:15" s="301" customFormat="1" ht="15.95" customHeight="1">
      <c r="A31" s="298"/>
      <c r="B31" s="472" t="s">
        <v>33</v>
      </c>
      <c r="C31" s="455">
        <f>SUM(C20:C30)+C8</f>
        <v>0</v>
      </c>
      <c r="D31" s="455">
        <f t="shared" ref="D31:K31" si="2">SUM(D20:D30)+D8</f>
        <v>104542.72089106089</v>
      </c>
      <c r="E31" s="455">
        <f t="shared" si="2"/>
        <v>30233.948694037776</v>
      </c>
      <c r="F31" s="455">
        <f t="shared" si="2"/>
        <v>3845.6002296000006</v>
      </c>
      <c r="G31" s="455">
        <f t="shared" si="2"/>
        <v>2518.1265297599998</v>
      </c>
      <c r="H31" s="455">
        <f t="shared" si="2"/>
        <v>89.108834900000005</v>
      </c>
      <c r="I31" s="455">
        <f t="shared" si="2"/>
        <v>686.44744250000042</v>
      </c>
      <c r="J31" s="455">
        <f t="shared" si="2"/>
        <v>1440.1247439000001</v>
      </c>
      <c r="K31" s="455">
        <f t="shared" si="2"/>
        <v>143356.07736575868</v>
      </c>
      <c r="L31" s="378"/>
      <c r="M31" s="207"/>
      <c r="N31" s="207"/>
      <c r="O31" s="207"/>
    </row>
    <row r="32" spans="1:15">
      <c r="A32" s="175"/>
      <c r="B32" s="304"/>
      <c r="C32" s="305"/>
      <c r="D32" s="305"/>
      <c r="E32" s="305"/>
      <c r="F32" s="305"/>
      <c r="G32" s="305"/>
      <c r="H32" s="305"/>
      <c r="I32" s="306"/>
    </row>
    <row r="33" spans="1:10">
      <c r="A33" s="136"/>
      <c r="B33" s="278" t="s">
        <v>195</v>
      </c>
      <c r="C33" s="219"/>
      <c r="D33" s="220"/>
      <c r="E33" s="220"/>
      <c r="F33" s="220"/>
      <c r="G33" s="220"/>
      <c r="H33" s="220"/>
      <c r="I33" s="174"/>
    </row>
    <row r="34" spans="1:10">
      <c r="A34" s="136"/>
      <c r="B34" s="279" t="s">
        <v>334</v>
      </c>
      <c r="C34" s="219"/>
      <c r="D34" s="220"/>
      <c r="E34" s="220"/>
      <c r="F34" s="220"/>
      <c r="G34" s="220"/>
      <c r="H34" s="220"/>
      <c r="I34" s="174"/>
    </row>
    <row r="35" spans="1:10">
      <c r="A35" s="136"/>
      <c r="B35" s="279" t="s">
        <v>618</v>
      </c>
      <c r="C35" s="219"/>
      <c r="D35" s="220"/>
      <c r="E35" s="220"/>
      <c r="F35" s="220"/>
      <c r="G35" s="220"/>
      <c r="H35" s="220"/>
      <c r="I35" s="174"/>
    </row>
    <row r="36" spans="1:10">
      <c r="A36" s="136"/>
      <c r="B36" s="279" t="s">
        <v>335</v>
      </c>
      <c r="C36" s="219"/>
      <c r="D36" s="220"/>
      <c r="E36" s="220"/>
      <c r="F36" s="220"/>
      <c r="G36" s="220"/>
      <c r="H36" s="220"/>
      <c r="I36" s="174"/>
    </row>
    <row r="37" spans="1:10">
      <c r="A37" s="136"/>
      <c r="B37" s="279" t="s">
        <v>336</v>
      </c>
      <c r="C37" s="219"/>
      <c r="D37" s="220"/>
      <c r="E37" s="220"/>
      <c r="F37" s="220"/>
      <c r="G37" s="220"/>
      <c r="H37" s="220"/>
      <c r="I37" s="174"/>
    </row>
    <row r="38" spans="1:10">
      <c r="A38" s="136"/>
      <c r="B38" s="313" t="s">
        <v>630</v>
      </c>
      <c r="C38" s="219"/>
      <c r="D38" s="220"/>
      <c r="E38" s="220"/>
      <c r="F38" s="220"/>
      <c r="G38" s="220"/>
      <c r="H38" s="220"/>
      <c r="I38" s="174"/>
    </row>
    <row r="39" spans="1:10">
      <c r="A39" s="136"/>
      <c r="B39" s="271" t="s">
        <v>338</v>
      </c>
      <c r="C39" s="219"/>
      <c r="D39" s="220"/>
      <c r="E39" s="220"/>
      <c r="F39" s="220"/>
      <c r="G39" s="220"/>
      <c r="H39" s="220"/>
      <c r="I39" s="174"/>
    </row>
    <row r="40" spans="1:10">
      <c r="A40" s="136"/>
      <c r="B40" s="272" t="s">
        <v>293</v>
      </c>
      <c r="C40" s="171"/>
      <c r="D40" s="171"/>
      <c r="E40" s="171"/>
      <c r="F40" s="171"/>
      <c r="G40" s="171"/>
      <c r="H40" s="171"/>
      <c r="I40" s="162"/>
      <c r="J40" s="5"/>
    </row>
    <row r="41" spans="1:10">
      <c r="A41" s="136"/>
      <c r="B41" s="272" t="s">
        <v>527</v>
      </c>
      <c r="C41" s="171"/>
      <c r="D41" s="171"/>
      <c r="E41" s="171"/>
      <c r="F41" s="171"/>
      <c r="G41" s="171"/>
      <c r="H41" s="171"/>
      <c r="I41" s="162"/>
      <c r="J41" s="5"/>
    </row>
    <row r="42" spans="1:10">
      <c r="A42" s="136"/>
      <c r="B42" s="20"/>
      <c r="C42" s="20"/>
      <c r="D42" s="24"/>
      <c r="E42" s="24"/>
      <c r="F42" s="24"/>
      <c r="G42" s="24"/>
      <c r="H42" s="24"/>
      <c r="I42" s="24"/>
    </row>
    <row r="43" spans="1:10">
      <c r="A43" s="136"/>
      <c r="B43" s="20"/>
      <c r="C43" s="20"/>
      <c r="D43" s="24"/>
      <c r="E43" s="24"/>
      <c r="F43" s="24"/>
      <c r="G43" s="24"/>
      <c r="H43" s="24"/>
      <c r="I43" s="24"/>
    </row>
    <row r="44" spans="1:10">
      <c r="A44" s="175"/>
      <c r="B44" s="24"/>
      <c r="C44" s="24"/>
      <c r="D44" s="24"/>
      <c r="E44" s="24"/>
      <c r="F44" s="24"/>
      <c r="G44" s="24"/>
      <c r="H44" s="24"/>
      <c r="I44" s="24"/>
    </row>
    <row r="45" spans="1:10">
      <c r="A45" s="24"/>
      <c r="B45" s="24"/>
      <c r="C45" s="24"/>
      <c r="D45" s="24"/>
      <c r="E45" s="24"/>
      <c r="F45" s="24"/>
      <c r="G45" s="24"/>
      <c r="H45" s="24"/>
      <c r="I45" s="24"/>
    </row>
    <row r="46" spans="1:10">
      <c r="A46" s="2"/>
      <c r="B46" s="2"/>
      <c r="C46" s="2"/>
      <c r="D46" s="2"/>
      <c r="E46" s="2"/>
      <c r="F46" s="2"/>
      <c r="G46" s="2"/>
      <c r="H46" s="2"/>
    </row>
    <row r="47" spans="1:10">
      <c r="A47" s="2"/>
      <c r="B47" s="2"/>
      <c r="C47" s="2"/>
      <c r="D47" s="2"/>
      <c r="E47" s="2"/>
      <c r="F47" s="2"/>
      <c r="G47" s="2"/>
      <c r="H47" s="2"/>
    </row>
    <row r="48" spans="1:10">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row r="59" spans="1:8">
      <c r="C59" s="2"/>
      <c r="D59" s="2"/>
      <c r="E59" s="2"/>
      <c r="F59" s="2"/>
      <c r="G59" s="2"/>
      <c r="H59" s="2"/>
    </row>
    <row r="60" spans="1:8">
      <c r="C60" s="2"/>
      <c r="D60" s="2"/>
      <c r="E60" s="2"/>
      <c r="F60" s="2"/>
      <c r="G60" s="2"/>
      <c r="H60" s="2"/>
    </row>
    <row r="61" spans="1:8">
      <c r="C61" s="2"/>
      <c r="D61" s="2"/>
      <c r="E61" s="2"/>
      <c r="F61" s="2"/>
      <c r="G61" s="2"/>
      <c r="H61" s="2"/>
    </row>
    <row r="62" spans="1:8">
      <c r="C62" s="2"/>
      <c r="D62" s="2"/>
      <c r="E62" s="2"/>
      <c r="F62" s="2"/>
      <c r="G62" s="2"/>
      <c r="H62" s="2"/>
    </row>
  </sheetData>
  <mergeCells count="14">
    <mergeCell ref="B6:B7"/>
    <mergeCell ref="B4:K4"/>
    <mergeCell ref="B5:K5"/>
    <mergeCell ref="K6:K7"/>
    <mergeCell ref="B2:K2"/>
    <mergeCell ref="B3:K3"/>
    <mergeCell ref="I6:I7"/>
    <mergeCell ref="J6:J7"/>
    <mergeCell ref="C6:C7"/>
    <mergeCell ref="D6:D7"/>
    <mergeCell ref="E6:E7"/>
    <mergeCell ref="F6:F7"/>
    <mergeCell ref="G6:G7"/>
    <mergeCell ref="H6:H7"/>
  </mergeCells>
  <phoneticPr fontId="0" type="noConversion"/>
  <hyperlinks>
    <hyperlink ref="M2" location="Índice!A1" display="VOLVER A INDICE"/>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tabColor theme="9" tint="0.39997558519241921"/>
  </sheetPr>
  <dimension ref="A1:P60"/>
  <sheetViews>
    <sheetView workbookViewId="0">
      <selection activeCell="E2" sqref="E2"/>
    </sheetView>
  </sheetViews>
  <sheetFormatPr baseColWidth="10" defaultRowHeight="12.75" outlineLevelRow="1"/>
  <cols>
    <col min="1" max="1" width="1.42578125" style="134" customWidth="1"/>
    <col min="2" max="2" width="33.7109375" style="134" customWidth="1"/>
    <col min="3" max="3" width="26.28515625" style="134" customWidth="1"/>
    <col min="4" max="14" width="11.42578125" style="2"/>
    <col min="15" max="16384" width="11.42578125" style="134"/>
  </cols>
  <sheetData>
    <row r="1" spans="1:16" ht="6" customHeight="1">
      <c r="A1" s="175"/>
      <c r="B1" s="175"/>
      <c r="C1" s="175"/>
      <c r="D1" s="24"/>
      <c r="E1" s="24"/>
    </row>
    <row r="2" spans="1:16" s="301" customFormat="1" ht="15.95" customHeight="1">
      <c r="A2" s="298"/>
      <c r="B2" s="838" t="s">
        <v>585</v>
      </c>
      <c r="C2" s="838"/>
      <c r="E2" s="699" t="s">
        <v>229</v>
      </c>
      <c r="F2" s="310"/>
      <c r="G2" s="207"/>
      <c r="H2" s="207"/>
      <c r="I2" s="207"/>
      <c r="J2" s="207"/>
      <c r="K2" s="207"/>
      <c r="L2" s="207"/>
      <c r="M2" s="207"/>
      <c r="N2" s="207"/>
    </row>
    <row r="3" spans="1:16" s="301" customFormat="1" ht="15.95" customHeight="1">
      <c r="A3" s="298"/>
      <c r="B3" s="838" t="s">
        <v>346</v>
      </c>
      <c r="C3" s="838"/>
      <c r="E3" s="309"/>
      <c r="F3" s="310"/>
      <c r="G3" s="207"/>
      <c r="H3" s="207"/>
      <c r="I3" s="207"/>
      <c r="J3" s="207"/>
      <c r="K3" s="207"/>
      <c r="L3" s="207"/>
      <c r="M3" s="207"/>
      <c r="N3" s="207"/>
    </row>
    <row r="4" spans="1:16" s="301" customFormat="1" ht="15.95" customHeight="1">
      <c r="A4" s="298"/>
      <c r="B4" s="838" t="s">
        <v>446</v>
      </c>
      <c r="C4" s="838"/>
      <c r="D4" s="309"/>
      <c r="E4" s="309"/>
      <c r="F4" s="310"/>
      <c r="G4" s="207"/>
      <c r="H4" s="207"/>
      <c r="I4" s="207"/>
      <c r="J4" s="207"/>
      <c r="K4" s="207"/>
      <c r="L4" s="207"/>
      <c r="M4" s="207"/>
      <c r="N4" s="207"/>
    </row>
    <row r="5" spans="1:16" s="301" customFormat="1" ht="15.95" customHeight="1">
      <c r="A5" s="298"/>
      <c r="B5" s="481" t="s">
        <v>432</v>
      </c>
      <c r="C5" s="749">
        <f>+'Producción Bruta (tcal)'!E19</f>
        <v>1582.52499373</v>
      </c>
      <c r="D5" s="309"/>
      <c r="E5" s="309"/>
      <c r="F5" s="310"/>
      <c r="G5" s="207"/>
      <c r="H5" s="207"/>
      <c r="I5" s="207"/>
      <c r="J5" s="207"/>
      <c r="K5" s="207"/>
      <c r="L5" s="207"/>
      <c r="M5" s="207"/>
      <c r="N5" s="207"/>
    </row>
    <row r="6" spans="1:16" s="301" customFormat="1" ht="15.95" customHeight="1">
      <c r="A6" s="298"/>
      <c r="B6" s="481" t="s">
        <v>433</v>
      </c>
      <c r="C6" s="749">
        <f>+'Balance de energía'!$U$4</f>
        <v>0</v>
      </c>
      <c r="D6" s="309"/>
      <c r="E6" s="309"/>
      <c r="F6" s="310"/>
      <c r="G6" s="207"/>
      <c r="H6" s="207"/>
      <c r="I6" s="207"/>
      <c r="J6" s="207"/>
      <c r="K6" s="207"/>
      <c r="L6" s="207"/>
      <c r="M6" s="207"/>
      <c r="N6" s="207"/>
      <c r="O6" s="207"/>
      <c r="P6" s="207"/>
    </row>
    <row r="7" spans="1:16" s="301" customFormat="1" ht="15.95" customHeight="1">
      <c r="A7" s="298"/>
      <c r="B7" s="481" t="s">
        <v>434</v>
      </c>
      <c r="C7" s="749">
        <f>+'Balance de energía'!$U$5</f>
        <v>62.150116300799993</v>
      </c>
      <c r="D7" s="309"/>
      <c r="E7" s="309"/>
      <c r="F7" s="310"/>
      <c r="G7" s="207"/>
      <c r="H7" s="207"/>
      <c r="I7" s="207"/>
      <c r="J7" s="207"/>
      <c r="K7" s="207"/>
      <c r="L7" s="207"/>
      <c r="M7" s="207"/>
      <c r="N7" s="207"/>
      <c r="O7" s="207"/>
      <c r="P7" s="207"/>
    </row>
    <row r="8" spans="1:16" s="301" customFormat="1" ht="15.95" customHeight="1">
      <c r="A8" s="298"/>
      <c r="B8" s="481" t="s">
        <v>435</v>
      </c>
      <c r="C8" s="749">
        <f>+'Balance de energía'!$U$6</f>
        <v>-762.66858389334391</v>
      </c>
      <c r="D8" s="309"/>
      <c r="E8" s="309"/>
      <c r="F8" s="310"/>
      <c r="G8" s="207"/>
      <c r="H8" s="207"/>
      <c r="I8" s="207"/>
      <c r="J8" s="207"/>
      <c r="K8" s="207"/>
      <c r="L8" s="207"/>
      <c r="M8" s="207"/>
      <c r="N8" s="207"/>
      <c r="O8" s="207"/>
      <c r="P8" s="207"/>
    </row>
    <row r="9" spans="1:16" s="301" customFormat="1" ht="15.95" customHeight="1">
      <c r="A9" s="298"/>
      <c r="B9" s="480" t="s">
        <v>64</v>
      </c>
      <c r="C9" s="751">
        <f>SUM('Cuadro Consumo (tcal)'!V8,'Balance de energía'!U19)</f>
        <v>2283.0434613225439</v>
      </c>
      <c r="D9" s="309"/>
      <c r="E9" s="309"/>
      <c r="F9" s="310"/>
      <c r="G9" s="207"/>
      <c r="H9" s="207"/>
      <c r="I9" s="207"/>
      <c r="J9" s="207"/>
      <c r="K9" s="207"/>
      <c r="L9" s="207"/>
      <c r="M9" s="207"/>
      <c r="N9" s="207"/>
      <c r="O9" s="207"/>
      <c r="P9" s="207"/>
    </row>
    <row r="10" spans="1:16" s="301" customFormat="1" ht="15.95" customHeight="1">
      <c r="A10" s="298"/>
      <c r="B10" s="481" t="s">
        <v>436</v>
      </c>
      <c r="C10" s="749">
        <f>+'Balance de energía'!U20</f>
        <v>671.564134308544</v>
      </c>
      <c r="D10" s="309"/>
      <c r="E10" s="309"/>
      <c r="F10" s="310"/>
      <c r="G10" s="207"/>
      <c r="H10" s="207"/>
      <c r="I10" s="207"/>
      <c r="J10" s="207"/>
      <c r="K10" s="207"/>
      <c r="L10" s="207"/>
      <c r="M10" s="207"/>
      <c r="N10" s="207"/>
      <c r="O10" s="207"/>
      <c r="P10" s="207"/>
    </row>
    <row r="11" spans="1:16" s="301" customFormat="1" ht="15.95" customHeight="1">
      <c r="A11" s="298"/>
      <c r="B11" s="481" t="s">
        <v>437</v>
      </c>
      <c r="C11" s="749">
        <f>+SUM(C12:C16)</f>
        <v>984.47867542480014</v>
      </c>
      <c r="D11" s="309"/>
      <c r="E11" s="309"/>
      <c r="F11" s="310"/>
      <c r="G11" s="207"/>
      <c r="H11" s="207"/>
      <c r="I11" s="207"/>
      <c r="J11" s="207"/>
      <c r="K11" s="207"/>
      <c r="L11" s="207"/>
      <c r="M11" s="207"/>
      <c r="N11" s="207"/>
      <c r="O11" s="207"/>
      <c r="P11" s="207"/>
    </row>
    <row r="12" spans="1:16" s="301" customFormat="1" ht="15.95" customHeight="1" outlineLevel="1">
      <c r="A12" s="298"/>
      <c r="B12" s="482" t="s">
        <v>438</v>
      </c>
      <c r="C12" s="750">
        <v>-20.221192016</v>
      </c>
      <c r="D12" s="309"/>
      <c r="E12" s="309"/>
      <c r="F12" s="310"/>
      <c r="G12" s="207"/>
      <c r="H12" s="207"/>
      <c r="I12" s="207"/>
      <c r="J12" s="207"/>
      <c r="K12" s="207"/>
      <c r="L12" s="207"/>
      <c r="M12" s="207"/>
      <c r="N12" s="207"/>
      <c r="O12" s="207"/>
      <c r="P12" s="207"/>
    </row>
    <row r="13" spans="1:16" s="301" customFormat="1" ht="15.95" customHeight="1" outlineLevel="1">
      <c r="A13" s="298"/>
      <c r="B13" s="483" t="s">
        <v>35</v>
      </c>
      <c r="C13" s="750">
        <v>427.53057357000012</v>
      </c>
      <c r="D13" s="309"/>
      <c r="E13" s="309"/>
      <c r="F13" s="310"/>
      <c r="G13" s="207"/>
      <c r="H13" s="207"/>
      <c r="I13" s="207"/>
      <c r="J13" s="207"/>
      <c r="K13" s="207"/>
      <c r="L13" s="207"/>
      <c r="M13" s="207"/>
      <c r="N13" s="207"/>
      <c r="O13" s="207"/>
      <c r="P13" s="207"/>
    </row>
    <row r="14" spans="1:16" ht="16.5" customHeight="1" outlineLevel="1">
      <c r="A14" s="175"/>
      <c r="B14" s="483" t="s">
        <v>36</v>
      </c>
      <c r="C14" s="750">
        <v>613.20547387079989</v>
      </c>
      <c r="D14" s="221"/>
      <c r="E14" s="221"/>
      <c r="F14" s="17"/>
      <c r="O14" s="2"/>
      <c r="P14" s="2"/>
    </row>
    <row r="15" spans="1:16" s="2" customFormat="1" outlineLevel="1">
      <c r="A15" s="20"/>
      <c r="B15" s="483" t="s">
        <v>439</v>
      </c>
      <c r="C15" s="750">
        <v>-35.768880000000003</v>
      </c>
      <c r="D15" s="171"/>
      <c r="E15" s="171"/>
      <c r="F15" s="1"/>
    </row>
    <row r="16" spans="1:16" s="2" customFormat="1" outlineLevel="1">
      <c r="A16" s="20"/>
      <c r="B16" s="484" t="s">
        <v>516</v>
      </c>
      <c r="C16" s="750">
        <v>-0.26729999999999998</v>
      </c>
      <c r="D16" s="171"/>
      <c r="E16" s="171"/>
      <c r="F16" s="1"/>
    </row>
    <row r="17" spans="1:6" s="2" customFormat="1">
      <c r="A17" s="24"/>
      <c r="B17" s="439"/>
      <c r="D17" s="221"/>
      <c r="E17" s="221"/>
      <c r="F17" s="17"/>
    </row>
    <row r="18" spans="1:6" s="2" customFormat="1">
      <c r="A18" s="24"/>
      <c r="B18" s="24"/>
      <c r="C18" s="24"/>
      <c r="D18" s="24"/>
      <c r="E18" s="24"/>
    </row>
    <row r="19" spans="1:6" s="2" customFormat="1">
      <c r="B19" s="272" t="s">
        <v>293</v>
      </c>
    </row>
    <row r="20" spans="1:6" s="2" customFormat="1">
      <c r="B20" s="272" t="s">
        <v>527</v>
      </c>
    </row>
    <row r="21" spans="1:6" s="2" customFormat="1"/>
    <row r="22" spans="1:6" s="2" customFormat="1"/>
    <row r="23" spans="1:6" s="2" customFormat="1"/>
    <row r="24" spans="1:6" s="2" customFormat="1"/>
    <row r="25" spans="1:6" s="2" customFormat="1"/>
    <row r="26" spans="1:6" s="2" customFormat="1"/>
    <row r="27" spans="1:6" s="2" customFormat="1"/>
    <row r="28" spans="1:6" s="2" customFormat="1"/>
    <row r="29" spans="1:6" s="2" customFormat="1"/>
    <row r="30" spans="1:6" s="2" customFormat="1"/>
    <row r="31" spans="1:6" s="2" customFormat="1"/>
    <row r="32" spans="1:6" s="2" customFormat="1"/>
    <row r="33" spans="3:16" s="2" customFormat="1"/>
    <row r="34" spans="3:16" s="2" customFormat="1"/>
    <row r="35" spans="3:16" s="2" customFormat="1"/>
    <row r="36" spans="3:16" s="2" customFormat="1"/>
    <row r="37" spans="3:16" s="2" customFormat="1"/>
    <row r="38" spans="3:16" s="2" customFormat="1"/>
    <row r="39" spans="3:16" s="2" customFormat="1"/>
    <row r="40" spans="3:16" s="2" customFormat="1"/>
    <row r="41" spans="3:16" s="2" customFormat="1"/>
    <row r="42" spans="3:16" s="2" customFormat="1"/>
    <row r="43" spans="3:16" s="2" customFormat="1"/>
    <row r="44" spans="3:16" s="2" customFormat="1"/>
    <row r="45" spans="3:16" s="2" customFormat="1"/>
    <row r="46" spans="3:16" s="2" customFormat="1"/>
    <row r="47" spans="3:16">
      <c r="C47" s="2"/>
      <c r="O47" s="2"/>
      <c r="P47" s="2"/>
    </row>
    <row r="48" spans="3:16">
      <c r="C48" s="2"/>
      <c r="O48" s="2"/>
      <c r="P48" s="2"/>
    </row>
    <row r="49" spans="3:16">
      <c r="C49" s="2"/>
      <c r="O49" s="2"/>
      <c r="P49" s="2"/>
    </row>
    <row r="50" spans="3:16">
      <c r="C50" s="2"/>
      <c r="O50" s="2"/>
      <c r="P50" s="2"/>
    </row>
    <row r="51" spans="3:16">
      <c r="C51" s="2"/>
      <c r="O51" s="2"/>
      <c r="P51" s="2"/>
    </row>
    <row r="52" spans="3:16">
      <c r="C52" s="2"/>
      <c r="O52" s="2"/>
      <c r="P52" s="2"/>
    </row>
    <row r="53" spans="3:16">
      <c r="C53" s="2"/>
      <c r="O53" s="2"/>
      <c r="P53" s="2"/>
    </row>
    <row r="54" spans="3:16">
      <c r="C54" s="2"/>
      <c r="O54" s="2"/>
      <c r="P54" s="2"/>
    </row>
    <row r="55" spans="3:16">
      <c r="C55" s="2"/>
      <c r="O55" s="2"/>
      <c r="P55" s="2"/>
    </row>
    <row r="56" spans="3:16">
      <c r="C56" s="2"/>
      <c r="O56" s="2"/>
      <c r="P56" s="2"/>
    </row>
    <row r="57" spans="3:16">
      <c r="C57" s="2"/>
      <c r="O57" s="2"/>
      <c r="P57" s="2"/>
    </row>
    <row r="58" spans="3:16">
      <c r="C58" s="2"/>
      <c r="O58" s="2"/>
      <c r="P58" s="2"/>
    </row>
    <row r="59" spans="3:16">
      <c r="C59" s="2"/>
      <c r="O59" s="2"/>
      <c r="P59" s="2"/>
    </row>
    <row r="60" spans="3:16">
      <c r="C60" s="2"/>
      <c r="O60" s="2"/>
      <c r="P60" s="2"/>
    </row>
  </sheetData>
  <mergeCells count="3">
    <mergeCell ref="B2:C2"/>
    <mergeCell ref="B3:C3"/>
    <mergeCell ref="B4:C4"/>
  </mergeCells>
  <phoneticPr fontId="0" type="noConversion"/>
  <hyperlinks>
    <hyperlink ref="E2" location="Índice!A1" display="VOLVER A INDICE"/>
  </hyperlinks>
  <pageMargins left="0.75" right="0.75" top="1" bottom="1" header="0" footer="0"/>
  <pageSetup orientation="portrait"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tabColor theme="9" tint="0.39997558519241921"/>
  </sheetPr>
  <dimension ref="A2:R22"/>
  <sheetViews>
    <sheetView workbookViewId="0"/>
  </sheetViews>
  <sheetFormatPr baseColWidth="10" defaultRowHeight="12.75"/>
  <cols>
    <col min="1" max="1" width="11.42578125" style="636" customWidth="1"/>
    <col min="2" max="2" width="28.42578125" style="636" customWidth="1"/>
    <col min="3" max="3" width="11.42578125" style="636" customWidth="1"/>
    <col min="4" max="4" width="24.28515625" style="433" customWidth="1"/>
    <col min="5" max="5" width="11.42578125" style="433"/>
    <col min="6" max="6" width="20.140625" style="433" bestFit="1" customWidth="1"/>
    <col min="7" max="7" width="11.42578125" style="433"/>
    <col min="8" max="8" width="18" style="433" customWidth="1"/>
    <col min="9" max="16384" width="11.42578125" style="433"/>
  </cols>
  <sheetData>
    <row r="2" spans="1:18">
      <c r="E2" s="637"/>
      <c r="F2" s="642"/>
      <c r="G2" s="637"/>
    </row>
    <row r="3" spans="1:18">
      <c r="E3" s="637"/>
      <c r="F3" s="637"/>
      <c r="G3" s="637"/>
    </row>
    <row r="4" spans="1:18" ht="15.75" customHeight="1">
      <c r="A4" s="575"/>
      <c r="B4" s="843" t="s">
        <v>598</v>
      </c>
      <c r="C4" s="843" t="s">
        <v>472</v>
      </c>
      <c r="D4" s="843"/>
      <c r="E4" s="843"/>
      <c r="F4" s="843"/>
      <c r="G4" s="843"/>
      <c r="H4" s="843"/>
      <c r="I4" s="567" t="s">
        <v>229</v>
      </c>
    </row>
    <row r="5" spans="1:18" ht="15.75" customHeight="1">
      <c r="C5" s="575"/>
      <c r="D5" s="844" t="s">
        <v>595</v>
      </c>
      <c r="E5" s="844"/>
      <c r="F5" s="637"/>
      <c r="G5" s="637"/>
    </row>
    <row r="6" spans="1:18" s="638" customFormat="1" ht="13.5" customHeight="1">
      <c r="A6" s="519"/>
      <c r="B6" s="519"/>
      <c r="C6" s="519"/>
      <c r="D6" s="519"/>
      <c r="E6" s="519"/>
      <c r="F6" s="519"/>
      <c r="G6" s="519"/>
    </row>
    <row r="7" spans="1:18" s="638" customFormat="1" ht="15" customHeight="1">
      <c r="A7" s="519"/>
      <c r="B7" s="842" t="s">
        <v>532</v>
      </c>
      <c r="C7" s="842"/>
      <c r="D7" s="839" t="s">
        <v>533</v>
      </c>
      <c r="E7" s="840"/>
      <c r="F7" s="840"/>
      <c r="G7" s="840"/>
      <c r="H7" s="840"/>
      <c r="I7" s="841"/>
      <c r="J7" s="519"/>
      <c r="M7" s="360"/>
      <c r="N7" s="519"/>
      <c r="O7" s="519"/>
      <c r="P7" s="519"/>
      <c r="Q7" s="519"/>
      <c r="R7" s="519"/>
    </row>
    <row r="8" spans="1:18" ht="15" customHeight="1">
      <c r="B8" s="737" t="s">
        <v>540</v>
      </c>
      <c r="C8" s="746" t="s">
        <v>33</v>
      </c>
      <c r="D8" s="737" t="s">
        <v>518</v>
      </c>
      <c r="E8" s="741" t="s">
        <v>33</v>
      </c>
      <c r="F8" s="737" t="s">
        <v>530</v>
      </c>
      <c r="G8" s="741" t="s">
        <v>33</v>
      </c>
      <c r="H8" s="737" t="s">
        <v>531</v>
      </c>
      <c r="I8" s="741" t="s">
        <v>33</v>
      </c>
    </row>
    <row r="9" spans="1:18" ht="15" customHeight="1">
      <c r="B9" s="738" t="s">
        <v>125</v>
      </c>
      <c r="C9" s="763">
        <f>+'Balance de energía'!C3</f>
        <v>2645.1545316944057</v>
      </c>
      <c r="D9" s="738" t="s">
        <v>269</v>
      </c>
      <c r="E9" s="742">
        <v>33035.776555739998</v>
      </c>
      <c r="F9" s="738" t="s">
        <v>292</v>
      </c>
      <c r="G9" s="742">
        <v>2919.1386441599998</v>
      </c>
      <c r="H9" s="738" t="s">
        <v>126</v>
      </c>
      <c r="I9" s="742">
        <v>64091.627778193797</v>
      </c>
    </row>
    <row r="10" spans="1:18" ht="15" customHeight="1">
      <c r="B10" s="738" t="s">
        <v>135</v>
      </c>
      <c r="C10" s="763">
        <f>+'Balance de energía'!D3</f>
        <v>9401.5571213901076</v>
      </c>
      <c r="D10" s="738" t="s">
        <v>270</v>
      </c>
      <c r="E10" s="742">
        <v>13141.633575</v>
      </c>
      <c r="F10" s="738" t="s">
        <v>277</v>
      </c>
      <c r="G10" s="742">
        <v>868.42499999999995</v>
      </c>
      <c r="H10" s="738" t="s">
        <v>279</v>
      </c>
      <c r="I10" s="742">
        <v>78.850381000000013</v>
      </c>
    </row>
    <row r="11" spans="1:18" ht="15" customHeight="1">
      <c r="B11" s="738" t="s">
        <v>41</v>
      </c>
      <c r="C11" s="763">
        <f>+'Balance de energía'!E3</f>
        <v>13513.885199999999</v>
      </c>
      <c r="D11" s="738" t="s">
        <v>477</v>
      </c>
      <c r="E11" s="742">
        <v>31617.456203199999</v>
      </c>
      <c r="F11" s="738" t="s">
        <v>43</v>
      </c>
      <c r="G11" s="742">
        <v>195.45099999999999</v>
      </c>
      <c r="H11" s="739" t="s">
        <v>65</v>
      </c>
      <c r="I11" s="743">
        <v>1103.900155</v>
      </c>
    </row>
    <row r="12" spans="1:18" ht="15" customHeight="1">
      <c r="B12" s="738" t="s">
        <v>495</v>
      </c>
      <c r="C12" s="763">
        <f>+'Balance de energía'!F3</f>
        <v>73430.280199428016</v>
      </c>
      <c r="D12" s="738" t="s">
        <v>38</v>
      </c>
      <c r="E12" s="742">
        <v>1638.5782815000002</v>
      </c>
      <c r="F12" s="739" t="s">
        <v>278</v>
      </c>
      <c r="G12" s="743">
        <v>793.32555338887232</v>
      </c>
      <c r="H12" s="636"/>
      <c r="I12" s="636"/>
    </row>
    <row r="13" spans="1:18" ht="15" customHeight="1">
      <c r="B13" s="738" t="s">
        <v>267</v>
      </c>
      <c r="C13" s="763">
        <f>+'Balance de energía'!G3</f>
        <v>20310.838125240003</v>
      </c>
      <c r="D13" s="738" t="s">
        <v>271</v>
      </c>
      <c r="E13" s="742">
        <v>3688.3434169999996</v>
      </c>
      <c r="F13" s="636"/>
      <c r="G13" s="636"/>
      <c r="H13" s="636"/>
      <c r="I13" s="636"/>
    </row>
    <row r="14" spans="1:18" ht="15" customHeight="1">
      <c r="B14" s="738" t="s">
        <v>268</v>
      </c>
      <c r="C14" s="763">
        <f>+'Balance de energía'!H3</f>
        <v>1818.2696449399996</v>
      </c>
      <c r="D14" s="738" t="s">
        <v>272</v>
      </c>
      <c r="E14" s="742">
        <v>52.142916</v>
      </c>
      <c r="F14" s="636"/>
      <c r="G14" s="636"/>
      <c r="H14" s="636"/>
      <c r="I14" s="636"/>
    </row>
    <row r="15" spans="1:18" ht="15" customHeight="1">
      <c r="B15" s="738" t="s">
        <v>431</v>
      </c>
      <c r="C15" s="763">
        <f>+'Balance de energía'!I3</f>
        <v>1084.3449052367998</v>
      </c>
      <c r="D15" s="738" t="s">
        <v>273</v>
      </c>
      <c r="E15" s="742">
        <v>6353.3365837200008</v>
      </c>
      <c r="F15" s="636"/>
      <c r="G15" s="636"/>
      <c r="H15" s="636"/>
      <c r="I15" s="636"/>
    </row>
    <row r="16" spans="1:18" ht="15" customHeight="1">
      <c r="B16" s="739" t="s">
        <v>42</v>
      </c>
      <c r="C16" s="764">
        <f>+'Balance de energía'!J3</f>
        <v>876.9173799709082</v>
      </c>
      <c r="D16" s="738" t="s">
        <v>40</v>
      </c>
      <c r="E16" s="742">
        <v>1385.8259230000003</v>
      </c>
      <c r="F16" s="636"/>
      <c r="G16" s="636"/>
      <c r="H16" s="636"/>
      <c r="I16" s="636"/>
    </row>
    <row r="17" spans="2:9" s="433" customFormat="1" ht="15" customHeight="1">
      <c r="D17" s="738" t="s">
        <v>274</v>
      </c>
      <c r="E17" s="742">
        <v>1.4761283207119327</v>
      </c>
      <c r="F17" s="636"/>
      <c r="G17" s="636"/>
      <c r="H17" s="636"/>
      <c r="I17" s="636"/>
    </row>
    <row r="18" spans="2:9" s="433" customFormat="1" ht="15" customHeight="1">
      <c r="B18" s="636"/>
      <c r="C18" s="636"/>
      <c r="D18" s="738" t="s">
        <v>275</v>
      </c>
      <c r="E18" s="742">
        <v>3527.4304324567001</v>
      </c>
      <c r="F18" s="476"/>
      <c r="G18" s="476"/>
      <c r="H18" s="636"/>
      <c r="I18" s="636"/>
    </row>
    <row r="19" spans="2:9" s="433" customFormat="1" ht="15" customHeight="1">
      <c r="D19" s="739" t="s">
        <v>276</v>
      </c>
      <c r="E19" s="743">
        <v>1582.52499373</v>
      </c>
      <c r="F19" s="476"/>
      <c r="G19" s="476"/>
      <c r="H19" s="636"/>
      <c r="I19" s="636"/>
    </row>
    <row r="20" spans="2:9" s="433" customFormat="1">
      <c r="F20" s="639"/>
      <c r="G20" s="639"/>
    </row>
    <row r="21" spans="2:9" s="433" customFormat="1">
      <c r="F21" s="640"/>
      <c r="G21" s="640"/>
    </row>
    <row r="22" spans="2:9" s="433" customFormat="1">
      <c r="B22" s="636"/>
      <c r="C22" s="636"/>
      <c r="F22" s="641"/>
      <c r="G22" s="641"/>
    </row>
  </sheetData>
  <mergeCells count="4">
    <mergeCell ref="D7:I7"/>
    <mergeCell ref="B7:C7"/>
    <mergeCell ref="B4:H4"/>
    <mergeCell ref="D5:E5"/>
  </mergeCells>
  <hyperlinks>
    <hyperlink ref="I4" location="Índice!A1" display="VOLVER A INDICE"/>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tabColor theme="9" tint="0.39997558519241921"/>
  </sheetPr>
  <dimension ref="B2:AH63"/>
  <sheetViews>
    <sheetView workbookViewId="0"/>
  </sheetViews>
  <sheetFormatPr baseColWidth="10" defaultRowHeight="12.75"/>
  <cols>
    <col min="1" max="1" width="5.28515625" style="360" customWidth="1"/>
    <col min="2" max="2" width="4.140625" style="360" customWidth="1"/>
    <col min="3" max="3" width="38.140625" style="360" bestFit="1" customWidth="1"/>
    <col min="4" max="7" width="10" style="360" bestFit="1" customWidth="1"/>
    <col min="8" max="8" width="8.85546875" style="360" bestFit="1" customWidth="1"/>
    <col min="9" max="10" width="8" style="360" bestFit="1" customWidth="1"/>
    <col min="11" max="11" width="8.140625" style="360" customWidth="1"/>
    <col min="12" max="12" width="11.42578125" style="360"/>
    <col min="13" max="13" width="12.140625" style="360" customWidth="1"/>
    <col min="14" max="16384" width="11.42578125" style="360"/>
  </cols>
  <sheetData>
    <row r="2" spans="2:34" ht="15.75">
      <c r="C2" s="367" t="s">
        <v>472</v>
      </c>
      <c r="D2" s="363"/>
      <c r="E2" s="363"/>
      <c r="F2" s="363"/>
      <c r="G2" s="363"/>
      <c r="H2" s="843" t="s">
        <v>608</v>
      </c>
      <c r="I2" s="843"/>
      <c r="J2" s="843"/>
      <c r="K2" s="843"/>
      <c r="L2" s="843"/>
      <c r="M2" s="843"/>
      <c r="N2" s="843"/>
      <c r="O2" s="843"/>
      <c r="P2" s="363"/>
      <c r="Q2" s="363"/>
      <c r="S2" s="567" t="s">
        <v>229</v>
      </c>
      <c r="Z2" s="363"/>
      <c r="AA2" s="363"/>
      <c r="AB2" s="363"/>
      <c r="AC2" s="363"/>
      <c r="AD2" s="363"/>
      <c r="AE2" s="366"/>
    </row>
    <row r="3" spans="2:34" ht="15.75">
      <c r="C3" s="362"/>
      <c r="D3" s="363"/>
      <c r="E3" s="363"/>
      <c r="F3" s="363"/>
      <c r="G3" s="363"/>
      <c r="H3" s="364"/>
      <c r="I3" s="363"/>
      <c r="J3" s="363"/>
      <c r="K3" s="363"/>
      <c r="L3" s="363"/>
      <c r="O3" s="363"/>
      <c r="P3" s="363"/>
      <c r="Q3" s="363"/>
      <c r="R3" s="363"/>
      <c r="S3" s="363"/>
      <c r="T3" s="363"/>
      <c r="U3" s="363"/>
      <c r="V3" s="363"/>
      <c r="W3" s="363"/>
      <c r="X3" s="363"/>
      <c r="Y3" s="365"/>
      <c r="Z3" s="363"/>
      <c r="AA3" s="363"/>
      <c r="AB3" s="363"/>
      <c r="AC3" s="363"/>
      <c r="AD3" s="363"/>
      <c r="AE3" s="366"/>
    </row>
    <row r="4" spans="2:34" ht="15.75" customHeight="1">
      <c r="B4" s="368"/>
      <c r="C4" s="859" t="s">
        <v>266</v>
      </c>
      <c r="D4" s="852" t="s">
        <v>10</v>
      </c>
      <c r="E4" s="853"/>
      <c r="F4" s="853"/>
      <c r="G4" s="853"/>
      <c r="H4" s="853"/>
      <c r="I4" s="853"/>
      <c r="J4" s="853"/>
      <c r="K4" s="854"/>
      <c r="L4" s="852" t="s">
        <v>11</v>
      </c>
      <c r="M4" s="853"/>
      <c r="N4" s="853"/>
      <c r="O4" s="853"/>
      <c r="P4" s="853"/>
      <c r="Q4" s="853"/>
      <c r="R4" s="853"/>
      <c r="S4" s="853"/>
      <c r="T4" s="853"/>
      <c r="U4" s="853"/>
      <c r="V4" s="854"/>
      <c r="W4" s="847" t="s">
        <v>126</v>
      </c>
      <c r="X4" s="852" t="s">
        <v>12</v>
      </c>
      <c r="Y4" s="853"/>
      <c r="Z4" s="853"/>
      <c r="AA4" s="854"/>
      <c r="AB4" s="847" t="s">
        <v>279</v>
      </c>
      <c r="AC4" s="855" t="s">
        <v>65</v>
      </c>
      <c r="AD4" s="845" t="s">
        <v>19</v>
      </c>
      <c r="AE4" s="366"/>
    </row>
    <row r="5" spans="2:34" s="361" customFormat="1" ht="38.25" customHeight="1">
      <c r="B5" s="368"/>
      <c r="C5" s="860"/>
      <c r="D5" s="591" t="s">
        <v>125</v>
      </c>
      <c r="E5" s="568" t="s">
        <v>135</v>
      </c>
      <c r="F5" s="568" t="s">
        <v>41</v>
      </c>
      <c r="G5" s="568" t="s">
        <v>447</v>
      </c>
      <c r="H5" s="568" t="s">
        <v>267</v>
      </c>
      <c r="I5" s="568" t="s">
        <v>268</v>
      </c>
      <c r="J5" s="568" t="s">
        <v>431</v>
      </c>
      <c r="K5" s="571" t="s">
        <v>42</v>
      </c>
      <c r="L5" s="591" t="s">
        <v>269</v>
      </c>
      <c r="M5" s="568" t="s">
        <v>270</v>
      </c>
      <c r="N5" s="568" t="s">
        <v>477</v>
      </c>
      <c r="O5" s="568" t="s">
        <v>38</v>
      </c>
      <c r="P5" s="568" t="s">
        <v>271</v>
      </c>
      <c r="Q5" s="568" t="s">
        <v>272</v>
      </c>
      <c r="R5" s="568" t="s">
        <v>273</v>
      </c>
      <c r="S5" s="568" t="s">
        <v>40</v>
      </c>
      <c r="T5" s="568" t="s">
        <v>274</v>
      </c>
      <c r="U5" s="568" t="s">
        <v>275</v>
      </c>
      <c r="V5" s="571" t="s">
        <v>276</v>
      </c>
      <c r="W5" s="848"/>
      <c r="X5" s="591" t="s">
        <v>292</v>
      </c>
      <c r="Y5" s="568" t="s">
        <v>277</v>
      </c>
      <c r="Z5" s="568" t="s">
        <v>43</v>
      </c>
      <c r="AA5" s="571" t="s">
        <v>278</v>
      </c>
      <c r="AB5" s="848"/>
      <c r="AC5" s="856"/>
      <c r="AD5" s="846"/>
      <c r="AE5" s="432"/>
    </row>
    <row r="6" spans="2:34" s="361" customFormat="1">
      <c r="B6" s="368"/>
      <c r="C6" s="592" t="s">
        <v>194</v>
      </c>
      <c r="D6" s="723">
        <f t="shared" ref="D6:K6" si="0">+D8+D17</f>
        <v>92349.898592566911</v>
      </c>
      <c r="E6" s="724">
        <f t="shared" si="0"/>
        <v>40696.08542360134</v>
      </c>
      <c r="F6" s="724">
        <f t="shared" si="0"/>
        <v>75562.116755302253</v>
      </c>
      <c r="G6" s="724">
        <f t="shared" si="0"/>
        <v>72958.919261656381</v>
      </c>
      <c r="H6" s="724">
        <f t="shared" si="0"/>
        <v>20310.838125240003</v>
      </c>
      <c r="I6" s="724">
        <f t="shared" si="0"/>
        <v>1818.2696449399996</v>
      </c>
      <c r="J6" s="724">
        <f t="shared" si="0"/>
        <v>1084.3449052367998</v>
      </c>
      <c r="K6" s="725">
        <f t="shared" si="0"/>
        <v>842.54431648510172</v>
      </c>
      <c r="L6" s="723">
        <f t="shared" ref="L6:AC6" si="1">-L8+L17</f>
        <v>68459.919316086583</v>
      </c>
      <c r="M6" s="724">
        <f t="shared" si="1"/>
        <v>7824.9353325068305</v>
      </c>
      <c r="N6" s="724">
        <f t="shared" si="1"/>
        <v>37296.384068627143</v>
      </c>
      <c r="O6" s="724">
        <f t="shared" si="1"/>
        <v>1533.6430235371163</v>
      </c>
      <c r="P6" s="724">
        <f t="shared" si="1"/>
        <v>13924.367109448945</v>
      </c>
      <c r="Q6" s="724">
        <f t="shared" si="1"/>
        <v>70.502242065257462</v>
      </c>
      <c r="R6" s="724">
        <f t="shared" si="1"/>
        <v>11758.707495340708</v>
      </c>
      <c r="S6" s="724">
        <f t="shared" si="1"/>
        <v>-172.27661394999996</v>
      </c>
      <c r="T6" s="724">
        <f t="shared" si="1"/>
        <v>1.4761283207119327</v>
      </c>
      <c r="U6" s="724">
        <f t="shared" si="1"/>
        <v>721.23497599999996</v>
      </c>
      <c r="V6" s="725">
        <f t="shared" si="1"/>
        <v>2283.0434613225439</v>
      </c>
      <c r="W6" s="724">
        <f t="shared" si="1"/>
        <v>60467.543946311816</v>
      </c>
      <c r="X6" s="723">
        <f t="shared" si="1"/>
        <v>-2428.0971942599999</v>
      </c>
      <c r="Y6" s="724">
        <f t="shared" si="1"/>
        <v>816.04300000000001</v>
      </c>
      <c r="Z6" s="724">
        <f t="shared" si="1"/>
        <v>195.45099999999999</v>
      </c>
      <c r="AA6" s="725">
        <f t="shared" si="1"/>
        <v>703.47</v>
      </c>
      <c r="AB6" s="724">
        <f t="shared" si="1"/>
        <v>79.492015594931999</v>
      </c>
      <c r="AC6" s="726">
        <f t="shared" si="1"/>
        <v>0</v>
      </c>
      <c r="AD6" s="726">
        <f>SUM(D6:AC6)</f>
        <v>509158.85633198143</v>
      </c>
      <c r="AE6" s="432"/>
    </row>
    <row r="7" spans="2:34" s="361" customFormat="1">
      <c r="B7" s="368"/>
      <c r="C7" s="575"/>
      <c r="D7" s="752"/>
      <c r="E7" s="753"/>
      <c r="F7" s="753"/>
      <c r="G7" s="753"/>
      <c r="H7" s="753"/>
      <c r="I7" s="753"/>
      <c r="J7" s="753"/>
      <c r="K7" s="754"/>
      <c r="L7" s="752"/>
      <c r="M7" s="753"/>
      <c r="N7" s="753"/>
      <c r="O7" s="753"/>
      <c r="P7" s="753"/>
      <c r="Q7" s="753"/>
      <c r="R7" s="753"/>
      <c r="S7" s="753"/>
      <c r="T7" s="753"/>
      <c r="U7" s="753"/>
      <c r="V7" s="754"/>
      <c r="W7" s="753"/>
      <c r="X7" s="752"/>
      <c r="Y7" s="753"/>
      <c r="Z7" s="753"/>
      <c r="AA7" s="754"/>
      <c r="AB7" s="753"/>
      <c r="AC7" s="755"/>
      <c r="AD7" s="755"/>
      <c r="AE7" s="432"/>
    </row>
    <row r="8" spans="2:34" ht="12.75" customHeight="1" thickBot="1">
      <c r="B8" s="744"/>
      <c r="C8" s="592" t="s">
        <v>454</v>
      </c>
      <c r="D8" s="724">
        <f>SUM(D9:D16)</f>
        <v>92349.898592566911</v>
      </c>
      <c r="E8" s="724">
        <f t="shared" ref="E8:AC8" si="2">SUM(E9:E16)</f>
        <v>23077.996714410649</v>
      </c>
      <c r="F8" s="724">
        <f t="shared" si="2"/>
        <v>72858.561982622952</v>
      </c>
      <c r="G8" s="724">
        <f t="shared" si="2"/>
        <v>35695.028653837777</v>
      </c>
      <c r="H8" s="724">
        <f t="shared" si="2"/>
        <v>20310.838125240003</v>
      </c>
      <c r="I8" s="724">
        <f t="shared" si="2"/>
        <v>1818.2696449399996</v>
      </c>
      <c r="J8" s="724">
        <f t="shared" si="2"/>
        <v>1084.3449052367998</v>
      </c>
      <c r="K8" s="724">
        <f t="shared" si="2"/>
        <v>678.65203408510172</v>
      </c>
      <c r="L8" s="723">
        <f t="shared" si="2"/>
        <v>6676.0208729394453</v>
      </c>
      <c r="M8" s="724">
        <f t="shared" si="2"/>
        <v>1580.8974162649931</v>
      </c>
      <c r="N8" s="724">
        <f t="shared" si="2"/>
        <v>-2798.2032959999997</v>
      </c>
      <c r="O8" s="724">
        <f t="shared" si="2"/>
        <v>58.360581000000025</v>
      </c>
      <c r="P8" s="724">
        <f t="shared" si="2"/>
        <v>87.234971237765308</v>
      </c>
      <c r="Q8" s="724">
        <f t="shared" si="2"/>
        <v>0</v>
      </c>
      <c r="R8" s="724">
        <f t="shared" si="2"/>
        <v>1.7990991000000001</v>
      </c>
      <c r="S8" s="724">
        <f t="shared" si="2"/>
        <v>1516.3728065</v>
      </c>
      <c r="T8" s="724">
        <f t="shared" si="2"/>
        <v>0</v>
      </c>
      <c r="U8" s="724">
        <f t="shared" si="2"/>
        <v>1405.229</v>
      </c>
      <c r="V8" s="724">
        <f t="shared" si="2"/>
        <v>0</v>
      </c>
      <c r="W8" s="723">
        <f t="shared" si="2"/>
        <v>0</v>
      </c>
      <c r="X8" s="723">
        <f t="shared" si="2"/>
        <v>2518.1265297599998</v>
      </c>
      <c r="Y8" s="724">
        <f t="shared" si="2"/>
        <v>0</v>
      </c>
      <c r="Z8" s="724">
        <f t="shared" si="2"/>
        <v>0</v>
      </c>
      <c r="AA8" s="724">
        <f t="shared" si="2"/>
        <v>0</v>
      </c>
      <c r="AB8" s="723">
        <f t="shared" si="2"/>
        <v>0</v>
      </c>
      <c r="AC8" s="723">
        <f t="shared" si="2"/>
        <v>0</v>
      </c>
      <c r="AD8" s="723">
        <f t="shared" ref="AD8:AD16" si="3">SUM(D8:AC8)</f>
        <v>258919.42863374235</v>
      </c>
      <c r="AE8" s="362"/>
      <c r="AF8" s="433"/>
      <c r="AG8" s="433"/>
      <c r="AH8" s="433"/>
    </row>
    <row r="9" spans="2:34" ht="13.5" customHeight="1">
      <c r="B9" s="849" t="s">
        <v>14</v>
      </c>
      <c r="C9" s="595" t="s">
        <v>63</v>
      </c>
      <c r="D9" s="618">
        <v>0</v>
      </c>
      <c r="E9" s="615">
        <v>0</v>
      </c>
      <c r="F9" s="615">
        <v>0</v>
      </c>
      <c r="G9" s="615">
        <v>0</v>
      </c>
      <c r="H9" s="615">
        <v>0</v>
      </c>
      <c r="I9" s="615">
        <v>0</v>
      </c>
      <c r="J9" s="615">
        <v>0</v>
      </c>
      <c r="K9" s="616">
        <v>0</v>
      </c>
      <c r="L9" s="618">
        <v>0</v>
      </c>
      <c r="M9" s="615">
        <v>0</v>
      </c>
      <c r="N9" s="615">
        <v>0</v>
      </c>
      <c r="O9" s="615">
        <v>0</v>
      </c>
      <c r="P9" s="615">
        <v>0</v>
      </c>
      <c r="Q9" s="615">
        <v>0</v>
      </c>
      <c r="R9" s="615">
        <v>0</v>
      </c>
      <c r="S9" s="615">
        <v>0</v>
      </c>
      <c r="T9" s="615">
        <v>0</v>
      </c>
      <c r="U9" s="615">
        <v>0</v>
      </c>
      <c r="V9" s="616">
        <v>0</v>
      </c>
      <c r="W9" s="615">
        <v>0</v>
      </c>
      <c r="X9" s="618">
        <v>0</v>
      </c>
      <c r="Y9" s="615">
        <v>0</v>
      </c>
      <c r="Z9" s="615">
        <v>0</v>
      </c>
      <c r="AA9" s="616">
        <v>0</v>
      </c>
      <c r="AB9" s="615">
        <v>0</v>
      </c>
      <c r="AC9" s="617">
        <v>0</v>
      </c>
      <c r="AD9" s="619">
        <f t="shared" si="3"/>
        <v>0</v>
      </c>
      <c r="AE9" s="366"/>
      <c r="AF9" s="358"/>
      <c r="AG9" s="358"/>
      <c r="AH9" s="438"/>
    </row>
    <row r="10" spans="2:34">
      <c r="B10" s="850"/>
      <c r="C10" s="595" t="s">
        <v>448</v>
      </c>
      <c r="D10" s="618">
        <v>0</v>
      </c>
      <c r="E10" s="615">
        <v>21126.819928204917</v>
      </c>
      <c r="F10" s="615">
        <v>69012.961753022944</v>
      </c>
      <c r="G10" s="615">
        <v>8609.1570452998494</v>
      </c>
      <c r="H10" s="615">
        <f>-'Balance de energía'!G12</f>
        <v>20272.706499240005</v>
      </c>
      <c r="I10" s="615">
        <f>-'Balance de energía'!H12</f>
        <v>1816.1051969399996</v>
      </c>
      <c r="J10" s="615">
        <f>-'Balance de energía'!I12</f>
        <v>1084.2774813399999</v>
      </c>
      <c r="K10" s="616">
        <v>667.45203408510167</v>
      </c>
      <c r="L10" s="618">
        <v>4991.2980984480855</v>
      </c>
      <c r="M10" s="615">
        <v>129.32850000000002</v>
      </c>
      <c r="N10" s="615">
        <v>0</v>
      </c>
      <c r="O10" s="615">
        <v>0</v>
      </c>
      <c r="P10" s="615">
        <v>3.9502870000000003</v>
      </c>
      <c r="Q10" s="615">
        <v>0</v>
      </c>
      <c r="R10" s="615">
        <v>1.7532450000000002</v>
      </c>
      <c r="S10" s="615">
        <v>0</v>
      </c>
      <c r="T10" s="615">
        <v>0</v>
      </c>
      <c r="U10" s="615">
        <v>0</v>
      </c>
      <c r="V10" s="616">
        <v>0</v>
      </c>
      <c r="W10" s="615">
        <v>0</v>
      </c>
      <c r="X10" s="618">
        <v>0</v>
      </c>
      <c r="Y10" s="615">
        <v>0</v>
      </c>
      <c r="Z10" s="615">
        <v>0</v>
      </c>
      <c r="AA10" s="616">
        <v>0</v>
      </c>
      <c r="AB10" s="615">
        <v>0</v>
      </c>
      <c r="AC10" s="617">
        <v>0</v>
      </c>
      <c r="AD10" s="619">
        <f t="shared" si="3"/>
        <v>127715.8100685809</v>
      </c>
      <c r="AE10" s="366"/>
      <c r="AF10" s="358"/>
      <c r="AG10" s="358"/>
      <c r="AH10" s="438"/>
    </row>
    <row r="11" spans="2:34">
      <c r="B11" s="850"/>
      <c r="C11" s="595" t="s">
        <v>449</v>
      </c>
      <c r="D11" s="618">
        <v>0</v>
      </c>
      <c r="E11" s="615">
        <v>433.14320740573044</v>
      </c>
      <c r="F11" s="615">
        <v>0</v>
      </c>
      <c r="G11" s="615">
        <v>27085.871608537927</v>
      </c>
      <c r="H11" s="615">
        <f>-'Balance de energía'!G13</f>
        <v>38.131625999999997</v>
      </c>
      <c r="I11" s="615">
        <f>-'Balance de energía'!H13</f>
        <v>2.1644480000000001</v>
      </c>
      <c r="J11" s="615">
        <f>-'Balance de energía'!I13</f>
        <v>6.7423896799999994E-2</v>
      </c>
      <c r="K11" s="616">
        <v>0</v>
      </c>
      <c r="L11" s="618">
        <v>482.62237849135977</v>
      </c>
      <c r="M11" s="615">
        <v>811.37341626499301</v>
      </c>
      <c r="N11" s="615">
        <v>0</v>
      </c>
      <c r="O11" s="615">
        <v>0</v>
      </c>
      <c r="P11" s="615">
        <v>15.663229237765302</v>
      </c>
      <c r="Q11" s="615">
        <v>0</v>
      </c>
      <c r="R11" s="615">
        <v>4.5854100000000002E-2</v>
      </c>
      <c r="S11" s="615">
        <v>0</v>
      </c>
      <c r="T11" s="615">
        <v>0</v>
      </c>
      <c r="U11" s="615">
        <v>1405.229</v>
      </c>
      <c r="V11" s="616">
        <v>0</v>
      </c>
      <c r="W11" s="615">
        <v>0</v>
      </c>
      <c r="X11" s="618">
        <v>0</v>
      </c>
      <c r="Y11" s="615">
        <v>0</v>
      </c>
      <c r="Z11" s="615">
        <v>0</v>
      </c>
      <c r="AA11" s="616">
        <v>0</v>
      </c>
      <c r="AB11" s="615">
        <v>0</v>
      </c>
      <c r="AC11" s="617">
        <v>0</v>
      </c>
      <c r="AD11" s="619">
        <f t="shared" si="3"/>
        <v>30274.312191934572</v>
      </c>
      <c r="AE11" s="366"/>
      <c r="AF11" s="358"/>
      <c r="AG11" s="358"/>
      <c r="AH11" s="438"/>
    </row>
    <row r="12" spans="2:34">
      <c r="B12" s="850"/>
      <c r="C12" s="595" t="s">
        <v>450</v>
      </c>
      <c r="D12" s="618">
        <v>0</v>
      </c>
      <c r="E12" s="615">
        <v>0</v>
      </c>
      <c r="F12" s="615">
        <v>3845.6002296000006</v>
      </c>
      <c r="G12" s="615">
        <v>0</v>
      </c>
      <c r="H12" s="615">
        <v>0</v>
      </c>
      <c r="I12" s="615">
        <v>0</v>
      </c>
      <c r="J12" s="615">
        <v>0</v>
      </c>
      <c r="K12" s="616">
        <v>0</v>
      </c>
      <c r="L12" s="618">
        <v>0</v>
      </c>
      <c r="M12" s="615">
        <v>0</v>
      </c>
      <c r="N12" s="615">
        <v>0</v>
      </c>
      <c r="O12" s="615">
        <v>0</v>
      </c>
      <c r="P12" s="615">
        <v>0</v>
      </c>
      <c r="Q12" s="615">
        <v>0</v>
      </c>
      <c r="R12" s="615">
        <v>0</v>
      </c>
      <c r="S12" s="615">
        <v>0</v>
      </c>
      <c r="T12" s="615">
        <v>0</v>
      </c>
      <c r="U12" s="615">
        <v>0</v>
      </c>
      <c r="V12" s="616">
        <v>0</v>
      </c>
      <c r="W12" s="615">
        <v>0</v>
      </c>
      <c r="X12" s="618">
        <v>0</v>
      </c>
      <c r="Y12" s="615">
        <v>0</v>
      </c>
      <c r="Z12" s="615">
        <v>0</v>
      </c>
      <c r="AA12" s="616">
        <v>0</v>
      </c>
      <c r="AB12" s="615">
        <v>0</v>
      </c>
      <c r="AC12" s="617">
        <v>0</v>
      </c>
      <c r="AD12" s="619">
        <f t="shared" si="3"/>
        <v>3845.6002296000006</v>
      </c>
      <c r="AE12" s="366"/>
      <c r="AF12" s="358"/>
      <c r="AG12" s="358"/>
      <c r="AH12" s="438"/>
    </row>
    <row r="13" spans="2:34">
      <c r="B13" s="850"/>
      <c r="C13" s="595" t="s">
        <v>451</v>
      </c>
      <c r="D13" s="618">
        <v>0</v>
      </c>
      <c r="E13" s="615">
        <v>0</v>
      </c>
      <c r="F13" s="615">
        <v>0</v>
      </c>
      <c r="G13" s="615">
        <v>0</v>
      </c>
      <c r="H13" s="615">
        <v>0</v>
      </c>
      <c r="I13" s="615">
        <v>0</v>
      </c>
      <c r="J13" s="615">
        <v>0</v>
      </c>
      <c r="K13" s="616">
        <v>0</v>
      </c>
      <c r="L13" s="618">
        <v>0</v>
      </c>
      <c r="M13" s="615">
        <v>0</v>
      </c>
      <c r="N13" s="615">
        <v>0</v>
      </c>
      <c r="O13" s="615">
        <v>0</v>
      </c>
      <c r="P13" s="615">
        <v>0</v>
      </c>
      <c r="Q13" s="615">
        <v>0</v>
      </c>
      <c r="R13" s="615">
        <v>0</v>
      </c>
      <c r="S13" s="615">
        <v>0</v>
      </c>
      <c r="T13" s="615">
        <v>0</v>
      </c>
      <c r="U13" s="615">
        <v>0</v>
      </c>
      <c r="V13" s="616">
        <v>0</v>
      </c>
      <c r="W13" s="615">
        <v>0</v>
      </c>
      <c r="X13" s="618">
        <v>2518.1265297599998</v>
      </c>
      <c r="Y13" s="615">
        <v>0</v>
      </c>
      <c r="Z13" s="615">
        <v>0</v>
      </c>
      <c r="AA13" s="616">
        <v>0</v>
      </c>
      <c r="AB13" s="615">
        <v>0</v>
      </c>
      <c r="AC13" s="617">
        <v>0</v>
      </c>
      <c r="AD13" s="619">
        <f t="shared" si="3"/>
        <v>2518.1265297599998</v>
      </c>
      <c r="AE13" s="366"/>
      <c r="AF13" s="358"/>
      <c r="AG13" s="358"/>
      <c r="AH13" s="438"/>
    </row>
    <row r="14" spans="2:34">
      <c r="B14" s="850"/>
      <c r="C14" s="595" t="s">
        <v>282</v>
      </c>
      <c r="D14" s="618">
        <v>0</v>
      </c>
      <c r="E14" s="615">
        <v>77.908834900000002</v>
      </c>
      <c r="F14" s="615">
        <v>0</v>
      </c>
      <c r="G14" s="615">
        <v>0</v>
      </c>
      <c r="H14" s="615">
        <v>0</v>
      </c>
      <c r="I14" s="615">
        <v>0</v>
      </c>
      <c r="J14" s="615">
        <v>0</v>
      </c>
      <c r="K14" s="616">
        <v>11.2</v>
      </c>
      <c r="L14" s="618">
        <v>0</v>
      </c>
      <c r="M14" s="615">
        <v>0</v>
      </c>
      <c r="N14" s="615">
        <v>0</v>
      </c>
      <c r="O14" s="615">
        <v>0</v>
      </c>
      <c r="P14" s="615">
        <v>0</v>
      </c>
      <c r="Q14" s="615">
        <v>0</v>
      </c>
      <c r="R14" s="615">
        <v>0</v>
      </c>
      <c r="S14" s="615">
        <v>0</v>
      </c>
      <c r="T14" s="615">
        <v>0</v>
      </c>
      <c r="U14" s="615">
        <v>0</v>
      </c>
      <c r="V14" s="616">
        <v>0</v>
      </c>
      <c r="W14" s="615">
        <v>0</v>
      </c>
      <c r="X14" s="618">
        <v>0</v>
      </c>
      <c r="Y14" s="615">
        <v>0</v>
      </c>
      <c r="Z14" s="615">
        <v>0</v>
      </c>
      <c r="AA14" s="616">
        <v>0</v>
      </c>
      <c r="AB14" s="615">
        <v>0</v>
      </c>
      <c r="AC14" s="617">
        <v>0</v>
      </c>
      <c r="AD14" s="619">
        <f t="shared" si="3"/>
        <v>89.108834900000005</v>
      </c>
      <c r="AE14" s="366"/>
      <c r="AF14" s="358"/>
      <c r="AG14" s="358"/>
      <c r="AH14" s="438"/>
    </row>
    <row r="15" spans="2:34">
      <c r="B15" s="850"/>
      <c r="C15" s="595" t="s">
        <v>452</v>
      </c>
      <c r="D15" s="618">
        <v>92349.898592566911</v>
      </c>
      <c r="E15" s="615">
        <v>0</v>
      </c>
      <c r="F15" s="615">
        <v>0</v>
      </c>
      <c r="G15" s="615">
        <v>0</v>
      </c>
      <c r="H15" s="615">
        <v>0</v>
      </c>
      <c r="I15" s="615">
        <v>0</v>
      </c>
      <c r="J15" s="615">
        <v>0</v>
      </c>
      <c r="K15" s="616">
        <v>0</v>
      </c>
      <c r="L15" s="618">
        <v>1202.100396</v>
      </c>
      <c r="M15" s="615">
        <v>640.19550000000004</v>
      </c>
      <c r="N15" s="615">
        <v>-2798.2032959999997</v>
      </c>
      <c r="O15" s="615">
        <v>58.360581000000025</v>
      </c>
      <c r="P15" s="615">
        <v>67.621455000000012</v>
      </c>
      <c r="Q15" s="615">
        <v>0</v>
      </c>
      <c r="R15" s="615">
        <v>0</v>
      </c>
      <c r="S15" s="615">
        <v>1516.3728065</v>
      </c>
      <c r="T15" s="615">
        <v>0</v>
      </c>
      <c r="U15" s="615">
        <v>0</v>
      </c>
      <c r="V15" s="616">
        <v>0</v>
      </c>
      <c r="W15" s="615">
        <v>0</v>
      </c>
      <c r="X15" s="618">
        <v>0</v>
      </c>
      <c r="Y15" s="615">
        <v>0</v>
      </c>
      <c r="Z15" s="615">
        <v>0</v>
      </c>
      <c r="AA15" s="616">
        <v>0</v>
      </c>
      <c r="AB15" s="615">
        <v>0</v>
      </c>
      <c r="AC15" s="617">
        <v>0</v>
      </c>
      <c r="AD15" s="619">
        <f t="shared" si="3"/>
        <v>93036.346035066905</v>
      </c>
      <c r="AE15" s="366"/>
      <c r="AF15" s="358"/>
      <c r="AG15" s="358"/>
      <c r="AH15" s="438"/>
    </row>
    <row r="16" spans="2:34" ht="13.5" thickBot="1">
      <c r="B16" s="851"/>
      <c r="C16" s="595" t="s">
        <v>453</v>
      </c>
      <c r="D16" s="618">
        <v>0</v>
      </c>
      <c r="E16" s="615">
        <v>1440.1247439000001</v>
      </c>
      <c r="F16" s="615">
        <v>0</v>
      </c>
      <c r="G16" s="615">
        <v>0</v>
      </c>
      <c r="H16" s="615">
        <v>0</v>
      </c>
      <c r="I16" s="615">
        <v>0</v>
      </c>
      <c r="J16" s="615">
        <v>0</v>
      </c>
      <c r="K16" s="616">
        <v>0</v>
      </c>
      <c r="L16" s="618">
        <v>0</v>
      </c>
      <c r="M16" s="615">
        <v>0</v>
      </c>
      <c r="N16" s="615">
        <v>0</v>
      </c>
      <c r="O16" s="615">
        <v>0</v>
      </c>
      <c r="P16" s="615">
        <v>0</v>
      </c>
      <c r="Q16" s="615">
        <v>0</v>
      </c>
      <c r="R16" s="615">
        <v>0</v>
      </c>
      <c r="S16" s="615">
        <v>0</v>
      </c>
      <c r="T16" s="615">
        <v>0</v>
      </c>
      <c r="U16" s="615">
        <v>0</v>
      </c>
      <c r="V16" s="616">
        <v>0</v>
      </c>
      <c r="W16" s="615">
        <v>0</v>
      </c>
      <c r="X16" s="618">
        <v>0</v>
      </c>
      <c r="Y16" s="615">
        <v>0</v>
      </c>
      <c r="Z16" s="615">
        <v>0</v>
      </c>
      <c r="AA16" s="616">
        <v>0</v>
      </c>
      <c r="AB16" s="615">
        <v>0</v>
      </c>
      <c r="AC16" s="617">
        <v>0</v>
      </c>
      <c r="AD16" s="619">
        <f t="shared" si="3"/>
        <v>1440.1247439000001</v>
      </c>
      <c r="AE16" s="366"/>
      <c r="AF16" s="358"/>
      <c r="AG16" s="358"/>
      <c r="AH16" s="438"/>
    </row>
    <row r="17" spans="2:31" ht="13.5" thickBot="1">
      <c r="B17" s="594"/>
      <c r="C17" s="592" t="s">
        <v>62</v>
      </c>
      <c r="D17" s="722">
        <f t="shared" ref="D17:AC17" si="4">+D18+D26+D38+D43+D47</f>
        <v>0</v>
      </c>
      <c r="E17" s="727">
        <f t="shared" si="4"/>
        <v>17618.088709190695</v>
      </c>
      <c r="F17" s="727">
        <f t="shared" si="4"/>
        <v>2703.5547726793029</v>
      </c>
      <c r="G17" s="727">
        <f t="shared" si="4"/>
        <v>37263.890607818612</v>
      </c>
      <c r="H17" s="727">
        <f t="shared" si="4"/>
        <v>0</v>
      </c>
      <c r="I17" s="727">
        <f t="shared" si="4"/>
        <v>0</v>
      </c>
      <c r="J17" s="727">
        <f t="shared" si="4"/>
        <v>0</v>
      </c>
      <c r="K17" s="727">
        <f t="shared" si="4"/>
        <v>163.8922824</v>
      </c>
      <c r="L17" s="722">
        <f t="shared" si="4"/>
        <v>75135.940189026034</v>
      </c>
      <c r="M17" s="727">
        <f t="shared" si="4"/>
        <v>9405.8327487718234</v>
      </c>
      <c r="N17" s="727">
        <f t="shared" si="4"/>
        <v>34498.180772627144</v>
      </c>
      <c r="O17" s="727">
        <f t="shared" si="4"/>
        <v>1592.0036045371162</v>
      </c>
      <c r="P17" s="727">
        <f t="shared" si="4"/>
        <v>14011.602080686711</v>
      </c>
      <c r="Q17" s="727">
        <f t="shared" si="4"/>
        <v>70.502242065257462</v>
      </c>
      <c r="R17" s="727">
        <f t="shared" si="4"/>
        <v>11760.506594440709</v>
      </c>
      <c r="S17" s="727">
        <f t="shared" si="4"/>
        <v>1344.0961925500001</v>
      </c>
      <c r="T17" s="727">
        <f t="shared" si="4"/>
        <v>1.4761283207119327</v>
      </c>
      <c r="U17" s="727">
        <f t="shared" si="4"/>
        <v>2126.463976</v>
      </c>
      <c r="V17" s="727">
        <f t="shared" si="4"/>
        <v>2283.0434613225439</v>
      </c>
      <c r="W17" s="722">
        <f t="shared" si="4"/>
        <v>60467.543946311816</v>
      </c>
      <c r="X17" s="722">
        <f t="shared" si="4"/>
        <v>90.029335500000002</v>
      </c>
      <c r="Y17" s="727">
        <f t="shared" si="4"/>
        <v>816.04300000000001</v>
      </c>
      <c r="Z17" s="727">
        <f t="shared" si="4"/>
        <v>195.45099999999999</v>
      </c>
      <c r="AA17" s="727">
        <f t="shared" si="4"/>
        <v>703.47</v>
      </c>
      <c r="AB17" s="722">
        <f t="shared" si="4"/>
        <v>79.492015594931999</v>
      </c>
      <c r="AC17" s="745">
        <f t="shared" si="4"/>
        <v>0</v>
      </c>
      <c r="AD17" s="726">
        <f>SUM(D17:AC17)</f>
        <v>272331.10365984333</v>
      </c>
      <c r="AE17" s="362"/>
    </row>
    <row r="18" spans="2:31" ht="12.75" customHeight="1">
      <c r="B18" s="849" t="s">
        <v>13</v>
      </c>
      <c r="C18" s="572" t="s">
        <v>615</v>
      </c>
      <c r="D18" s="620">
        <f>SUM(D19:D25)</f>
        <v>0</v>
      </c>
      <c r="E18" s="621">
        <f t="shared" ref="E18:AC18" si="5">SUM(E19:E25)</f>
        <v>2854.0025196758079</v>
      </c>
      <c r="F18" s="621">
        <f t="shared" si="5"/>
        <v>0</v>
      </c>
      <c r="G18" s="621">
        <f t="shared" si="5"/>
        <v>0</v>
      </c>
      <c r="H18" s="621">
        <f t="shared" si="5"/>
        <v>0</v>
      </c>
      <c r="I18" s="621">
        <f t="shared" si="5"/>
        <v>0</v>
      </c>
      <c r="J18" s="621">
        <f t="shared" si="5"/>
        <v>0</v>
      </c>
      <c r="K18" s="622">
        <f t="shared" si="5"/>
        <v>0</v>
      </c>
      <c r="L18" s="620">
        <f t="shared" si="5"/>
        <v>0.84760754399999994</v>
      </c>
      <c r="M18" s="621">
        <f t="shared" si="5"/>
        <v>34.010686499999998</v>
      </c>
      <c r="N18" s="621">
        <f t="shared" si="5"/>
        <v>0</v>
      </c>
      <c r="O18" s="621">
        <f t="shared" si="5"/>
        <v>5.0978969999999997E-3</v>
      </c>
      <c r="P18" s="621">
        <f t="shared" si="5"/>
        <v>153.4840351</v>
      </c>
      <c r="Q18" s="621">
        <f t="shared" si="5"/>
        <v>0</v>
      </c>
      <c r="R18" s="621">
        <f t="shared" si="5"/>
        <v>0.20589389999999999</v>
      </c>
      <c r="S18" s="621">
        <f t="shared" si="5"/>
        <v>1344.0961925500001</v>
      </c>
      <c r="T18" s="621">
        <f t="shared" si="5"/>
        <v>1.4761283207119327</v>
      </c>
      <c r="U18" s="621">
        <f t="shared" si="5"/>
        <v>0</v>
      </c>
      <c r="V18" s="622">
        <f t="shared" si="5"/>
        <v>671.564134308544</v>
      </c>
      <c r="W18" s="621">
        <f t="shared" si="5"/>
        <v>3295.6753486855478</v>
      </c>
      <c r="X18" s="620">
        <f t="shared" si="5"/>
        <v>0</v>
      </c>
      <c r="Y18" s="621">
        <f t="shared" si="5"/>
        <v>234.893</v>
      </c>
      <c r="Z18" s="621">
        <f t="shared" si="5"/>
        <v>195.45099999999999</v>
      </c>
      <c r="AA18" s="622">
        <f t="shared" si="5"/>
        <v>552.47</v>
      </c>
      <c r="AB18" s="621">
        <f t="shared" si="5"/>
        <v>0.25969270293200003</v>
      </c>
      <c r="AC18" s="623">
        <f t="shared" si="5"/>
        <v>0</v>
      </c>
      <c r="AD18" s="623">
        <f t="shared" ref="AD18:AD47" si="6">SUM(D18:AC18)</f>
        <v>9338.4413371845421</v>
      </c>
      <c r="AE18" s="362"/>
    </row>
    <row r="19" spans="2:31">
      <c r="B19" s="850"/>
      <c r="C19" s="595" t="s">
        <v>63</v>
      </c>
      <c r="D19" s="618">
        <f>+'Balance de energía'!C21</f>
        <v>0</v>
      </c>
      <c r="E19" s="615">
        <f>+'Balance de energía'!D21</f>
        <v>0</v>
      </c>
      <c r="F19" s="615">
        <f>+'Balance de energía'!E21</f>
        <v>0</v>
      </c>
      <c r="G19" s="615">
        <f>+'Balance de energía'!F21</f>
        <v>0</v>
      </c>
      <c r="H19" s="615">
        <f>+'Balance de energía'!G21</f>
        <v>0</v>
      </c>
      <c r="I19" s="615">
        <f>+'Balance de energía'!H21</f>
        <v>0</v>
      </c>
      <c r="J19" s="615">
        <f>+'Balance de energía'!I21</f>
        <v>0</v>
      </c>
      <c r="K19" s="616">
        <f>+'Balance de energía'!J21</f>
        <v>0</v>
      </c>
      <c r="L19" s="618">
        <f>+'Balance de energía'!$K21</f>
        <v>0.84760754399999994</v>
      </c>
      <c r="M19" s="615">
        <f>+'Balance de energía'!$L21</f>
        <v>0</v>
      </c>
      <c r="N19" s="615">
        <f>+'Balance de energía'!$M21</f>
        <v>0</v>
      </c>
      <c r="O19" s="615">
        <f>+'Balance de energía'!N21</f>
        <v>0</v>
      </c>
      <c r="P19" s="615">
        <f>+'Balance de energía'!O21</f>
        <v>4.0790673000000002</v>
      </c>
      <c r="Q19" s="615">
        <f>+'Balance de energía'!P21</f>
        <v>0</v>
      </c>
      <c r="R19" s="615">
        <f>+'Balance de energía'!Q21</f>
        <v>0</v>
      </c>
      <c r="S19" s="615">
        <f>+'Balance de energía'!R21</f>
        <v>0</v>
      </c>
      <c r="T19" s="615">
        <f>+'Balance de energía'!S21</f>
        <v>0</v>
      </c>
      <c r="U19" s="615">
        <f>+'Balance de energía'!T21</f>
        <v>0</v>
      </c>
      <c r="V19" s="616">
        <f>+'Balance de energía'!U21</f>
        <v>0</v>
      </c>
      <c r="W19" s="615">
        <f>+'Balance de energía'!V21</f>
        <v>2.44039362</v>
      </c>
      <c r="X19" s="618">
        <f>+'Balance de energía'!W21</f>
        <v>0</v>
      </c>
      <c r="Y19" s="615">
        <f>+'Balance de energía'!X21</f>
        <v>0</v>
      </c>
      <c r="Z19" s="615">
        <f>+'Balance de energía'!Y21</f>
        <v>0</v>
      </c>
      <c r="AA19" s="616">
        <f>+'Balance de energía'!Z21</f>
        <v>0</v>
      </c>
      <c r="AB19" s="615">
        <f>+'Balance de energía'!AA21</f>
        <v>0</v>
      </c>
      <c r="AC19" s="617">
        <f>+'Balance de energía'!AB21</f>
        <v>0</v>
      </c>
      <c r="AD19" s="619">
        <f t="shared" si="6"/>
        <v>7.3670684639999999</v>
      </c>
      <c r="AE19" s="362"/>
    </row>
    <row r="20" spans="2:31">
      <c r="B20" s="850"/>
      <c r="C20" s="595" t="s">
        <v>126</v>
      </c>
      <c r="D20" s="618">
        <f>+'Balance de energía'!C22</f>
        <v>0</v>
      </c>
      <c r="E20" s="615">
        <f>+'Balance de energía'!D22</f>
        <v>0</v>
      </c>
      <c r="F20" s="615">
        <f>+'Balance de energía'!E22</f>
        <v>0</v>
      </c>
      <c r="G20" s="615">
        <f>+'Balance de energía'!F22</f>
        <v>0</v>
      </c>
      <c r="H20" s="615">
        <f>+'Balance de energía'!G22</f>
        <v>0</v>
      </c>
      <c r="I20" s="615">
        <f>+'Balance de energía'!H22</f>
        <v>0</v>
      </c>
      <c r="J20" s="615">
        <f>+'Balance de energía'!I22</f>
        <v>0</v>
      </c>
      <c r="K20" s="616">
        <f>+'Balance de energía'!J22</f>
        <v>0</v>
      </c>
      <c r="L20" s="618">
        <f>+'Balance de energía'!$K22</f>
        <v>0</v>
      </c>
      <c r="M20" s="615">
        <f>+'Balance de energía'!$L22</f>
        <v>0</v>
      </c>
      <c r="N20" s="615">
        <f>+'Balance de energía'!$M22</f>
        <v>0</v>
      </c>
      <c r="O20" s="615">
        <f>+'Balance de energía'!N22</f>
        <v>0</v>
      </c>
      <c r="P20" s="615">
        <f>+'Balance de energía'!O22</f>
        <v>0</v>
      </c>
      <c r="Q20" s="615">
        <f>+'Balance de energía'!P22</f>
        <v>0</v>
      </c>
      <c r="R20" s="615">
        <f>+'Balance de energía'!Q22</f>
        <v>0</v>
      </c>
      <c r="S20" s="615">
        <f>+'Balance de energía'!R22</f>
        <v>0</v>
      </c>
      <c r="T20" s="615">
        <f>+'Balance de energía'!S22</f>
        <v>0</v>
      </c>
      <c r="U20" s="615">
        <f>+'Balance de energía'!T22</f>
        <v>0</v>
      </c>
      <c r="V20" s="616">
        <f>+'Balance de energía'!U22</f>
        <v>0</v>
      </c>
      <c r="W20" s="615">
        <f>+'Balance de energía'!V22</f>
        <v>2742.6122376837475</v>
      </c>
      <c r="X20" s="618">
        <f>+'Balance de energía'!W22</f>
        <v>0</v>
      </c>
      <c r="Y20" s="615">
        <f>+'Balance de energía'!X22</f>
        <v>0</v>
      </c>
      <c r="Z20" s="615">
        <f>+'Balance de energía'!Y22</f>
        <v>0</v>
      </c>
      <c r="AA20" s="616">
        <f>+'Balance de energía'!Z22</f>
        <v>0</v>
      </c>
      <c r="AB20" s="615">
        <f>+'Balance de energía'!AA22</f>
        <v>0</v>
      </c>
      <c r="AC20" s="617">
        <f>+'Balance de energía'!AB22</f>
        <v>0</v>
      </c>
      <c r="AD20" s="619">
        <f t="shared" si="6"/>
        <v>2742.6122376837475</v>
      </c>
      <c r="AE20" s="362"/>
    </row>
    <row r="21" spans="2:31">
      <c r="B21" s="850"/>
      <c r="C21" s="595" t="s">
        <v>450</v>
      </c>
      <c r="D21" s="618">
        <f>+'Balance de energía'!C23</f>
        <v>0</v>
      </c>
      <c r="E21" s="615">
        <f>+'Balance de energía'!D23</f>
        <v>0</v>
      </c>
      <c r="F21" s="615">
        <f>+'Balance de energía'!E23</f>
        <v>0</v>
      </c>
      <c r="G21" s="615">
        <f>+'Balance de energía'!F23</f>
        <v>0</v>
      </c>
      <c r="H21" s="615">
        <f>+'Balance de energía'!G23</f>
        <v>0</v>
      </c>
      <c r="I21" s="615">
        <f>+'Balance de energía'!H23</f>
        <v>0</v>
      </c>
      <c r="J21" s="615">
        <f>+'Balance de energía'!I23</f>
        <v>0</v>
      </c>
      <c r="K21" s="616">
        <f>+'Balance de energía'!J23</f>
        <v>0</v>
      </c>
      <c r="L21" s="618">
        <f>+'Balance de energía'!$K23</f>
        <v>0</v>
      </c>
      <c r="M21" s="615">
        <f>+'Balance de energía'!$L23</f>
        <v>0</v>
      </c>
      <c r="N21" s="615">
        <f>+'Balance de energía'!$M23</f>
        <v>0</v>
      </c>
      <c r="O21" s="615">
        <f>+'Balance de energía'!N23</f>
        <v>0</v>
      </c>
      <c r="P21" s="615">
        <f>+'Balance de energía'!O23</f>
        <v>0</v>
      </c>
      <c r="Q21" s="615">
        <f>+'Balance de energía'!P23</f>
        <v>0</v>
      </c>
      <c r="R21" s="615">
        <f>+'Balance de energía'!Q23</f>
        <v>0</v>
      </c>
      <c r="S21" s="615">
        <f>+'Balance de energía'!R23</f>
        <v>0</v>
      </c>
      <c r="T21" s="615">
        <f>+'Balance de energía'!S23</f>
        <v>0</v>
      </c>
      <c r="U21" s="615">
        <f>+'Balance de energía'!T23</f>
        <v>0</v>
      </c>
      <c r="V21" s="616">
        <f>+'Balance de energía'!U23</f>
        <v>0</v>
      </c>
      <c r="W21" s="615">
        <f>+'Balance de energía'!V23</f>
        <v>0</v>
      </c>
      <c r="X21" s="618">
        <f>+'Balance de energía'!W23</f>
        <v>0</v>
      </c>
      <c r="Y21" s="615">
        <f>+'Balance de energía'!X23</f>
        <v>112.749</v>
      </c>
      <c r="Z21" s="615">
        <f>+'Balance de energía'!Y23</f>
        <v>0</v>
      </c>
      <c r="AA21" s="616">
        <f>+'Balance de energía'!Z23</f>
        <v>290.15300000000002</v>
      </c>
      <c r="AB21" s="615">
        <f>+'Balance de energía'!AA23</f>
        <v>0</v>
      </c>
      <c r="AC21" s="617">
        <f>+'Balance de energía'!AB23</f>
        <v>0</v>
      </c>
      <c r="AD21" s="619">
        <f t="shared" si="6"/>
        <v>402.90200000000004</v>
      </c>
      <c r="AE21" s="362"/>
    </row>
    <row r="22" spans="2:31">
      <c r="B22" s="850"/>
      <c r="C22" s="595" t="s">
        <v>451</v>
      </c>
      <c r="D22" s="618">
        <f>+'Balance de energía'!C24</f>
        <v>0</v>
      </c>
      <c r="E22" s="615">
        <f>+'Balance de energía'!D24</f>
        <v>23.247</v>
      </c>
      <c r="F22" s="615">
        <f>+'Balance de energía'!E24</f>
        <v>0</v>
      </c>
      <c r="G22" s="615">
        <f>+'Balance de energía'!F24</f>
        <v>0</v>
      </c>
      <c r="H22" s="615">
        <f>+'Balance de energía'!G24</f>
        <v>0</v>
      </c>
      <c r="I22" s="615">
        <f>+'Balance de energía'!H24</f>
        <v>0</v>
      </c>
      <c r="J22" s="615">
        <f>+'Balance de energía'!I24</f>
        <v>0</v>
      </c>
      <c r="K22" s="616">
        <f>+'Balance de energía'!J24</f>
        <v>0</v>
      </c>
      <c r="L22" s="618">
        <f>+'Balance de energía'!$K24</f>
        <v>0</v>
      </c>
      <c r="M22" s="615">
        <f>+'Balance de energía'!$L24</f>
        <v>34.010686499999998</v>
      </c>
      <c r="N22" s="615">
        <f>+'Balance de energía'!$M24</f>
        <v>0</v>
      </c>
      <c r="O22" s="615">
        <f>+'Balance de energía'!N24</f>
        <v>5.0978969999999997E-3</v>
      </c>
      <c r="P22" s="615">
        <f>+'Balance de energía'!O24</f>
        <v>1.8307905000000002</v>
      </c>
      <c r="Q22" s="615">
        <f>+'Balance de energía'!P24</f>
        <v>0</v>
      </c>
      <c r="R22" s="615">
        <f>+'Balance de energía'!Q24</f>
        <v>0</v>
      </c>
      <c r="S22" s="615">
        <f>+'Balance de energía'!R24</f>
        <v>0</v>
      </c>
      <c r="T22" s="615">
        <f>+'Balance de energía'!S24</f>
        <v>0</v>
      </c>
      <c r="U22" s="615">
        <f>+'Balance de energía'!T24</f>
        <v>0</v>
      </c>
      <c r="V22" s="616">
        <f>+'Balance de energía'!U24</f>
        <v>0</v>
      </c>
      <c r="W22" s="615">
        <f>+'Balance de energía'!V24</f>
        <v>0</v>
      </c>
      <c r="X22" s="618">
        <f>+'Balance de energía'!W24</f>
        <v>0</v>
      </c>
      <c r="Y22" s="615">
        <f>+'Balance de energía'!X24</f>
        <v>122.14400000000001</v>
      </c>
      <c r="Z22" s="615">
        <f>+'Balance de energía'!Y24</f>
        <v>195.45099999999999</v>
      </c>
      <c r="AA22" s="616">
        <f>+'Balance de energía'!Z24</f>
        <v>262.31700000000001</v>
      </c>
      <c r="AB22" s="615">
        <f>+'Balance de energía'!AA24</f>
        <v>0</v>
      </c>
      <c r="AC22" s="617">
        <f>+'Balance de energía'!AB24</f>
        <v>0</v>
      </c>
      <c r="AD22" s="619">
        <f t="shared" si="6"/>
        <v>639.00557489699997</v>
      </c>
      <c r="AE22" s="362"/>
    </row>
    <row r="23" spans="2:31">
      <c r="B23" s="850"/>
      <c r="C23" s="595" t="s">
        <v>282</v>
      </c>
      <c r="D23" s="618">
        <f>+'Balance de energía'!C25</f>
        <v>0</v>
      </c>
      <c r="E23" s="615">
        <f>+'Balance de energía'!D25</f>
        <v>0</v>
      </c>
      <c r="F23" s="615">
        <f>+'Balance de energía'!E25</f>
        <v>0</v>
      </c>
      <c r="G23" s="615">
        <f>+'Balance de energía'!F25</f>
        <v>0</v>
      </c>
      <c r="H23" s="615">
        <f>+'Balance de energía'!G25</f>
        <v>0</v>
      </c>
      <c r="I23" s="615">
        <f>+'Balance de energía'!H25</f>
        <v>0</v>
      </c>
      <c r="J23" s="615">
        <f>+'Balance de energía'!I25</f>
        <v>0</v>
      </c>
      <c r="K23" s="616">
        <f>+'Balance de energía'!J25</f>
        <v>0</v>
      </c>
      <c r="L23" s="618">
        <f>+'Balance de energía'!$K25</f>
        <v>0</v>
      </c>
      <c r="M23" s="615">
        <f>+'Balance de energía'!$L25</f>
        <v>0</v>
      </c>
      <c r="N23" s="615">
        <f>+'Balance de energía'!$M25</f>
        <v>0</v>
      </c>
      <c r="O23" s="615">
        <f>+'Balance de energía'!N25</f>
        <v>0</v>
      </c>
      <c r="P23" s="615">
        <f>+'Balance de energía'!O25</f>
        <v>6.2072999999999998E-3</v>
      </c>
      <c r="Q23" s="615">
        <f>+'Balance de energía'!P25</f>
        <v>0</v>
      </c>
      <c r="R23" s="615">
        <f>+'Balance de energía'!Q25</f>
        <v>0</v>
      </c>
      <c r="S23" s="615">
        <f>+'Balance de energía'!R25</f>
        <v>0</v>
      </c>
      <c r="T23" s="615">
        <f>+'Balance de energía'!S25</f>
        <v>0</v>
      </c>
      <c r="U23" s="615">
        <f>+'Balance de energía'!T25</f>
        <v>0</v>
      </c>
      <c r="V23" s="616">
        <f>+'Balance de energía'!U25</f>
        <v>0</v>
      </c>
      <c r="W23" s="615">
        <f>+'Balance de energía'!V25</f>
        <v>0</v>
      </c>
      <c r="X23" s="618">
        <f>+'Balance de energía'!W25</f>
        <v>0</v>
      </c>
      <c r="Y23" s="615">
        <f>+'Balance de energía'!X25</f>
        <v>0</v>
      </c>
      <c r="Z23" s="615">
        <f>+'Balance de energía'!Y25</f>
        <v>0</v>
      </c>
      <c r="AA23" s="616">
        <f>+'Balance de energía'!Z25</f>
        <v>0</v>
      </c>
      <c r="AB23" s="615">
        <f>+'Balance de energía'!AA25</f>
        <v>0.25969270293200003</v>
      </c>
      <c r="AC23" s="617">
        <f>+'Balance de energía'!AB25</f>
        <v>0</v>
      </c>
      <c r="AD23" s="619">
        <f t="shared" si="6"/>
        <v>0.26590000293200006</v>
      </c>
      <c r="AE23" s="362"/>
    </row>
    <row r="24" spans="2:31">
      <c r="B24" s="850"/>
      <c r="C24" s="595" t="s">
        <v>452</v>
      </c>
      <c r="D24" s="618">
        <f>+'Balance de energía'!C26</f>
        <v>0</v>
      </c>
      <c r="E24" s="615">
        <f>+'Balance de energía'!D26</f>
        <v>2146.183672875808</v>
      </c>
      <c r="F24" s="615">
        <f>+'Balance de energía'!E26</f>
        <v>0</v>
      </c>
      <c r="G24" s="615">
        <f>+'Balance de energía'!F26</f>
        <v>0</v>
      </c>
      <c r="H24" s="615">
        <f>+'Balance de energía'!G26</f>
        <v>0</v>
      </c>
      <c r="I24" s="615">
        <f>+'Balance de energía'!H26</f>
        <v>0</v>
      </c>
      <c r="J24" s="615">
        <f>+'Balance de energía'!I26</f>
        <v>0</v>
      </c>
      <c r="K24" s="616">
        <f>+'Balance de energía'!J26</f>
        <v>0</v>
      </c>
      <c r="L24" s="618">
        <f>+'Balance de energía'!$K26</f>
        <v>0</v>
      </c>
      <c r="M24" s="615">
        <f>+'Balance de energía'!$L26</f>
        <v>0</v>
      </c>
      <c r="N24" s="615">
        <f>+'Balance de energía'!$M26</f>
        <v>0</v>
      </c>
      <c r="O24" s="615">
        <f>+'Balance de energía'!N26</f>
        <v>0</v>
      </c>
      <c r="P24" s="615">
        <f>+'Balance de energía'!O26</f>
        <v>147.56797</v>
      </c>
      <c r="Q24" s="615">
        <f>+'Balance de energía'!P26</f>
        <v>0</v>
      </c>
      <c r="R24" s="615">
        <f>+'Balance de energía'!Q26</f>
        <v>0.20589389999999999</v>
      </c>
      <c r="S24" s="615">
        <f>+'Balance de energía'!R26</f>
        <v>1344.0961925500001</v>
      </c>
      <c r="T24" s="615">
        <f>+'Balance de energía'!S26</f>
        <v>1.4761283207119327</v>
      </c>
      <c r="U24" s="615">
        <f>+'Balance de energía'!T26</f>
        <v>0</v>
      </c>
      <c r="V24" s="616">
        <f>+'Balance de energía'!U26</f>
        <v>671.564134308544</v>
      </c>
      <c r="W24" s="615">
        <f>+'Balance de energía'!V26</f>
        <v>537.69175738180002</v>
      </c>
      <c r="X24" s="618">
        <f>+'Balance de energía'!W26</f>
        <v>0</v>
      </c>
      <c r="Y24" s="615">
        <f>+'Balance de energía'!X26</f>
        <v>0</v>
      </c>
      <c r="Z24" s="615">
        <f>+'Balance de energía'!Y26</f>
        <v>0</v>
      </c>
      <c r="AA24" s="616">
        <f>+'Balance de energía'!Z26</f>
        <v>0</v>
      </c>
      <c r="AB24" s="615">
        <f>+'Balance de energía'!AA26</f>
        <v>0</v>
      </c>
      <c r="AC24" s="617">
        <f>+'Balance de energía'!AB26</f>
        <v>0</v>
      </c>
      <c r="AD24" s="619">
        <f t="shared" si="6"/>
        <v>4848.7857493368638</v>
      </c>
      <c r="AE24" s="362"/>
    </row>
    <row r="25" spans="2:31">
      <c r="B25" s="850"/>
      <c r="C25" s="595" t="s">
        <v>453</v>
      </c>
      <c r="D25" s="618">
        <f>+'Balance de energía'!C27</f>
        <v>0</v>
      </c>
      <c r="E25" s="615">
        <f>+'Balance de energía'!D27</f>
        <v>684.5718468</v>
      </c>
      <c r="F25" s="615">
        <f>+'Balance de energía'!E27</f>
        <v>0</v>
      </c>
      <c r="G25" s="615">
        <f>+'Balance de energía'!F27</f>
        <v>0</v>
      </c>
      <c r="H25" s="615">
        <f>+'Balance de energía'!G27</f>
        <v>0</v>
      </c>
      <c r="I25" s="615">
        <f>+'Balance de energía'!H27</f>
        <v>0</v>
      </c>
      <c r="J25" s="615">
        <f>+'Balance de energía'!I27</f>
        <v>0</v>
      </c>
      <c r="K25" s="616">
        <f>+'Balance de energía'!J27</f>
        <v>0</v>
      </c>
      <c r="L25" s="618">
        <f>+'Balance de energía'!$K27</f>
        <v>0</v>
      </c>
      <c r="M25" s="615">
        <f>+'Balance de energía'!$L27</f>
        <v>0</v>
      </c>
      <c r="N25" s="615">
        <f>+'Balance de energía'!$M27</f>
        <v>0</v>
      </c>
      <c r="O25" s="615">
        <f>+'Balance de energía'!N27</f>
        <v>0</v>
      </c>
      <c r="P25" s="615">
        <f>+'Balance de energía'!O27</f>
        <v>0</v>
      </c>
      <c r="Q25" s="615">
        <f>+'Balance de energía'!P27</f>
        <v>0</v>
      </c>
      <c r="R25" s="615">
        <f>+'Balance de energía'!Q27</f>
        <v>0</v>
      </c>
      <c r="S25" s="615">
        <f>+'Balance de energía'!R27</f>
        <v>0</v>
      </c>
      <c r="T25" s="615">
        <f>+'Balance de energía'!S27</f>
        <v>0</v>
      </c>
      <c r="U25" s="615">
        <f>+'Balance de energía'!T27</f>
        <v>0</v>
      </c>
      <c r="V25" s="616">
        <f>+'Balance de energía'!U27</f>
        <v>0</v>
      </c>
      <c r="W25" s="615">
        <f>+'Balance de energía'!V27</f>
        <v>12.930960000000001</v>
      </c>
      <c r="X25" s="618">
        <f>+'Balance de energía'!W27</f>
        <v>0</v>
      </c>
      <c r="Y25" s="615">
        <f>+'Balance de energía'!X27</f>
        <v>0</v>
      </c>
      <c r="Z25" s="615">
        <f>+'Balance de energía'!Y27</f>
        <v>0</v>
      </c>
      <c r="AA25" s="616">
        <f>+'Balance de energía'!Z27</f>
        <v>0</v>
      </c>
      <c r="AB25" s="615">
        <f>+'Balance de energía'!AA27</f>
        <v>0</v>
      </c>
      <c r="AC25" s="617">
        <f>+'Balance de energía'!AB27</f>
        <v>0</v>
      </c>
      <c r="AD25" s="619">
        <f t="shared" si="6"/>
        <v>697.50280680000003</v>
      </c>
      <c r="AE25" s="362"/>
    </row>
    <row r="26" spans="2:31">
      <c r="B26" s="850"/>
      <c r="C26" s="590" t="s">
        <v>284</v>
      </c>
      <c r="D26" s="620">
        <f>SUM(D27:D37)</f>
        <v>0</v>
      </c>
      <c r="E26" s="621">
        <f t="shared" ref="E26:AC26" si="7">SUM(E27:E37)</f>
        <v>7923.3903045652951</v>
      </c>
      <c r="F26" s="621">
        <f t="shared" si="7"/>
        <v>2671.6472341317099</v>
      </c>
      <c r="G26" s="621">
        <f t="shared" si="7"/>
        <v>19428.873731196778</v>
      </c>
      <c r="H26" s="621">
        <f t="shared" si="7"/>
        <v>0</v>
      </c>
      <c r="I26" s="621">
        <f t="shared" si="7"/>
        <v>0</v>
      </c>
      <c r="J26" s="621">
        <f t="shared" si="7"/>
        <v>0</v>
      </c>
      <c r="K26" s="622">
        <f t="shared" si="7"/>
        <v>0</v>
      </c>
      <c r="L26" s="620">
        <f t="shared" si="7"/>
        <v>31374.110353450291</v>
      </c>
      <c r="M26" s="621">
        <f t="shared" si="7"/>
        <v>5670.0088918405727</v>
      </c>
      <c r="N26" s="621">
        <f t="shared" si="7"/>
        <v>0</v>
      </c>
      <c r="O26" s="621">
        <f t="shared" si="7"/>
        <v>158.45451064412978</v>
      </c>
      <c r="P26" s="621">
        <f t="shared" si="7"/>
        <v>3166.2744507126408</v>
      </c>
      <c r="Q26" s="621">
        <f t="shared" si="7"/>
        <v>7.9400999999999993</v>
      </c>
      <c r="R26" s="621">
        <f t="shared" si="7"/>
        <v>703.84270227995785</v>
      </c>
      <c r="S26" s="621">
        <f t="shared" si="7"/>
        <v>0</v>
      </c>
      <c r="T26" s="621">
        <f t="shared" si="7"/>
        <v>0</v>
      </c>
      <c r="U26" s="621">
        <f t="shared" si="7"/>
        <v>2126.463976</v>
      </c>
      <c r="V26" s="622">
        <f t="shared" si="7"/>
        <v>0</v>
      </c>
      <c r="W26" s="621">
        <f t="shared" si="7"/>
        <v>35983.882592985203</v>
      </c>
      <c r="X26" s="620">
        <f t="shared" si="7"/>
        <v>90.029335500000002</v>
      </c>
      <c r="Y26" s="621">
        <f t="shared" si="7"/>
        <v>581.15</v>
      </c>
      <c r="Z26" s="621">
        <f t="shared" si="7"/>
        <v>0</v>
      </c>
      <c r="AA26" s="622">
        <f t="shared" si="7"/>
        <v>151</v>
      </c>
      <c r="AB26" s="621">
        <f t="shared" si="7"/>
        <v>1.145864292</v>
      </c>
      <c r="AC26" s="623">
        <f t="shared" si="7"/>
        <v>0</v>
      </c>
      <c r="AD26" s="623">
        <f t="shared" si="6"/>
        <v>110038.21404759859</v>
      </c>
      <c r="AE26" s="362"/>
    </row>
    <row r="27" spans="2:31">
      <c r="B27" s="850"/>
      <c r="C27" s="595" t="s">
        <v>48</v>
      </c>
      <c r="D27" s="618">
        <f>+'Balance de energía'!C29</f>
        <v>0</v>
      </c>
      <c r="E27" s="615">
        <f>+'Balance de energía'!D29</f>
        <v>947.17720216892417</v>
      </c>
      <c r="F27" s="615">
        <f>+'Balance de energía'!E29</f>
        <v>0.11522</v>
      </c>
      <c r="G27" s="615">
        <f>+'Balance de energía'!F29</f>
        <v>0</v>
      </c>
      <c r="H27" s="615">
        <f>+'Balance de energía'!G29</f>
        <v>0</v>
      </c>
      <c r="I27" s="615">
        <f>+'Balance de energía'!H29</f>
        <v>0</v>
      </c>
      <c r="J27" s="615">
        <f>+'Balance de energía'!I29</f>
        <v>0</v>
      </c>
      <c r="K27" s="616">
        <f>+'Balance de energía'!J29</f>
        <v>0</v>
      </c>
      <c r="L27" s="618">
        <f>+'Balance de energía'!$K29</f>
        <v>16360.796147313893</v>
      </c>
      <c r="M27" s="615">
        <f>+'Balance de energía'!$L29</f>
        <v>1094.986977</v>
      </c>
      <c r="N27" s="615">
        <f>+'Balance de energía'!$M29</f>
        <v>0</v>
      </c>
      <c r="O27" s="615">
        <f>+'Balance de energía'!N29</f>
        <v>71.108794026000012</v>
      </c>
      <c r="P27" s="615">
        <f>+'Balance de energía'!O29</f>
        <v>33.964693466</v>
      </c>
      <c r="Q27" s="615">
        <f>+'Balance de energía'!P29</f>
        <v>0</v>
      </c>
      <c r="R27" s="615">
        <f>+'Balance de energía'!Q29</f>
        <v>0</v>
      </c>
      <c r="S27" s="615">
        <f>+'Balance de energía'!R29</f>
        <v>0</v>
      </c>
      <c r="T27" s="615">
        <f>+'Balance de energía'!S29</f>
        <v>0</v>
      </c>
      <c r="U27" s="615">
        <f>+'Balance de energía'!T29</f>
        <v>8.9579699999999995</v>
      </c>
      <c r="V27" s="616">
        <f>+'Balance de energía'!U29</f>
        <v>0</v>
      </c>
      <c r="W27" s="615">
        <f>+'Balance de energía'!V29</f>
        <v>19323.835112407916</v>
      </c>
      <c r="X27" s="618">
        <f>+'Balance de energía'!W29</f>
        <v>37.385999999999996</v>
      </c>
      <c r="Y27" s="615">
        <f>+'Balance de energía'!X29</f>
        <v>0</v>
      </c>
      <c r="Z27" s="615">
        <f>+'Balance de energía'!Y29</f>
        <v>0</v>
      </c>
      <c r="AA27" s="616">
        <f>+'Balance de energía'!Z29</f>
        <v>0</v>
      </c>
      <c r="AB27" s="615">
        <f>+'Balance de energía'!AA29</f>
        <v>0</v>
      </c>
      <c r="AC27" s="617">
        <f>+'Balance de energía'!AB29</f>
        <v>0</v>
      </c>
      <c r="AD27" s="619">
        <f t="shared" si="6"/>
        <v>37878.328116382734</v>
      </c>
      <c r="AE27" s="366"/>
    </row>
    <row r="28" spans="2:31">
      <c r="B28" s="850"/>
      <c r="C28" s="595" t="s">
        <v>49</v>
      </c>
      <c r="D28" s="618">
        <f>+'Balance de energía'!C30</f>
        <v>0</v>
      </c>
      <c r="E28" s="615">
        <f>+'Balance de energía'!D30</f>
        <v>163.28589227799998</v>
      </c>
      <c r="F28" s="615">
        <f>+'Balance de energía'!E30</f>
        <v>0</v>
      </c>
      <c r="G28" s="615">
        <f>+'Balance de energía'!F30</f>
        <v>0</v>
      </c>
      <c r="H28" s="615">
        <f>+'Balance de energía'!G30</f>
        <v>0</v>
      </c>
      <c r="I28" s="615">
        <f>+'Balance de energía'!H30</f>
        <v>0</v>
      </c>
      <c r="J28" s="615">
        <f>+'Balance de energía'!I30</f>
        <v>0</v>
      </c>
      <c r="K28" s="616">
        <f>+'Balance de energía'!J30</f>
        <v>0</v>
      </c>
      <c r="L28" s="618">
        <f>+'Balance de energía'!$K30</f>
        <v>762.18576302400004</v>
      </c>
      <c r="M28" s="615">
        <f>+'Balance de energía'!$L30</f>
        <v>374.6748705</v>
      </c>
      <c r="N28" s="615">
        <f>+'Balance de energía'!$M30</f>
        <v>0</v>
      </c>
      <c r="O28" s="615">
        <f>+'Balance de energía'!N30</f>
        <v>0</v>
      </c>
      <c r="P28" s="615">
        <f>+'Balance de energía'!O30</f>
        <v>0</v>
      </c>
      <c r="Q28" s="615">
        <f>+'Balance de energía'!P30</f>
        <v>0</v>
      </c>
      <c r="R28" s="615">
        <f>+'Balance de energía'!Q30</f>
        <v>0</v>
      </c>
      <c r="S28" s="615">
        <f>+'Balance de energía'!R30</f>
        <v>0</v>
      </c>
      <c r="T28" s="615">
        <f>+'Balance de energía'!S30</f>
        <v>0</v>
      </c>
      <c r="U28" s="615">
        <f>+'Balance de energía'!T30</f>
        <v>0</v>
      </c>
      <c r="V28" s="616">
        <f>+'Balance de energía'!U30</f>
        <v>0</v>
      </c>
      <c r="W28" s="615">
        <f>+'Balance de energía'!V30</f>
        <v>319.79984166000003</v>
      </c>
      <c r="X28" s="618">
        <f>+'Balance de energía'!W30</f>
        <v>0</v>
      </c>
      <c r="Y28" s="615">
        <f>+'Balance de energía'!X30</f>
        <v>0</v>
      </c>
      <c r="Z28" s="615">
        <f>+'Balance de energía'!Y30</f>
        <v>0</v>
      </c>
      <c r="AA28" s="616">
        <f>+'Balance de energía'!Z30</f>
        <v>0</v>
      </c>
      <c r="AB28" s="615">
        <f>+'Balance de energía'!AA30</f>
        <v>0</v>
      </c>
      <c r="AC28" s="617">
        <f>+'Balance de energía'!AB30</f>
        <v>0</v>
      </c>
      <c r="AD28" s="619">
        <f t="shared" si="6"/>
        <v>1619.9463674620001</v>
      </c>
      <c r="AE28" s="366"/>
    </row>
    <row r="29" spans="2:31">
      <c r="B29" s="850"/>
      <c r="C29" s="595" t="s">
        <v>50</v>
      </c>
      <c r="D29" s="618">
        <f>+'Balance de energía'!C31</f>
        <v>0</v>
      </c>
      <c r="E29" s="615">
        <f>+'Balance de energía'!D31</f>
        <v>0</v>
      </c>
      <c r="F29" s="615">
        <f>+'Balance de energía'!E31</f>
        <v>510.12173239999998</v>
      </c>
      <c r="G29" s="615">
        <f>+'Balance de energía'!F31</f>
        <v>0</v>
      </c>
      <c r="H29" s="615">
        <f>+'Balance de energía'!G31</f>
        <v>0</v>
      </c>
      <c r="I29" s="615">
        <f>+'Balance de energía'!H31</f>
        <v>0</v>
      </c>
      <c r="J29" s="615">
        <f>+'Balance de energía'!I31</f>
        <v>0</v>
      </c>
      <c r="K29" s="616">
        <f>+'Balance de energía'!J31</f>
        <v>0</v>
      </c>
      <c r="L29" s="618">
        <f>+'Balance de energía'!$K31</f>
        <v>729.19916714399994</v>
      </c>
      <c r="M29" s="615">
        <f>+'Balance de energía'!$L31</f>
        <v>44.574599999999997</v>
      </c>
      <c r="N29" s="615">
        <f>+'Balance de energía'!$M31</f>
        <v>0</v>
      </c>
      <c r="O29" s="615">
        <f>+'Balance de energía'!N31</f>
        <v>0</v>
      </c>
      <c r="P29" s="615">
        <f>+'Balance de energía'!O31</f>
        <v>0</v>
      </c>
      <c r="Q29" s="615">
        <f>+'Balance de energía'!P31</f>
        <v>0</v>
      </c>
      <c r="R29" s="615">
        <f>+'Balance de energía'!Q31</f>
        <v>0</v>
      </c>
      <c r="S29" s="615">
        <f>+'Balance de energía'!R31</f>
        <v>0</v>
      </c>
      <c r="T29" s="615">
        <f>+'Balance de energía'!S31</f>
        <v>0</v>
      </c>
      <c r="U29" s="615">
        <f>+'Balance de energía'!T31</f>
        <v>0</v>
      </c>
      <c r="V29" s="616">
        <f>+'Balance de energía'!U31</f>
        <v>0</v>
      </c>
      <c r="W29" s="615">
        <f>+'Balance de energía'!V31</f>
        <v>645.75078000000008</v>
      </c>
      <c r="X29" s="618">
        <f>+'Balance de energía'!W31</f>
        <v>0</v>
      </c>
      <c r="Y29" s="615">
        <f>+'Balance de energía'!X31</f>
        <v>0</v>
      </c>
      <c r="Z29" s="615">
        <f>+'Balance de energía'!Y31</f>
        <v>0</v>
      </c>
      <c r="AA29" s="616">
        <f>+'Balance de energía'!Z31</f>
        <v>0</v>
      </c>
      <c r="AB29" s="615">
        <f>+'Balance de energía'!AA31</f>
        <v>0</v>
      </c>
      <c r="AC29" s="617">
        <f>+'Balance de energía'!AB31</f>
        <v>0</v>
      </c>
      <c r="AD29" s="619">
        <f t="shared" si="6"/>
        <v>1929.646279544</v>
      </c>
      <c r="AE29" s="366"/>
    </row>
    <row r="30" spans="2:31">
      <c r="B30" s="850"/>
      <c r="C30" s="595" t="s">
        <v>51</v>
      </c>
      <c r="D30" s="618">
        <f>+'Balance de energía'!C32</f>
        <v>0</v>
      </c>
      <c r="E30" s="615">
        <f>+'Balance de energía'!D32</f>
        <v>1018.121098660844</v>
      </c>
      <c r="F30" s="615">
        <f>+'Balance de energía'!E32</f>
        <v>0</v>
      </c>
      <c r="G30" s="615">
        <f>+'Balance de energía'!F32</f>
        <v>14733.231729713581</v>
      </c>
      <c r="H30" s="615">
        <f>+'Balance de energía'!G32</f>
        <v>0</v>
      </c>
      <c r="I30" s="615">
        <f>+'Balance de energía'!H32</f>
        <v>0</v>
      </c>
      <c r="J30" s="615">
        <f>+'Balance de energía'!I32</f>
        <v>0</v>
      </c>
      <c r="K30" s="616">
        <f>+'Balance de energía'!J32</f>
        <v>0</v>
      </c>
      <c r="L30" s="618">
        <f>+'Balance de energía'!$K32</f>
        <v>17.991273933687495</v>
      </c>
      <c r="M30" s="615">
        <f>+'Balance de energía'!$L32</f>
        <v>1920.6277359000176</v>
      </c>
      <c r="N30" s="615">
        <f>+'Balance de energía'!$M32</f>
        <v>0</v>
      </c>
      <c r="O30" s="615">
        <f>+'Balance de energía'!N32</f>
        <v>4.2257700000000009E-2</v>
      </c>
      <c r="P30" s="615">
        <f>+'Balance de energía'!O32</f>
        <v>63.157701412234033</v>
      </c>
      <c r="Q30" s="615">
        <f>+'Balance de energía'!P32</f>
        <v>0</v>
      </c>
      <c r="R30" s="615">
        <f>+'Balance de energía'!Q32</f>
        <v>0</v>
      </c>
      <c r="S30" s="615">
        <f>+'Balance de energía'!R32</f>
        <v>0</v>
      </c>
      <c r="T30" s="615">
        <f>+'Balance de energía'!S32</f>
        <v>0</v>
      </c>
      <c r="U30" s="615">
        <f>+'Balance de energía'!T32</f>
        <v>0</v>
      </c>
      <c r="V30" s="616">
        <f>+'Balance de energía'!U32</f>
        <v>0</v>
      </c>
      <c r="W30" s="615">
        <f>+'Balance de energía'!V32</f>
        <v>4123.9938990737201</v>
      </c>
      <c r="X30" s="618">
        <f>+'Balance de energía'!W32</f>
        <v>0</v>
      </c>
      <c r="Y30" s="615">
        <f>+'Balance de energía'!X32</f>
        <v>0</v>
      </c>
      <c r="Z30" s="615">
        <f>+'Balance de energía'!Y32</f>
        <v>0</v>
      </c>
      <c r="AA30" s="616">
        <f>+'Balance de energía'!Z32</f>
        <v>0</v>
      </c>
      <c r="AB30" s="615">
        <f>+'Balance de energía'!AA32</f>
        <v>0</v>
      </c>
      <c r="AC30" s="617">
        <f>+'Balance de energía'!AB32</f>
        <v>0</v>
      </c>
      <c r="AD30" s="619">
        <f t="shared" si="6"/>
        <v>21877.165696394084</v>
      </c>
      <c r="AE30" s="366"/>
    </row>
    <row r="31" spans="2:31">
      <c r="B31" s="850"/>
      <c r="C31" s="595" t="s">
        <v>52</v>
      </c>
      <c r="D31" s="618">
        <f>+'Balance de energía'!C33</f>
        <v>0</v>
      </c>
      <c r="E31" s="615">
        <f>+'Balance de energía'!D33</f>
        <v>345.61700000000002</v>
      </c>
      <c r="F31" s="615">
        <f>+'Balance de energía'!E33</f>
        <v>0</v>
      </c>
      <c r="G31" s="615">
        <f>+'Balance de energía'!F33</f>
        <v>0</v>
      </c>
      <c r="H31" s="615">
        <f>+'Balance de energía'!G33</f>
        <v>0</v>
      </c>
      <c r="I31" s="615">
        <f>+'Balance de energía'!H33</f>
        <v>0</v>
      </c>
      <c r="J31" s="615">
        <f>+'Balance de energía'!I33</f>
        <v>0</v>
      </c>
      <c r="K31" s="616">
        <f>+'Balance de energía'!J33</f>
        <v>0</v>
      </c>
      <c r="L31" s="618">
        <f>+'Balance de energía'!$K33</f>
        <v>0.73248000000000002</v>
      </c>
      <c r="M31" s="615">
        <f>+'Balance de energía'!$L33</f>
        <v>0</v>
      </c>
      <c r="N31" s="615">
        <f>+'Balance de energía'!$M33</f>
        <v>0</v>
      </c>
      <c r="O31" s="615">
        <f>+'Balance de energía'!N33</f>
        <v>0</v>
      </c>
      <c r="P31" s="615">
        <f>+'Balance de energía'!O33</f>
        <v>28.462830000000004</v>
      </c>
      <c r="Q31" s="615">
        <f>+'Balance de energía'!P33</f>
        <v>0</v>
      </c>
      <c r="R31" s="615">
        <f>+'Balance de energía'!Q33</f>
        <v>0</v>
      </c>
      <c r="S31" s="615">
        <f>+'Balance de energía'!R33</f>
        <v>0</v>
      </c>
      <c r="T31" s="615">
        <f>+'Balance de energía'!S33</f>
        <v>0</v>
      </c>
      <c r="U31" s="615">
        <f>+'Balance de energía'!T33</f>
        <v>0</v>
      </c>
      <c r="V31" s="616">
        <f>+'Balance de energía'!U33</f>
        <v>0</v>
      </c>
      <c r="W31" s="615">
        <f>+'Balance de energía'!V33</f>
        <v>321.91761573999997</v>
      </c>
      <c r="X31" s="618">
        <f>+'Balance de energía'!W33</f>
        <v>0</v>
      </c>
      <c r="Y31" s="615">
        <f>+'Balance de energía'!X33</f>
        <v>581.15</v>
      </c>
      <c r="Z31" s="615">
        <f>+'Balance de energía'!Y33</f>
        <v>0</v>
      </c>
      <c r="AA31" s="616">
        <f>+'Balance de energía'!Z33</f>
        <v>151</v>
      </c>
      <c r="AB31" s="615">
        <f>+'Balance de energía'!AA33</f>
        <v>0</v>
      </c>
      <c r="AC31" s="617">
        <f>+'Balance de energía'!AB33</f>
        <v>0</v>
      </c>
      <c r="AD31" s="619">
        <f t="shared" si="6"/>
        <v>1428.8799257400001</v>
      </c>
      <c r="AE31" s="366"/>
    </row>
    <row r="32" spans="2:31">
      <c r="B32" s="850"/>
      <c r="C32" s="595" t="s">
        <v>53</v>
      </c>
      <c r="D32" s="618">
        <f>+'Balance de energía'!C34</f>
        <v>0</v>
      </c>
      <c r="E32" s="615">
        <f>+'Balance de energía'!D34</f>
        <v>0</v>
      </c>
      <c r="F32" s="615">
        <f>+'Balance de energía'!E34</f>
        <v>0</v>
      </c>
      <c r="G32" s="615">
        <f>+'Balance de energía'!F34</f>
        <v>0</v>
      </c>
      <c r="H32" s="615">
        <f>+'Balance de energía'!G34</f>
        <v>0</v>
      </c>
      <c r="I32" s="615">
        <f>+'Balance de energía'!H34</f>
        <v>0</v>
      </c>
      <c r="J32" s="615">
        <f>+'Balance de energía'!I34</f>
        <v>0</v>
      </c>
      <c r="K32" s="616">
        <f>+'Balance de energía'!J34</f>
        <v>0</v>
      </c>
      <c r="L32" s="618">
        <f>+'Balance de energía'!$K34</f>
        <v>0</v>
      </c>
      <c r="M32" s="615">
        <f>+'Balance de energía'!$L34</f>
        <v>0</v>
      </c>
      <c r="N32" s="615">
        <f>+'Balance de energía'!$M34</f>
        <v>0</v>
      </c>
      <c r="O32" s="615">
        <f>+'Balance de energía'!N34</f>
        <v>0</v>
      </c>
      <c r="P32" s="615">
        <f>+'Balance de energía'!O34</f>
        <v>39.171249128422701</v>
      </c>
      <c r="Q32" s="615">
        <f>+'Balance de energía'!P34</f>
        <v>0</v>
      </c>
      <c r="R32" s="615">
        <f>+'Balance de energía'!Q34</f>
        <v>0</v>
      </c>
      <c r="S32" s="615">
        <f>+'Balance de energía'!R34</f>
        <v>0</v>
      </c>
      <c r="T32" s="615">
        <f>+'Balance de energía'!S34</f>
        <v>0</v>
      </c>
      <c r="U32" s="615">
        <f>+'Balance de energía'!T34</f>
        <v>0</v>
      </c>
      <c r="V32" s="616">
        <f>+'Balance de energía'!U34</f>
        <v>0</v>
      </c>
      <c r="W32" s="615">
        <f>+'Balance de energía'!V34</f>
        <v>31.82516</v>
      </c>
      <c r="X32" s="618">
        <f>+'Balance de energía'!W34</f>
        <v>0</v>
      </c>
      <c r="Y32" s="615">
        <f>+'Balance de energía'!X34</f>
        <v>0</v>
      </c>
      <c r="Z32" s="615">
        <f>+'Balance de energía'!Y34</f>
        <v>0</v>
      </c>
      <c r="AA32" s="616">
        <f>+'Balance de energía'!Z34</f>
        <v>0</v>
      </c>
      <c r="AB32" s="615">
        <f>+'Balance de energía'!AA34</f>
        <v>0</v>
      </c>
      <c r="AC32" s="617">
        <f>+'Balance de energía'!AB34</f>
        <v>0</v>
      </c>
      <c r="AD32" s="619">
        <f t="shared" si="6"/>
        <v>70.996409128422698</v>
      </c>
      <c r="AE32" s="366"/>
    </row>
    <row r="33" spans="2:31">
      <c r="B33" s="850"/>
      <c r="C33" s="595" t="s">
        <v>54</v>
      </c>
      <c r="D33" s="618">
        <f>+'Balance de energía'!C35</f>
        <v>0</v>
      </c>
      <c r="E33" s="615">
        <f>+'Balance de energía'!D35</f>
        <v>104.858198479002</v>
      </c>
      <c r="F33" s="615">
        <f>+'Balance de energía'!E35</f>
        <v>6.9355000000000002</v>
      </c>
      <c r="G33" s="615">
        <f>+'Balance de energía'!F35</f>
        <v>135.58374480519481</v>
      </c>
      <c r="H33" s="615">
        <f>+'Balance de energía'!G35</f>
        <v>0</v>
      </c>
      <c r="I33" s="615">
        <f>+'Balance de energía'!H35</f>
        <v>0</v>
      </c>
      <c r="J33" s="615">
        <f>+'Balance de energía'!I35</f>
        <v>0</v>
      </c>
      <c r="K33" s="616">
        <f>+'Balance de energía'!J35</f>
        <v>0</v>
      </c>
      <c r="L33" s="618">
        <f>+'Balance de energía'!$K35</f>
        <v>60.354986012000005</v>
      </c>
      <c r="M33" s="615">
        <f>+'Balance de energía'!$L35</f>
        <v>0</v>
      </c>
      <c r="N33" s="615">
        <f>+'Balance de energía'!$M35</f>
        <v>0</v>
      </c>
      <c r="O33" s="615">
        <f>+'Balance de energía'!N35</f>
        <v>6.2253684000000011E-2</v>
      </c>
      <c r="P33" s="615">
        <f>+'Balance de energía'!O35</f>
        <v>12.312693800000002</v>
      </c>
      <c r="Q33" s="615">
        <f>+'Balance de energía'!P35</f>
        <v>0</v>
      </c>
      <c r="R33" s="615">
        <f>+'Balance de energía'!Q35</f>
        <v>0</v>
      </c>
      <c r="S33" s="615">
        <f>+'Balance de energía'!R35</f>
        <v>0</v>
      </c>
      <c r="T33" s="615">
        <f>+'Balance de energía'!S35</f>
        <v>0</v>
      </c>
      <c r="U33" s="615">
        <f>+'Balance de energía'!T35</f>
        <v>2018.7614369999999</v>
      </c>
      <c r="V33" s="616">
        <f>+'Balance de energía'!U35</f>
        <v>0</v>
      </c>
      <c r="W33" s="615">
        <f>+'Balance de energía'!V35</f>
        <v>404.99199528349783</v>
      </c>
      <c r="X33" s="618">
        <f>+'Balance de energía'!W35</f>
        <v>0</v>
      </c>
      <c r="Y33" s="615">
        <f>+'Balance de energía'!X35</f>
        <v>0</v>
      </c>
      <c r="Z33" s="615">
        <f>+'Balance de energía'!Y35</f>
        <v>0</v>
      </c>
      <c r="AA33" s="616">
        <f>+'Balance de energía'!Z35</f>
        <v>0</v>
      </c>
      <c r="AB33" s="615">
        <f>+'Balance de energía'!AA35</f>
        <v>0</v>
      </c>
      <c r="AC33" s="617">
        <f>+'Balance de energía'!AB35</f>
        <v>0</v>
      </c>
      <c r="AD33" s="619">
        <f t="shared" si="6"/>
        <v>2743.8608090636944</v>
      </c>
      <c r="AE33" s="366"/>
    </row>
    <row r="34" spans="2:31">
      <c r="B34" s="850"/>
      <c r="C34" s="595" t="s">
        <v>55</v>
      </c>
      <c r="D34" s="618">
        <f>+'Balance de energía'!C36</f>
        <v>0</v>
      </c>
      <c r="E34" s="615">
        <f>+'Balance de energía'!D36</f>
        <v>8.5211316961649999</v>
      </c>
      <c r="F34" s="615">
        <f>+'Balance de energía'!E36</f>
        <v>713.51429099999996</v>
      </c>
      <c r="G34" s="615">
        <f>+'Balance de energía'!F36</f>
        <v>0</v>
      </c>
      <c r="H34" s="615">
        <f>+'Balance de energía'!G36</f>
        <v>0</v>
      </c>
      <c r="I34" s="615">
        <f>+'Balance de energía'!H36</f>
        <v>0</v>
      </c>
      <c r="J34" s="615">
        <f>+'Balance de energía'!I36</f>
        <v>0</v>
      </c>
      <c r="K34" s="616">
        <f>+'Balance de energía'!J36</f>
        <v>0</v>
      </c>
      <c r="L34" s="618">
        <f>+'Balance de energía'!$K36</f>
        <v>4.2049378643999997</v>
      </c>
      <c r="M34" s="615">
        <f>+'Balance de energía'!$L36</f>
        <v>6.0140954999999998</v>
      </c>
      <c r="N34" s="615">
        <f>+'Balance de energía'!$M36</f>
        <v>0</v>
      </c>
      <c r="O34" s="615">
        <f>+'Balance de energía'!N36</f>
        <v>0</v>
      </c>
      <c r="P34" s="615">
        <f>+'Balance de energía'!O36</f>
        <v>3.3593707950000002</v>
      </c>
      <c r="Q34" s="615">
        <f>+'Balance de energía'!P36</f>
        <v>0</v>
      </c>
      <c r="R34" s="615">
        <f>+'Balance de energía'!Q36</f>
        <v>0</v>
      </c>
      <c r="S34" s="615">
        <f>+'Balance de energía'!R36</f>
        <v>0</v>
      </c>
      <c r="T34" s="615">
        <f>+'Balance de energía'!S36</f>
        <v>0</v>
      </c>
      <c r="U34" s="615">
        <f>+'Balance de energía'!T36</f>
        <v>0</v>
      </c>
      <c r="V34" s="616">
        <f>+'Balance de energía'!U36</f>
        <v>0</v>
      </c>
      <c r="W34" s="615">
        <f>+'Balance de energía'!V36</f>
        <v>15.948823840000001</v>
      </c>
      <c r="X34" s="618">
        <f>+'Balance de energía'!W36</f>
        <v>41.599750499999999</v>
      </c>
      <c r="Y34" s="615">
        <f>+'Balance de energía'!X36</f>
        <v>0</v>
      </c>
      <c r="Z34" s="615">
        <f>+'Balance de energía'!Y36</f>
        <v>0</v>
      </c>
      <c r="AA34" s="616">
        <f>+'Balance de energía'!Z36</f>
        <v>0</v>
      </c>
      <c r="AB34" s="615">
        <f>+'Balance de energía'!AA36</f>
        <v>2.08116E-4</v>
      </c>
      <c r="AC34" s="617">
        <f>+'Balance de energía'!AB36</f>
        <v>0</v>
      </c>
      <c r="AD34" s="619">
        <f t="shared" si="6"/>
        <v>793.16260931156501</v>
      </c>
      <c r="AE34" s="366"/>
    </row>
    <row r="35" spans="2:31">
      <c r="B35" s="850"/>
      <c r="C35" s="595" t="s">
        <v>56</v>
      </c>
      <c r="D35" s="618">
        <f>+'Balance de energía'!C37</f>
        <v>0</v>
      </c>
      <c r="E35" s="615">
        <f>+'Balance de energía'!D37</f>
        <v>43.563235262830005</v>
      </c>
      <c r="F35" s="615">
        <f>+'Balance de energía'!E37</f>
        <v>2.1235490000000001</v>
      </c>
      <c r="G35" s="615">
        <f>+'Balance de energía'!F37</f>
        <v>0</v>
      </c>
      <c r="H35" s="615">
        <f>+'Balance de energía'!G37</f>
        <v>0</v>
      </c>
      <c r="I35" s="615">
        <f>+'Balance de energía'!H37</f>
        <v>0</v>
      </c>
      <c r="J35" s="615">
        <f>+'Balance de energía'!I37</f>
        <v>0</v>
      </c>
      <c r="K35" s="616">
        <f>+'Balance de energía'!J37</f>
        <v>0</v>
      </c>
      <c r="L35" s="618">
        <f>+'Balance de energía'!$K37</f>
        <v>1443.0204370755594</v>
      </c>
      <c r="M35" s="615">
        <f>+'Balance de energía'!$L37</f>
        <v>577.62600000000009</v>
      </c>
      <c r="N35" s="615">
        <f>+'Balance de energía'!$M37</f>
        <v>0</v>
      </c>
      <c r="O35" s="615">
        <f>+'Balance de energía'!N37</f>
        <v>0</v>
      </c>
      <c r="P35" s="615">
        <f>+'Balance de energía'!O37</f>
        <v>99.879398817000023</v>
      </c>
      <c r="Q35" s="615">
        <f>+'Balance de energía'!P37</f>
        <v>0</v>
      </c>
      <c r="R35" s="615">
        <f>+'Balance de energía'!Q37</f>
        <v>0.25174800000000003</v>
      </c>
      <c r="S35" s="615">
        <f>+'Balance de energía'!R37</f>
        <v>0</v>
      </c>
      <c r="T35" s="615">
        <f>+'Balance de energía'!S37</f>
        <v>0</v>
      </c>
      <c r="U35" s="615">
        <f>+'Balance de energía'!T37</f>
        <v>0</v>
      </c>
      <c r="V35" s="616">
        <f>+'Balance de energía'!U37</f>
        <v>0</v>
      </c>
      <c r="W35" s="615">
        <f>+'Balance de energía'!V37</f>
        <v>89.672853599999996</v>
      </c>
      <c r="X35" s="618">
        <f>+'Balance de energía'!W37</f>
        <v>0</v>
      </c>
      <c r="Y35" s="615">
        <f>+'Balance de energía'!X37</f>
        <v>0</v>
      </c>
      <c r="Z35" s="615">
        <f>+'Balance de energía'!Y37</f>
        <v>0</v>
      </c>
      <c r="AA35" s="616">
        <f>+'Balance de energía'!Z37</f>
        <v>0</v>
      </c>
      <c r="AB35" s="615">
        <f>+'Balance de energía'!AA37</f>
        <v>3.0036000000000006E-4</v>
      </c>
      <c r="AC35" s="617">
        <f>+'Balance de energía'!AB37</f>
        <v>0</v>
      </c>
      <c r="AD35" s="619">
        <f t="shared" si="6"/>
        <v>2256.1375221153899</v>
      </c>
      <c r="AE35" s="366"/>
    </row>
    <row r="36" spans="2:31">
      <c r="B36" s="850"/>
      <c r="C36" s="595" t="s">
        <v>57</v>
      </c>
      <c r="D36" s="618">
        <f>+'Balance de energía'!C38</f>
        <v>0</v>
      </c>
      <c r="E36" s="615">
        <f>+'Balance de energía'!D38</f>
        <v>4470.6375332459193</v>
      </c>
      <c r="F36" s="615">
        <f>+'Balance de energía'!E38</f>
        <v>1438.8369417317099</v>
      </c>
      <c r="G36" s="615">
        <f>+'Balance de energía'!F38</f>
        <v>4550.8636846780009</v>
      </c>
      <c r="H36" s="615">
        <f>+'Balance de energía'!G38</f>
        <v>0</v>
      </c>
      <c r="I36" s="615">
        <f>+'Balance de energía'!H38</f>
        <v>0</v>
      </c>
      <c r="J36" s="615">
        <f>+'Balance de energía'!I38</f>
        <v>0</v>
      </c>
      <c r="K36" s="616">
        <f>+'Balance de energía'!J38</f>
        <v>0</v>
      </c>
      <c r="L36" s="618">
        <f>+'Balance de energía'!$K38</f>
        <v>7689.9333262701521</v>
      </c>
      <c r="M36" s="615">
        <f>+'Balance de energía'!$L38</f>
        <v>1488.9330604405552</v>
      </c>
      <c r="N36" s="615">
        <f>+'Balance de energía'!$M38</f>
        <v>0</v>
      </c>
      <c r="O36" s="615">
        <f>+'Balance de energía'!N38</f>
        <v>74.869589234129805</v>
      </c>
      <c r="P36" s="615">
        <f>+'Balance de energía'!O38</f>
        <v>2875.2699620439839</v>
      </c>
      <c r="Q36" s="615">
        <f>+'Balance de energía'!P38</f>
        <v>7.9400999999999993</v>
      </c>
      <c r="R36" s="615">
        <f>+'Balance de energía'!Q38</f>
        <v>603.11652927995783</v>
      </c>
      <c r="S36" s="615">
        <f>+'Balance de energía'!R38</f>
        <v>0</v>
      </c>
      <c r="T36" s="615">
        <f>+'Balance de energía'!S38</f>
        <v>0</v>
      </c>
      <c r="U36" s="615">
        <f>+'Balance de energía'!T38</f>
        <v>98.744568999999998</v>
      </c>
      <c r="V36" s="616">
        <f>+'Balance de energía'!U38</f>
        <v>0</v>
      </c>
      <c r="W36" s="615">
        <f>+'Balance de energía'!V38</f>
        <v>9922.8583685170724</v>
      </c>
      <c r="X36" s="618">
        <f>+'Balance de energía'!W38</f>
        <v>11.043585</v>
      </c>
      <c r="Y36" s="615">
        <f>+'Balance de energía'!X38</f>
        <v>0</v>
      </c>
      <c r="Z36" s="615">
        <f>+'Balance de energía'!Y38</f>
        <v>0</v>
      </c>
      <c r="AA36" s="616">
        <f>+'Balance de energía'!Z38</f>
        <v>0</v>
      </c>
      <c r="AB36" s="615">
        <f>+'Balance de energía'!AA38</f>
        <v>1.1453558159999999</v>
      </c>
      <c r="AC36" s="617">
        <f>+'Balance de energía'!AB38</f>
        <v>0</v>
      </c>
      <c r="AD36" s="619">
        <f t="shared" si="6"/>
        <v>33234.192605257478</v>
      </c>
      <c r="AE36" s="366"/>
    </row>
    <row r="37" spans="2:31">
      <c r="B37" s="850"/>
      <c r="C37" s="595" t="s">
        <v>58</v>
      </c>
      <c r="D37" s="618">
        <f>+'Balance de energía'!C39</f>
        <v>0</v>
      </c>
      <c r="E37" s="615">
        <f>+'Balance de energía'!D39</f>
        <v>821.60901277361074</v>
      </c>
      <c r="F37" s="615">
        <f>+'Balance de energía'!E39</f>
        <v>0</v>
      </c>
      <c r="G37" s="615">
        <f>+'Balance de energía'!F39</f>
        <v>9.1945720000000009</v>
      </c>
      <c r="H37" s="615">
        <f>+'Balance de energía'!G39</f>
        <v>0</v>
      </c>
      <c r="I37" s="615">
        <f>+'Balance de energía'!H39</f>
        <v>0</v>
      </c>
      <c r="J37" s="615">
        <f>+'Balance de energía'!I39</f>
        <v>0</v>
      </c>
      <c r="K37" s="616">
        <f>+'Balance de energía'!J39</f>
        <v>0</v>
      </c>
      <c r="L37" s="618">
        <f>+'Balance de energía'!$K39</f>
        <v>4305.6918348125973</v>
      </c>
      <c r="M37" s="615">
        <f>+'Balance de energía'!$L39</f>
        <v>162.57155249999997</v>
      </c>
      <c r="N37" s="615">
        <f>+'Balance de energía'!$M39</f>
        <v>0</v>
      </c>
      <c r="O37" s="615">
        <f>+'Balance de energía'!N39</f>
        <v>12.371616</v>
      </c>
      <c r="P37" s="615">
        <f>+'Balance de energía'!O39</f>
        <v>10.696551249999999</v>
      </c>
      <c r="Q37" s="615">
        <f>+'Balance de energía'!P39</f>
        <v>0</v>
      </c>
      <c r="R37" s="615">
        <f>+'Balance de energía'!Q39</f>
        <v>100.47442500000001</v>
      </c>
      <c r="S37" s="615">
        <f>+'Balance de energía'!R39</f>
        <v>0</v>
      </c>
      <c r="T37" s="615">
        <f>+'Balance de energía'!S39</f>
        <v>0</v>
      </c>
      <c r="U37" s="615">
        <f>+'Balance de energía'!T39</f>
        <v>0</v>
      </c>
      <c r="V37" s="616">
        <f>+'Balance de energía'!U39</f>
        <v>0</v>
      </c>
      <c r="W37" s="615">
        <f>+'Balance de energía'!V39</f>
        <v>783.28814286299985</v>
      </c>
      <c r="X37" s="618">
        <f>+'Balance de energía'!W39</f>
        <v>0</v>
      </c>
      <c r="Y37" s="615">
        <f>+'Balance de energía'!X39</f>
        <v>0</v>
      </c>
      <c r="Z37" s="615">
        <f>+'Balance de energía'!Y39</f>
        <v>0</v>
      </c>
      <c r="AA37" s="616">
        <f>+'Balance de energía'!Z39</f>
        <v>0</v>
      </c>
      <c r="AB37" s="615">
        <f>+'Balance de energía'!AA39</f>
        <v>0</v>
      </c>
      <c r="AC37" s="617">
        <f>+'Balance de energía'!AB39</f>
        <v>0</v>
      </c>
      <c r="AD37" s="619">
        <f t="shared" si="6"/>
        <v>6205.8977071992085</v>
      </c>
      <c r="AE37" s="366"/>
    </row>
    <row r="38" spans="2:31">
      <c r="B38" s="850"/>
      <c r="C38" s="590" t="s">
        <v>285</v>
      </c>
      <c r="D38" s="620">
        <f>SUM(D39:D42)</f>
        <v>0</v>
      </c>
      <c r="E38" s="621">
        <f t="shared" ref="E38:AC38" si="8">SUM(E39:E42)</f>
        <v>296.69975599347998</v>
      </c>
      <c r="F38" s="621">
        <f t="shared" si="8"/>
        <v>0</v>
      </c>
      <c r="G38" s="621">
        <f t="shared" si="8"/>
        <v>0</v>
      </c>
      <c r="H38" s="621">
        <f t="shared" si="8"/>
        <v>0</v>
      </c>
      <c r="I38" s="621">
        <f t="shared" si="8"/>
        <v>0</v>
      </c>
      <c r="J38" s="621">
        <f t="shared" si="8"/>
        <v>0</v>
      </c>
      <c r="K38" s="622">
        <f t="shared" si="8"/>
        <v>0</v>
      </c>
      <c r="L38" s="620">
        <f t="shared" si="8"/>
        <v>41217.06011728281</v>
      </c>
      <c r="M38" s="621">
        <f t="shared" si="8"/>
        <v>3601.5906704312506</v>
      </c>
      <c r="N38" s="621">
        <f t="shared" si="8"/>
        <v>34498.180772627144</v>
      </c>
      <c r="O38" s="621">
        <f t="shared" si="8"/>
        <v>72.750421456644929</v>
      </c>
      <c r="P38" s="621">
        <f t="shared" si="8"/>
        <v>370.87036114699998</v>
      </c>
      <c r="Q38" s="621">
        <f t="shared" si="8"/>
        <v>60.764196045839988</v>
      </c>
      <c r="R38" s="621">
        <f t="shared" si="8"/>
        <v>10653.17879514675</v>
      </c>
      <c r="S38" s="621">
        <f t="shared" si="8"/>
        <v>0</v>
      </c>
      <c r="T38" s="621">
        <f t="shared" si="8"/>
        <v>0</v>
      </c>
      <c r="U38" s="621">
        <f t="shared" si="8"/>
        <v>0</v>
      </c>
      <c r="V38" s="622">
        <f t="shared" si="8"/>
        <v>0</v>
      </c>
      <c r="W38" s="621">
        <f t="shared" si="8"/>
        <v>936.17645570561126</v>
      </c>
      <c r="X38" s="620">
        <f t="shared" si="8"/>
        <v>0</v>
      </c>
      <c r="Y38" s="621">
        <f t="shared" si="8"/>
        <v>0</v>
      </c>
      <c r="Z38" s="621">
        <f t="shared" si="8"/>
        <v>0</v>
      </c>
      <c r="AA38" s="622">
        <f t="shared" si="8"/>
        <v>0</v>
      </c>
      <c r="AB38" s="621">
        <f t="shared" si="8"/>
        <v>0</v>
      </c>
      <c r="AC38" s="623">
        <f t="shared" si="8"/>
        <v>0</v>
      </c>
      <c r="AD38" s="623">
        <f t="shared" si="6"/>
        <v>91707.271545836542</v>
      </c>
      <c r="AE38" s="362"/>
    </row>
    <row r="39" spans="2:31">
      <c r="B39" s="850"/>
      <c r="C39" s="595" t="s">
        <v>333</v>
      </c>
      <c r="D39" s="618">
        <f>+'Balance de energía'!C41</f>
        <v>0</v>
      </c>
      <c r="E39" s="615">
        <f>+'Balance de energía'!D41</f>
        <v>296.5761448591</v>
      </c>
      <c r="F39" s="615">
        <f>+'Balance de energía'!E41</f>
        <v>0</v>
      </c>
      <c r="G39" s="615">
        <f>+'Balance de energía'!F41</f>
        <v>0</v>
      </c>
      <c r="H39" s="615">
        <f>+'Balance de energía'!G41</f>
        <v>0</v>
      </c>
      <c r="I39" s="615">
        <f>+'Balance de energía'!H41</f>
        <v>0</v>
      </c>
      <c r="J39" s="615">
        <f>+'Balance de energía'!I41</f>
        <v>0</v>
      </c>
      <c r="K39" s="616">
        <f>+'Balance de energía'!J41</f>
        <v>0</v>
      </c>
      <c r="L39" s="618">
        <f>+'Balance de energía'!$K41</f>
        <v>39319.88704880466</v>
      </c>
      <c r="M39" s="615">
        <f>+'Balance de energía'!$L41</f>
        <v>28.935269676250002</v>
      </c>
      <c r="N39" s="615">
        <f>+'Balance de energía'!$M41</f>
        <v>34476.052428627139</v>
      </c>
      <c r="O39" s="615">
        <f>+'Balance de energía'!N41</f>
        <v>72.723448456644931</v>
      </c>
      <c r="P39" s="615">
        <f>+'Balance de energía'!O41</f>
        <v>370.51583114699997</v>
      </c>
      <c r="Q39" s="615">
        <f>+'Balance de energía'!P41</f>
        <v>0.15959999999999999</v>
      </c>
      <c r="R39" s="615">
        <f>+'Balance de energía'!Q41</f>
        <v>1.5284700000000004</v>
      </c>
      <c r="S39" s="615">
        <f>+'Balance de energía'!R41</f>
        <v>0</v>
      </c>
      <c r="T39" s="615">
        <f>+'Balance de energía'!S41</f>
        <v>0</v>
      </c>
      <c r="U39" s="615">
        <f>+'Balance de energía'!T41</f>
        <v>0</v>
      </c>
      <c r="V39" s="616">
        <f>+'Balance de energía'!U41</f>
        <v>0</v>
      </c>
      <c r="W39" s="615">
        <f>+'Balance de energía'!V41</f>
        <v>535.14936636561129</v>
      </c>
      <c r="X39" s="618">
        <f>+'Balance de energía'!W41</f>
        <v>0</v>
      </c>
      <c r="Y39" s="615">
        <f>+'Balance de energía'!X41</f>
        <v>0</v>
      </c>
      <c r="Z39" s="615">
        <f>+'Balance de energía'!Y41</f>
        <v>0</v>
      </c>
      <c r="AA39" s="616">
        <f>+'Balance de energía'!Z41</f>
        <v>0</v>
      </c>
      <c r="AB39" s="615">
        <f>+'Balance de energía'!AA41</f>
        <v>0</v>
      </c>
      <c r="AC39" s="617">
        <f>+'Balance de energía'!AB41</f>
        <v>0</v>
      </c>
      <c r="AD39" s="619">
        <f t="shared" si="6"/>
        <v>75101.527607936412</v>
      </c>
      <c r="AE39" s="366"/>
    </row>
    <row r="40" spans="2:31">
      <c r="B40" s="850"/>
      <c r="C40" s="595" t="s">
        <v>45</v>
      </c>
      <c r="D40" s="618">
        <f>+'Balance de energía'!C42</f>
        <v>0</v>
      </c>
      <c r="E40" s="615">
        <f>+'Balance de energía'!D42</f>
        <v>0</v>
      </c>
      <c r="F40" s="615">
        <f>+'Balance de energía'!E42</f>
        <v>0</v>
      </c>
      <c r="G40" s="615">
        <f>+'Balance de energía'!F42</f>
        <v>0</v>
      </c>
      <c r="H40" s="615">
        <f>+'Balance de energía'!G42</f>
        <v>0</v>
      </c>
      <c r="I40" s="615">
        <f>+'Balance de energía'!H42</f>
        <v>0</v>
      </c>
      <c r="J40" s="615">
        <f>+'Balance de energía'!I42</f>
        <v>0</v>
      </c>
      <c r="K40" s="616">
        <f>+'Balance de energía'!J42</f>
        <v>0</v>
      </c>
      <c r="L40" s="618">
        <f>+'Balance de energía'!$K42</f>
        <v>343.000771848</v>
      </c>
      <c r="M40" s="615">
        <f>+'Balance de energía'!$L42</f>
        <v>0</v>
      </c>
      <c r="N40" s="615">
        <f>+'Balance de energía'!$M42</f>
        <v>0</v>
      </c>
      <c r="O40" s="615">
        <f>+'Balance de energía'!N42</f>
        <v>0</v>
      </c>
      <c r="P40" s="615">
        <f>+'Balance de energía'!O42</f>
        <v>0</v>
      </c>
      <c r="Q40" s="615">
        <f>+'Balance de energía'!P42</f>
        <v>0</v>
      </c>
      <c r="R40" s="615">
        <f>+'Balance de energía'!Q42</f>
        <v>0</v>
      </c>
      <c r="S40" s="615">
        <f>+'Balance de energía'!R42</f>
        <v>0</v>
      </c>
      <c r="T40" s="615">
        <f>+'Balance de energía'!S42</f>
        <v>0</v>
      </c>
      <c r="U40" s="615">
        <f>+'Balance de energía'!T42</f>
        <v>0</v>
      </c>
      <c r="V40" s="616">
        <f>+'Balance de energía'!U42</f>
        <v>0</v>
      </c>
      <c r="W40" s="615">
        <f>+'Balance de energía'!V42</f>
        <v>401.02708933999997</v>
      </c>
      <c r="X40" s="618">
        <f>+'Balance de energía'!W42</f>
        <v>0</v>
      </c>
      <c r="Y40" s="615">
        <f>+'Balance de energía'!X42</f>
        <v>0</v>
      </c>
      <c r="Z40" s="615">
        <f>+'Balance de energía'!Y42</f>
        <v>0</v>
      </c>
      <c r="AA40" s="616">
        <f>+'Balance de energía'!Z42</f>
        <v>0</v>
      </c>
      <c r="AB40" s="615">
        <f>+'Balance de energía'!AA42</f>
        <v>0</v>
      </c>
      <c r="AC40" s="617">
        <f>+'Balance de energía'!AB42</f>
        <v>0</v>
      </c>
      <c r="AD40" s="619">
        <f t="shared" si="6"/>
        <v>744.02786118799997</v>
      </c>
      <c r="AE40" s="366"/>
    </row>
    <row r="41" spans="2:31">
      <c r="B41" s="850"/>
      <c r="C41" s="595" t="s">
        <v>46</v>
      </c>
      <c r="D41" s="618">
        <f>+'Balance de energía'!C43</f>
        <v>0</v>
      </c>
      <c r="E41" s="615">
        <f>+'Balance de energía'!D43</f>
        <v>0.12361113438000002</v>
      </c>
      <c r="F41" s="615">
        <f>+'Balance de energía'!E43</f>
        <v>0</v>
      </c>
      <c r="G41" s="615">
        <f>+'Balance de energía'!F43</f>
        <v>0</v>
      </c>
      <c r="H41" s="615">
        <f>+'Balance de energía'!G43</f>
        <v>0</v>
      </c>
      <c r="I41" s="615">
        <f>+'Balance de energía'!H43</f>
        <v>0</v>
      </c>
      <c r="J41" s="615">
        <f>+'Balance de energía'!I43</f>
        <v>0</v>
      </c>
      <c r="K41" s="616">
        <f>+'Balance de energía'!J43</f>
        <v>0</v>
      </c>
      <c r="L41" s="618">
        <f>+'Balance de energía'!$K43</f>
        <v>881.52706383140833</v>
      </c>
      <c r="M41" s="615">
        <f>+'Balance de energía'!$L43</f>
        <v>3572.6554007550008</v>
      </c>
      <c r="N41" s="615">
        <f>+'Balance de energía'!$M43</f>
        <v>3.863160000000001</v>
      </c>
      <c r="O41" s="615">
        <f>+'Balance de energía'!N43</f>
        <v>0</v>
      </c>
      <c r="P41" s="615">
        <f>+'Balance de energía'!O43</f>
        <v>0.32548999999999995</v>
      </c>
      <c r="Q41" s="615">
        <f>+'Balance de energía'!P43</f>
        <v>0</v>
      </c>
      <c r="R41" s="615">
        <f>+'Balance de energía'!Q43</f>
        <v>0</v>
      </c>
      <c r="S41" s="615">
        <f>+'Balance de energía'!R43</f>
        <v>0</v>
      </c>
      <c r="T41" s="615">
        <f>+'Balance de energía'!S43</f>
        <v>0</v>
      </c>
      <c r="U41" s="615">
        <f>+'Balance de energía'!T43</f>
        <v>0</v>
      </c>
      <c r="V41" s="616">
        <f>+'Balance de energía'!U43</f>
        <v>0</v>
      </c>
      <c r="W41" s="615">
        <f>+'Balance de energía'!V43</f>
        <v>0</v>
      </c>
      <c r="X41" s="618">
        <f>+'Balance de energía'!W43</f>
        <v>0</v>
      </c>
      <c r="Y41" s="615">
        <f>+'Balance de energía'!X43</f>
        <v>0</v>
      </c>
      <c r="Z41" s="615">
        <f>+'Balance de energía'!Y43</f>
        <v>0</v>
      </c>
      <c r="AA41" s="616">
        <f>+'Balance de energía'!Z43</f>
        <v>0</v>
      </c>
      <c r="AB41" s="615">
        <f>+'Balance de energía'!AA43</f>
        <v>0</v>
      </c>
      <c r="AC41" s="617">
        <f>+'Balance de energía'!AB43</f>
        <v>0</v>
      </c>
      <c r="AD41" s="619">
        <f t="shared" si="6"/>
        <v>4458.4947257207896</v>
      </c>
      <c r="AE41" s="366"/>
    </row>
    <row r="42" spans="2:31">
      <c r="B42" s="850"/>
      <c r="C42" s="595" t="s">
        <v>47</v>
      </c>
      <c r="D42" s="618">
        <f>+'Balance de energía'!C44</f>
        <v>0</v>
      </c>
      <c r="E42" s="615">
        <f>+'Balance de energía'!D44</f>
        <v>0</v>
      </c>
      <c r="F42" s="615">
        <f>+'Balance de energía'!E44</f>
        <v>0</v>
      </c>
      <c r="G42" s="615">
        <f>+'Balance de energía'!F44</f>
        <v>0</v>
      </c>
      <c r="H42" s="615">
        <f>+'Balance de energía'!G44</f>
        <v>0</v>
      </c>
      <c r="I42" s="615">
        <f>+'Balance de energía'!H44</f>
        <v>0</v>
      </c>
      <c r="J42" s="615">
        <f>+'Balance de energía'!I44</f>
        <v>0</v>
      </c>
      <c r="K42" s="616">
        <f>+'Balance de energía'!J44</f>
        <v>0</v>
      </c>
      <c r="L42" s="618">
        <f>+'Balance de energía'!$K44</f>
        <v>672.64523279874447</v>
      </c>
      <c r="M42" s="615">
        <f>+'Balance de energía'!$L44</f>
        <v>0</v>
      </c>
      <c r="N42" s="615">
        <f>+'Balance de energía'!$M44</f>
        <v>18.265183999999998</v>
      </c>
      <c r="O42" s="615">
        <f>+'Balance de energía'!N44</f>
        <v>2.6973000000000004E-2</v>
      </c>
      <c r="P42" s="615">
        <f>+'Balance de energía'!O44</f>
        <v>2.9040000000000003E-2</v>
      </c>
      <c r="Q42" s="615">
        <f>+'Balance de energía'!P44</f>
        <v>60.60459604583999</v>
      </c>
      <c r="R42" s="615">
        <f>+'Balance de energía'!Q44</f>
        <v>10651.650325146751</v>
      </c>
      <c r="S42" s="615">
        <f>+'Balance de energía'!R44</f>
        <v>0</v>
      </c>
      <c r="T42" s="615">
        <f>+'Balance de energía'!S44</f>
        <v>0</v>
      </c>
      <c r="U42" s="615">
        <f>+'Balance de energía'!T44</f>
        <v>0</v>
      </c>
      <c r="V42" s="616">
        <f>+'Balance de energía'!U44</f>
        <v>0</v>
      </c>
      <c r="W42" s="615">
        <f>+'Balance de energía'!V44</f>
        <v>0</v>
      </c>
      <c r="X42" s="618">
        <f>+'Balance de energía'!W44</f>
        <v>0</v>
      </c>
      <c r="Y42" s="615">
        <f>+'Balance de energía'!X44</f>
        <v>0</v>
      </c>
      <c r="Z42" s="615">
        <f>+'Balance de energía'!Y44</f>
        <v>0</v>
      </c>
      <c r="AA42" s="616">
        <f>+'Balance de energía'!Z44</f>
        <v>0</v>
      </c>
      <c r="AB42" s="615">
        <f>+'Balance de energía'!AA44</f>
        <v>0</v>
      </c>
      <c r="AC42" s="617">
        <f>+'Balance de energía'!AB44</f>
        <v>0</v>
      </c>
      <c r="AD42" s="619">
        <f t="shared" si="6"/>
        <v>11403.221350991336</v>
      </c>
      <c r="AE42" s="366"/>
    </row>
    <row r="43" spans="2:31" ht="24.75" customHeight="1">
      <c r="B43" s="850"/>
      <c r="C43" s="590" t="s">
        <v>286</v>
      </c>
      <c r="D43" s="620">
        <f>SUM(D44:D46)</f>
        <v>0</v>
      </c>
      <c r="E43" s="621">
        <f t="shared" ref="E43:AC43" si="9">SUM(E44:E46)</f>
        <v>6543.9961289561115</v>
      </c>
      <c r="F43" s="621">
        <f t="shared" si="9"/>
        <v>31.907538547592914</v>
      </c>
      <c r="G43" s="621">
        <f t="shared" si="9"/>
        <v>17835.01687662183</v>
      </c>
      <c r="H43" s="621">
        <f t="shared" si="9"/>
        <v>0</v>
      </c>
      <c r="I43" s="621">
        <f t="shared" si="9"/>
        <v>0</v>
      </c>
      <c r="J43" s="621">
        <f t="shared" si="9"/>
        <v>0</v>
      </c>
      <c r="K43" s="622">
        <f t="shared" si="9"/>
        <v>163.8922824</v>
      </c>
      <c r="L43" s="620">
        <f t="shared" si="9"/>
        <v>2543.9221107489225</v>
      </c>
      <c r="M43" s="621">
        <f t="shared" si="9"/>
        <v>100.2225</v>
      </c>
      <c r="N43" s="621">
        <f t="shared" si="9"/>
        <v>0</v>
      </c>
      <c r="O43" s="621">
        <f t="shared" si="9"/>
        <v>1360.7935745393415</v>
      </c>
      <c r="P43" s="621">
        <f t="shared" si="9"/>
        <v>10320.973233727071</v>
      </c>
      <c r="Q43" s="621">
        <f t="shared" si="9"/>
        <v>1.7979460194174754</v>
      </c>
      <c r="R43" s="621">
        <f t="shared" si="9"/>
        <v>403.27920311399998</v>
      </c>
      <c r="S43" s="621">
        <f t="shared" si="9"/>
        <v>0</v>
      </c>
      <c r="T43" s="621">
        <f t="shared" si="9"/>
        <v>0</v>
      </c>
      <c r="U43" s="621">
        <f t="shared" si="9"/>
        <v>0</v>
      </c>
      <c r="V43" s="622">
        <f t="shared" si="9"/>
        <v>0</v>
      </c>
      <c r="W43" s="621">
        <f t="shared" si="9"/>
        <v>20251.80954893546</v>
      </c>
      <c r="X43" s="620">
        <f t="shared" si="9"/>
        <v>0</v>
      </c>
      <c r="Y43" s="621">
        <f t="shared" si="9"/>
        <v>0</v>
      </c>
      <c r="Z43" s="621">
        <f t="shared" si="9"/>
        <v>0</v>
      </c>
      <c r="AA43" s="622">
        <f t="shared" si="9"/>
        <v>0</v>
      </c>
      <c r="AB43" s="621">
        <f t="shared" si="9"/>
        <v>78.0864586</v>
      </c>
      <c r="AC43" s="623">
        <f t="shared" si="9"/>
        <v>0</v>
      </c>
      <c r="AD43" s="623">
        <f t="shared" si="6"/>
        <v>59635.697402209742</v>
      </c>
      <c r="AE43" s="362"/>
    </row>
    <row r="44" spans="2:31">
      <c r="B44" s="850"/>
      <c r="C44" s="595" t="s">
        <v>59</v>
      </c>
      <c r="D44" s="618">
        <f>+'Balance de energía'!C46</f>
        <v>0</v>
      </c>
      <c r="E44" s="615">
        <f>+'Balance de energía'!D46</f>
        <v>1391.7336653799921</v>
      </c>
      <c r="F44" s="615">
        <f>+'Balance de energía'!E46</f>
        <v>0.92300000000000004</v>
      </c>
      <c r="G44" s="615">
        <f>+'Balance de energía'!F46</f>
        <v>53.79190013532903</v>
      </c>
      <c r="H44" s="615">
        <f>+'Balance de energía'!G46</f>
        <v>0</v>
      </c>
      <c r="I44" s="615">
        <f>+'Balance de energía'!H46</f>
        <v>0</v>
      </c>
      <c r="J44" s="615">
        <f>+'Balance de energía'!I46</f>
        <v>0</v>
      </c>
      <c r="K44" s="616">
        <f>+'Balance de energía'!J46</f>
        <v>163.8922824</v>
      </c>
      <c r="L44" s="618">
        <f>+'Balance de energía'!$K46</f>
        <v>2422.2729363759086</v>
      </c>
      <c r="M44" s="615">
        <f>+'Balance de energía'!$L46</f>
        <v>66.580500000000001</v>
      </c>
      <c r="N44" s="615">
        <f>+'Balance de energía'!$M46</f>
        <v>0</v>
      </c>
      <c r="O44" s="615">
        <f>+'Balance de energía'!N46</f>
        <v>14.853753446498978</v>
      </c>
      <c r="P44" s="615">
        <f>+'Balance de energía'!O46</f>
        <v>1107.7239553929999</v>
      </c>
      <c r="Q44" s="615">
        <f>+'Balance de energía'!P46</f>
        <v>1.7979460194174754</v>
      </c>
      <c r="R44" s="615">
        <f>+'Balance de energía'!Q46</f>
        <v>69.479337113999989</v>
      </c>
      <c r="S44" s="615">
        <f>+'Balance de energía'!R46</f>
        <v>0</v>
      </c>
      <c r="T44" s="615">
        <f>+'Balance de energía'!S46</f>
        <v>0</v>
      </c>
      <c r="U44" s="615">
        <f>+'Balance de energía'!T46</f>
        <v>0</v>
      </c>
      <c r="V44" s="616">
        <f>+'Balance de energía'!U46</f>
        <v>0</v>
      </c>
      <c r="W44" s="615">
        <f>+'Balance de energía'!V46</f>
        <v>8401.5811223857145</v>
      </c>
      <c r="X44" s="618">
        <f>+'Balance de energía'!W46</f>
        <v>0</v>
      </c>
      <c r="Y44" s="615">
        <f>+'Balance de energía'!X46</f>
        <v>0</v>
      </c>
      <c r="Z44" s="615">
        <f>+'Balance de energía'!Y46</f>
        <v>0</v>
      </c>
      <c r="AA44" s="616">
        <f>+'Balance de energía'!Z46</f>
        <v>0</v>
      </c>
      <c r="AB44" s="615">
        <f>+'Balance de energía'!AA46</f>
        <v>48.487355399999998</v>
      </c>
      <c r="AC44" s="617">
        <f>+'Balance de energía'!AB46</f>
        <v>0</v>
      </c>
      <c r="AD44" s="619">
        <f t="shared" si="6"/>
        <v>13743.117754049861</v>
      </c>
      <c r="AE44" s="366"/>
    </row>
    <row r="45" spans="2:31">
      <c r="B45" s="850"/>
      <c r="C45" s="595" t="s">
        <v>60</v>
      </c>
      <c r="D45" s="618">
        <f>+'Balance de energía'!C47</f>
        <v>0</v>
      </c>
      <c r="E45" s="615">
        <f>+'Balance de energía'!D47</f>
        <v>244.71766524726002</v>
      </c>
      <c r="F45" s="615">
        <f>+'Balance de energía'!E47</f>
        <v>30.984538547592916</v>
      </c>
      <c r="G45" s="615">
        <f>+'Balance de energía'!F47</f>
        <v>67.068102466718614</v>
      </c>
      <c r="H45" s="615">
        <f>+'Balance de energía'!G47</f>
        <v>0</v>
      </c>
      <c r="I45" s="615">
        <f>+'Balance de energía'!H47</f>
        <v>0</v>
      </c>
      <c r="J45" s="615">
        <f>+'Balance de energía'!I47</f>
        <v>0</v>
      </c>
      <c r="K45" s="616">
        <f>+'Balance de energía'!J47</f>
        <v>0</v>
      </c>
      <c r="L45" s="618">
        <f>+'Balance de energía'!$K47</f>
        <v>121.64917437301375</v>
      </c>
      <c r="M45" s="615">
        <f>+'Balance de energía'!$L47</f>
        <v>33.642000000000003</v>
      </c>
      <c r="N45" s="615">
        <f>+'Balance de energía'!$M47</f>
        <v>0</v>
      </c>
      <c r="O45" s="615">
        <f>+'Balance de energía'!N47</f>
        <v>10.232171586000003</v>
      </c>
      <c r="P45" s="615">
        <f>+'Balance de energía'!O47</f>
        <v>218.07977619999997</v>
      </c>
      <c r="Q45" s="615">
        <f>+'Balance de energía'!P47</f>
        <v>0</v>
      </c>
      <c r="R45" s="615">
        <f>+'Balance de energía'!Q47</f>
        <v>333.79986600000001</v>
      </c>
      <c r="S45" s="615">
        <f>+'Balance de energía'!R47</f>
        <v>0</v>
      </c>
      <c r="T45" s="615">
        <f>+'Balance de energía'!S47</f>
        <v>0</v>
      </c>
      <c r="U45" s="615">
        <f>+'Balance de energía'!T47</f>
        <v>0</v>
      </c>
      <c r="V45" s="616">
        <f>+'Balance de energía'!U47</f>
        <v>0</v>
      </c>
      <c r="W45" s="615">
        <f>+'Balance de energía'!V47</f>
        <v>1740.90178618956</v>
      </c>
      <c r="X45" s="618">
        <f>+'Balance de energía'!W47</f>
        <v>0</v>
      </c>
      <c r="Y45" s="615">
        <f>+'Balance de energía'!X47</f>
        <v>0</v>
      </c>
      <c r="Z45" s="615">
        <f>+'Balance de energía'!Y47</f>
        <v>0</v>
      </c>
      <c r="AA45" s="616">
        <f>+'Balance de energía'!Z47</f>
        <v>0</v>
      </c>
      <c r="AB45" s="615">
        <f>+'Balance de energía'!AA47</f>
        <v>3.5974898</v>
      </c>
      <c r="AC45" s="617">
        <f>+'Balance de energía'!AB47</f>
        <v>0</v>
      </c>
      <c r="AD45" s="619">
        <f t="shared" si="6"/>
        <v>2804.672570410145</v>
      </c>
      <c r="AE45" s="366"/>
    </row>
    <row r="46" spans="2:31">
      <c r="B46" s="850"/>
      <c r="C46" s="595" t="s">
        <v>61</v>
      </c>
      <c r="D46" s="618">
        <f>+'Balance de energía'!C48</f>
        <v>0</v>
      </c>
      <c r="E46" s="615">
        <f>+'Balance de energía'!D48</f>
        <v>4907.5447983288595</v>
      </c>
      <c r="F46" s="615">
        <f>+'Balance de energía'!E48</f>
        <v>0</v>
      </c>
      <c r="G46" s="615">
        <f>+'Balance de energía'!F48</f>
        <v>17714.156874019784</v>
      </c>
      <c r="H46" s="615">
        <f>+'Balance de energía'!G48</f>
        <v>0</v>
      </c>
      <c r="I46" s="615">
        <f>+'Balance de energía'!H48</f>
        <v>0</v>
      </c>
      <c r="J46" s="615">
        <f>+'Balance de energía'!I48</f>
        <v>0</v>
      </c>
      <c r="K46" s="616">
        <f>+'Balance de energía'!J48</f>
        <v>0</v>
      </c>
      <c r="L46" s="618">
        <f>+'Balance de energía'!$K48</f>
        <v>0</v>
      </c>
      <c r="M46" s="615">
        <f>+'Balance de energía'!$L48</f>
        <v>0</v>
      </c>
      <c r="N46" s="615">
        <f>+'Balance de energía'!$M48</f>
        <v>0</v>
      </c>
      <c r="O46" s="615">
        <f>+'Balance de energía'!N48</f>
        <v>1335.7076495068425</v>
      </c>
      <c r="P46" s="615">
        <f>+'Balance de energía'!O48</f>
        <v>8995.1695021340711</v>
      </c>
      <c r="Q46" s="615">
        <f>+'Balance de energía'!P48</f>
        <v>0</v>
      </c>
      <c r="R46" s="615">
        <f>+'Balance de energía'!Q48</f>
        <v>0</v>
      </c>
      <c r="S46" s="615">
        <f>+'Balance de energía'!R48</f>
        <v>0</v>
      </c>
      <c r="T46" s="615">
        <f>+'Balance de energía'!S48</f>
        <v>0</v>
      </c>
      <c r="U46" s="615">
        <f>+'Balance de energía'!T48</f>
        <v>0</v>
      </c>
      <c r="V46" s="616">
        <f>+'Balance de energía'!U48</f>
        <v>0</v>
      </c>
      <c r="W46" s="615">
        <f>+'Balance de energía'!V48</f>
        <v>10109.326640360183</v>
      </c>
      <c r="X46" s="618">
        <f>+'Balance de energía'!W48</f>
        <v>0</v>
      </c>
      <c r="Y46" s="615">
        <f>+'Balance de energía'!X48</f>
        <v>0</v>
      </c>
      <c r="Z46" s="615">
        <f>+'Balance de energía'!Y48</f>
        <v>0</v>
      </c>
      <c r="AA46" s="616">
        <f>+'Balance de energía'!Z48</f>
        <v>0</v>
      </c>
      <c r="AB46" s="615">
        <f>+'Balance de energía'!AA48</f>
        <v>26.0016134</v>
      </c>
      <c r="AC46" s="617">
        <f>+'Balance de energía'!AB48</f>
        <v>0</v>
      </c>
      <c r="AD46" s="619">
        <f t="shared" si="6"/>
        <v>43087.907077749747</v>
      </c>
      <c r="AE46" s="366"/>
    </row>
    <row r="47" spans="2:31" ht="13.5" thickBot="1">
      <c r="B47" s="851"/>
      <c r="C47" s="596" t="s">
        <v>287</v>
      </c>
      <c r="D47" s="624">
        <v>0</v>
      </c>
      <c r="E47" s="625">
        <v>0</v>
      </c>
      <c r="F47" s="625">
        <v>0</v>
      </c>
      <c r="G47" s="625">
        <v>0</v>
      </c>
      <c r="H47" s="625">
        <v>0</v>
      </c>
      <c r="I47" s="625">
        <v>0</v>
      </c>
      <c r="J47" s="625">
        <v>0</v>
      </c>
      <c r="K47" s="626">
        <v>0</v>
      </c>
      <c r="L47" s="624">
        <v>0</v>
      </c>
      <c r="M47" s="625">
        <v>0</v>
      </c>
      <c r="N47" s="625">
        <v>0</v>
      </c>
      <c r="O47" s="625">
        <v>0</v>
      </c>
      <c r="P47" s="625">
        <v>0</v>
      </c>
      <c r="Q47" s="625">
        <v>0</v>
      </c>
      <c r="R47" s="625">
        <v>0</v>
      </c>
      <c r="S47" s="625">
        <v>0</v>
      </c>
      <c r="T47" s="625">
        <v>0</v>
      </c>
      <c r="U47" s="625">
        <v>0</v>
      </c>
      <c r="V47" s="626">
        <f>+'Balance de energía'!U49</f>
        <v>1611.4793270139999</v>
      </c>
      <c r="W47" s="625">
        <v>0</v>
      </c>
      <c r="X47" s="624">
        <v>0</v>
      </c>
      <c r="Y47" s="625">
        <v>0</v>
      </c>
      <c r="Z47" s="625">
        <v>0</v>
      </c>
      <c r="AA47" s="626">
        <v>0</v>
      </c>
      <c r="AB47" s="625">
        <v>0</v>
      </c>
      <c r="AC47" s="627">
        <v>0</v>
      </c>
      <c r="AD47" s="623">
        <f t="shared" si="6"/>
        <v>1611.4793270139999</v>
      </c>
      <c r="AE47" s="362"/>
    </row>
    <row r="48" spans="2:31">
      <c r="B48" s="368"/>
      <c r="C48" s="368"/>
      <c r="D48" s="578"/>
      <c r="E48" s="368"/>
      <c r="F48" s="368"/>
      <c r="G48" s="368"/>
      <c r="H48" s="368"/>
      <c r="I48" s="368"/>
      <c r="J48" s="368"/>
      <c r="K48" s="368"/>
      <c r="L48" s="368"/>
      <c r="M48" s="368"/>
      <c r="N48" s="368"/>
      <c r="O48" s="368"/>
      <c r="P48" s="368"/>
      <c r="Q48" s="368"/>
      <c r="R48" s="368"/>
      <c r="S48" s="368"/>
      <c r="T48" s="368"/>
      <c r="U48" s="368"/>
      <c r="V48" s="368"/>
      <c r="W48" s="368"/>
      <c r="X48" s="368"/>
      <c r="Y48" s="368"/>
      <c r="Z48" s="368"/>
      <c r="AA48" s="368"/>
      <c r="AB48" s="368"/>
      <c r="AC48" s="368"/>
      <c r="AD48" s="368"/>
    </row>
    <row r="49" spans="2:30" ht="31.5" customHeight="1">
      <c r="B49" s="368"/>
      <c r="C49" s="368"/>
      <c r="D49" s="857"/>
      <c r="E49" s="857"/>
      <c r="F49" s="857"/>
      <c r="G49" s="857"/>
      <c r="H49" s="857"/>
      <c r="I49" s="857"/>
      <c r="J49" s="857"/>
      <c r="K49" s="857"/>
      <c r="L49" s="857"/>
      <c r="M49" s="857"/>
      <c r="N49" s="857"/>
      <c r="O49" s="857"/>
      <c r="P49" s="857"/>
      <c r="Q49" s="368"/>
      <c r="R49" s="368"/>
      <c r="S49" s="368"/>
      <c r="T49" s="368"/>
      <c r="U49" s="368"/>
      <c r="V49" s="368"/>
      <c r="W49" s="368"/>
      <c r="X49" s="368"/>
      <c r="Y49" s="368"/>
      <c r="Z49" s="368"/>
      <c r="AA49" s="368"/>
      <c r="AB49" s="368"/>
      <c r="AC49" s="368"/>
      <c r="AD49" s="368"/>
    </row>
    <row r="50" spans="2:30" ht="16.5" customHeight="1">
      <c r="B50" s="368"/>
      <c r="C50" s="368"/>
      <c r="D50" s="858"/>
      <c r="E50" s="858"/>
      <c r="F50" s="858"/>
      <c r="G50" s="858"/>
      <c r="H50" s="858"/>
      <c r="I50" s="858"/>
      <c r="J50" s="858"/>
      <c r="K50" s="858"/>
      <c r="L50" s="858"/>
      <c r="M50" s="858"/>
      <c r="N50" s="858"/>
      <c r="O50" s="858"/>
      <c r="P50" s="858"/>
      <c r="Q50" s="368"/>
      <c r="R50" s="368"/>
      <c r="S50" s="368"/>
      <c r="T50" s="368"/>
      <c r="U50" s="368"/>
      <c r="V50" s="368"/>
      <c r="W50" s="368"/>
      <c r="X50" s="368"/>
      <c r="Y50" s="368"/>
      <c r="Z50" s="368"/>
      <c r="AA50" s="368"/>
      <c r="AB50" s="368"/>
      <c r="AC50" s="368"/>
      <c r="AD50" s="368"/>
    </row>
    <row r="51" spans="2:30" ht="48.75" customHeight="1">
      <c r="B51" s="368"/>
      <c r="C51" s="368"/>
      <c r="D51" s="862"/>
      <c r="E51" s="862"/>
      <c r="F51" s="862"/>
      <c r="G51" s="862"/>
      <c r="H51" s="862"/>
      <c r="I51" s="862"/>
      <c r="J51" s="862"/>
      <c r="K51" s="862"/>
      <c r="L51" s="862"/>
      <c r="M51" s="862"/>
      <c r="N51" s="862"/>
      <c r="O51" s="862"/>
      <c r="P51" s="862"/>
      <c r="Q51" s="368"/>
      <c r="R51" s="368"/>
      <c r="S51" s="368"/>
      <c r="T51" s="368"/>
      <c r="U51" s="368"/>
      <c r="V51" s="368"/>
      <c r="W51" s="368"/>
      <c r="X51" s="368"/>
      <c r="Y51" s="368"/>
      <c r="Z51" s="368"/>
      <c r="AA51" s="368"/>
      <c r="AB51" s="368"/>
      <c r="AC51" s="368"/>
      <c r="AD51" s="368"/>
    </row>
    <row r="52" spans="2:30" ht="32.25" customHeight="1">
      <c r="B52" s="368"/>
      <c r="C52" s="368"/>
      <c r="D52" s="862"/>
      <c r="E52" s="862"/>
      <c r="F52" s="862"/>
      <c r="G52" s="862"/>
      <c r="H52" s="862"/>
      <c r="I52" s="862"/>
      <c r="J52" s="862"/>
      <c r="K52" s="862"/>
      <c r="L52" s="862"/>
      <c r="M52" s="862"/>
      <c r="N52" s="862"/>
      <c r="O52" s="862"/>
      <c r="P52" s="862"/>
      <c r="Q52" s="368"/>
      <c r="R52" s="368"/>
      <c r="S52" s="368"/>
      <c r="T52" s="368"/>
      <c r="U52" s="368"/>
      <c r="V52" s="368"/>
      <c r="W52" s="368"/>
      <c r="X52" s="368"/>
      <c r="Y52" s="368"/>
      <c r="Z52" s="368"/>
      <c r="AA52" s="368"/>
      <c r="AB52" s="368"/>
      <c r="AC52" s="368"/>
      <c r="AD52" s="368"/>
    </row>
    <row r="53" spans="2:30" ht="45" customHeight="1">
      <c r="B53" s="368"/>
      <c r="C53" s="368"/>
      <c r="D53" s="862"/>
      <c r="E53" s="862"/>
      <c r="F53" s="862"/>
      <c r="G53" s="862"/>
      <c r="H53" s="862"/>
      <c r="I53" s="862"/>
      <c r="J53" s="862"/>
      <c r="K53" s="862"/>
      <c r="L53" s="862"/>
      <c r="M53" s="862"/>
      <c r="N53" s="862"/>
      <c r="O53" s="862"/>
      <c r="P53" s="862"/>
      <c r="Q53" s="368"/>
      <c r="R53" s="368"/>
      <c r="S53" s="368"/>
      <c r="T53" s="368"/>
      <c r="U53" s="368"/>
      <c r="V53" s="368"/>
      <c r="W53" s="368"/>
      <c r="X53" s="368"/>
      <c r="Y53" s="368"/>
      <c r="Z53" s="368"/>
      <c r="AA53" s="368"/>
      <c r="AB53" s="368"/>
      <c r="AC53" s="368"/>
      <c r="AD53" s="368"/>
    </row>
    <row r="54" spans="2:30" ht="45.75" customHeight="1">
      <c r="B54" s="368"/>
      <c r="C54" s="368"/>
      <c r="D54" s="862"/>
      <c r="E54" s="862"/>
      <c r="F54" s="862"/>
      <c r="G54" s="862"/>
      <c r="H54" s="862"/>
      <c r="I54" s="862"/>
      <c r="J54" s="862"/>
      <c r="K54" s="862"/>
      <c r="L54" s="862"/>
      <c r="M54" s="862"/>
      <c r="N54" s="862"/>
      <c r="O54" s="862"/>
      <c r="P54" s="862"/>
      <c r="Q54" s="368"/>
      <c r="R54" s="368"/>
      <c r="S54" s="368"/>
      <c r="T54" s="368"/>
      <c r="U54" s="368"/>
      <c r="V54" s="368"/>
      <c r="W54" s="368"/>
      <c r="X54" s="368"/>
      <c r="Y54" s="368"/>
      <c r="Z54" s="368"/>
      <c r="AA54" s="368"/>
      <c r="AB54" s="368"/>
      <c r="AC54" s="368"/>
      <c r="AD54" s="368"/>
    </row>
    <row r="55" spans="2:30" ht="17.25" customHeight="1">
      <c r="B55" s="368"/>
      <c r="C55" s="368"/>
      <c r="D55" s="858"/>
      <c r="E55" s="858"/>
      <c r="F55" s="858"/>
      <c r="G55" s="858"/>
      <c r="H55" s="858"/>
      <c r="I55" s="858"/>
      <c r="J55" s="858"/>
      <c r="K55" s="858"/>
      <c r="L55" s="858"/>
      <c r="M55" s="858"/>
      <c r="N55" s="858"/>
      <c r="O55" s="858"/>
      <c r="P55" s="858"/>
      <c r="Q55" s="368"/>
      <c r="R55" s="368"/>
      <c r="S55" s="368"/>
      <c r="T55" s="368"/>
      <c r="U55" s="368"/>
      <c r="V55" s="368"/>
      <c r="W55" s="368"/>
      <c r="X55" s="368"/>
      <c r="Y55" s="368"/>
      <c r="Z55" s="368"/>
      <c r="AA55" s="368"/>
      <c r="AB55" s="368"/>
      <c r="AC55" s="368"/>
      <c r="AD55" s="368"/>
    </row>
    <row r="56" spans="2:30" ht="15.75" customHeight="1">
      <c r="B56" s="368"/>
      <c r="C56" s="368"/>
      <c r="D56" s="858"/>
      <c r="E56" s="858"/>
      <c r="F56" s="858"/>
      <c r="G56" s="858"/>
      <c r="H56" s="858"/>
      <c r="I56" s="858"/>
      <c r="J56" s="858"/>
      <c r="K56" s="858"/>
      <c r="L56" s="858"/>
      <c r="M56" s="858"/>
      <c r="N56" s="858"/>
      <c r="O56" s="858"/>
      <c r="P56" s="858"/>
      <c r="Q56" s="368"/>
      <c r="R56" s="368"/>
      <c r="S56" s="368"/>
      <c r="T56" s="368"/>
      <c r="U56" s="368"/>
      <c r="V56" s="368"/>
      <c r="W56" s="368"/>
      <c r="X56" s="368"/>
      <c r="Y56" s="368"/>
      <c r="Z56" s="368"/>
      <c r="AA56" s="368"/>
      <c r="AB56" s="368"/>
      <c r="AC56" s="368"/>
      <c r="AD56" s="368"/>
    </row>
    <row r="57" spans="2:30">
      <c r="B57" s="368"/>
      <c r="C57" s="368"/>
      <c r="D57" s="861"/>
      <c r="E57" s="861"/>
      <c r="F57" s="861"/>
      <c r="G57" s="861"/>
      <c r="H57" s="861"/>
      <c r="I57" s="861"/>
      <c r="J57" s="861"/>
      <c r="K57" s="861"/>
      <c r="L57" s="861"/>
      <c r="M57" s="861"/>
      <c r="N57" s="861"/>
      <c r="O57" s="861"/>
      <c r="P57" s="861"/>
      <c r="Q57" s="368"/>
      <c r="R57" s="368"/>
      <c r="S57" s="368"/>
      <c r="T57" s="368"/>
      <c r="U57" s="368"/>
      <c r="V57" s="368"/>
      <c r="W57" s="368"/>
      <c r="X57" s="368"/>
      <c r="Y57" s="368"/>
      <c r="Z57" s="368"/>
      <c r="AA57" s="368"/>
      <c r="AB57" s="368"/>
      <c r="AC57" s="368"/>
      <c r="AD57" s="368"/>
    </row>
    <row r="58" spans="2:30" ht="15.75" customHeight="1">
      <c r="B58" s="368"/>
      <c r="C58" s="368"/>
      <c r="D58" s="861"/>
      <c r="E58" s="861"/>
      <c r="F58" s="861"/>
      <c r="G58" s="861"/>
      <c r="H58" s="861"/>
      <c r="I58" s="861"/>
      <c r="J58" s="861"/>
      <c r="K58" s="861"/>
      <c r="L58" s="861"/>
      <c r="M58" s="861"/>
      <c r="N58" s="861"/>
      <c r="O58" s="861"/>
      <c r="P58" s="861"/>
      <c r="Q58" s="368"/>
      <c r="R58" s="368"/>
      <c r="S58" s="368"/>
      <c r="T58" s="368"/>
      <c r="U58" s="368"/>
      <c r="V58" s="368"/>
      <c r="W58" s="368"/>
      <c r="X58" s="368"/>
      <c r="Y58" s="368"/>
      <c r="Z58" s="368"/>
      <c r="AA58" s="368"/>
      <c r="AB58" s="368"/>
      <c r="AC58" s="368"/>
      <c r="AD58" s="368"/>
    </row>
    <row r="59" spans="2:30" ht="32.25" customHeight="1">
      <c r="B59" s="368"/>
      <c r="C59" s="368"/>
      <c r="D59" s="862"/>
      <c r="E59" s="862"/>
      <c r="F59" s="862"/>
      <c r="G59" s="862"/>
      <c r="H59" s="862"/>
      <c r="I59" s="862"/>
      <c r="J59" s="862"/>
      <c r="K59" s="862"/>
      <c r="L59" s="862"/>
      <c r="M59" s="862"/>
      <c r="N59" s="862"/>
      <c r="O59" s="862"/>
      <c r="P59" s="862"/>
      <c r="Q59" s="368"/>
      <c r="R59" s="368"/>
      <c r="S59" s="368"/>
      <c r="T59" s="368"/>
      <c r="U59" s="368"/>
      <c r="V59" s="368"/>
      <c r="W59" s="368"/>
      <c r="X59" s="368"/>
      <c r="Y59" s="368"/>
      <c r="Z59" s="368"/>
      <c r="AA59" s="368"/>
      <c r="AB59" s="368"/>
      <c r="AC59" s="368"/>
      <c r="AD59" s="368"/>
    </row>
    <row r="60" spans="2:30" ht="27" customHeight="1">
      <c r="B60" s="368"/>
      <c r="C60" s="368"/>
      <c r="D60" s="863"/>
      <c r="E60" s="863"/>
      <c r="F60" s="863"/>
      <c r="G60" s="863"/>
      <c r="H60" s="863"/>
      <c r="I60" s="863"/>
      <c r="J60" s="863"/>
      <c r="K60" s="863"/>
      <c r="L60" s="863"/>
      <c r="M60" s="863"/>
      <c r="N60" s="863"/>
      <c r="O60" s="863"/>
      <c r="P60" s="863"/>
      <c r="Q60" s="368"/>
      <c r="R60" s="368"/>
      <c r="S60" s="368"/>
      <c r="T60" s="368"/>
      <c r="U60" s="368"/>
      <c r="V60" s="368"/>
      <c r="W60" s="368"/>
      <c r="X60" s="368"/>
      <c r="Y60" s="368"/>
      <c r="Z60" s="368"/>
      <c r="AA60" s="368"/>
      <c r="AB60" s="368"/>
      <c r="AC60" s="368"/>
      <c r="AD60" s="368"/>
    </row>
    <row r="61" spans="2:30">
      <c r="D61" s="358"/>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row>
    <row r="62" spans="2:30">
      <c r="D62" s="436"/>
      <c r="E62" s="436"/>
      <c r="F62" s="436"/>
      <c r="G62" s="436"/>
      <c r="H62" s="436"/>
      <c r="I62" s="436"/>
      <c r="J62" s="436"/>
      <c r="K62" s="436"/>
      <c r="L62" s="436"/>
      <c r="M62" s="436"/>
      <c r="N62" s="436"/>
      <c r="O62" s="436"/>
      <c r="P62" s="436"/>
      <c r="Q62" s="436"/>
      <c r="R62" s="436"/>
      <c r="S62" s="436"/>
      <c r="T62" s="436"/>
      <c r="U62" s="436"/>
      <c r="V62" s="436"/>
      <c r="W62" s="436"/>
      <c r="X62" s="436"/>
      <c r="Y62" s="436"/>
      <c r="Z62" s="436"/>
      <c r="AA62" s="436"/>
      <c r="AB62" s="436"/>
      <c r="AC62" s="436"/>
      <c r="AD62" s="436"/>
    </row>
    <row r="63" spans="2:30">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7"/>
      <c r="AC63" s="437"/>
      <c r="AD63" s="437"/>
    </row>
  </sheetData>
  <mergeCells count="23">
    <mergeCell ref="D57:P57"/>
    <mergeCell ref="D58:P58"/>
    <mergeCell ref="D59:P59"/>
    <mergeCell ref="D60:P60"/>
    <mergeCell ref="D51:P51"/>
    <mergeCell ref="D52:P52"/>
    <mergeCell ref="D53:P53"/>
    <mergeCell ref="D54:P54"/>
    <mergeCell ref="D55:P55"/>
    <mergeCell ref="D56:P56"/>
    <mergeCell ref="D49:P49"/>
    <mergeCell ref="D50:P50"/>
    <mergeCell ref="C4:C5"/>
    <mergeCell ref="D4:K4"/>
    <mergeCell ref="L4:V4"/>
    <mergeCell ref="H2:O2"/>
    <mergeCell ref="AD4:AD5"/>
    <mergeCell ref="W4:W5"/>
    <mergeCell ref="B18:B47"/>
    <mergeCell ref="X4:AA4"/>
    <mergeCell ref="AB4:AB5"/>
    <mergeCell ref="AC4:AC5"/>
    <mergeCell ref="B9:B16"/>
  </mergeCells>
  <hyperlinks>
    <hyperlink ref="S2" location="Índice!A1" display="VOLVER A INDICE"/>
  </hyperlink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tabColor theme="9" tint="0.39997558519241921"/>
  </sheetPr>
  <dimension ref="A1:AG50"/>
  <sheetViews>
    <sheetView showGridLines="0" tabSelected="1" workbookViewId="0">
      <pane xSplit="2" ySplit="2" topLeftCell="M3" activePane="bottomRight" state="frozen"/>
      <selection pane="topRight" activeCell="C1" sqref="C1"/>
      <selection pane="bottomLeft" activeCell="A3" sqref="A3"/>
      <selection pane="bottomRight" activeCell="T3" sqref="T3"/>
    </sheetView>
  </sheetViews>
  <sheetFormatPr baseColWidth="10" defaultRowHeight="13.5"/>
  <cols>
    <col min="1" max="1" width="13.5703125" style="782" bestFit="1" customWidth="1"/>
    <col min="2" max="2" width="25.5703125" style="782" bestFit="1" customWidth="1"/>
    <col min="3" max="3" width="20.5703125" style="782" bestFit="1" customWidth="1"/>
    <col min="4" max="4" width="8.28515625" style="782" bestFit="1" customWidth="1"/>
    <col min="5" max="5" width="5.85546875" style="782" bestFit="1" customWidth="1"/>
    <col min="6" max="6" width="6.7109375" style="782" bestFit="1" customWidth="1"/>
    <col min="7" max="7" width="10.28515625" style="782" bestFit="1" customWidth="1"/>
    <col min="8" max="8" width="9.7109375" style="782" bestFit="1" customWidth="1"/>
    <col min="9" max="9" width="9.140625" style="782" bestFit="1" customWidth="1"/>
    <col min="10" max="10" width="5.140625" style="782" bestFit="1" customWidth="1"/>
    <col min="11" max="11" width="20.28515625" style="782" bestFit="1" customWidth="1"/>
    <col min="12" max="12" width="13.7109375" style="782" bestFit="1" customWidth="1"/>
    <col min="13" max="13" width="12" style="782" bestFit="1" customWidth="1"/>
    <col min="14" max="14" width="6.7109375" style="782" bestFit="1" customWidth="1"/>
    <col min="15" max="15" width="8.5703125" style="782" bestFit="1" customWidth="1"/>
    <col min="16" max="16" width="13.85546875" style="782" bestFit="1" customWidth="1"/>
    <col min="17" max="17" width="14.28515625" style="782" bestFit="1" customWidth="1"/>
    <col min="18" max="18" width="4.7109375" style="782" bestFit="1" customWidth="1"/>
    <col min="19" max="19" width="11" style="782" bestFit="1" customWidth="1"/>
    <col min="20" max="20" width="12.140625" style="782" bestFit="1" customWidth="1"/>
    <col min="21" max="21" width="10.42578125" style="782" bestFit="1" customWidth="1"/>
    <col min="22" max="22" width="7.85546875" style="782" bestFit="1" customWidth="1"/>
    <col min="23" max="23" width="19" style="782" bestFit="1" customWidth="1"/>
    <col min="24" max="24" width="8" style="782" bestFit="1" customWidth="1"/>
    <col min="25" max="25" width="6.140625" style="782" bestFit="1" customWidth="1"/>
    <col min="26" max="26" width="13.7109375" style="782" bestFit="1" customWidth="1"/>
    <col min="27" max="27" width="9.42578125" style="782" bestFit="1" customWidth="1"/>
    <col min="28" max="28" width="5.7109375" style="782" bestFit="1" customWidth="1"/>
    <col min="29" max="29" width="6.140625" style="782" bestFit="1" customWidth="1"/>
    <col min="30" max="16384" width="11.42578125" style="782"/>
  </cols>
  <sheetData>
    <row r="1" spans="1:33" ht="15" customHeight="1">
      <c r="A1" s="778"/>
      <c r="B1" s="864" t="s">
        <v>266</v>
      </c>
      <c r="C1" s="779" t="s">
        <v>10</v>
      </c>
      <c r="D1" s="779"/>
      <c r="E1" s="779"/>
      <c r="F1" s="779"/>
      <c r="G1" s="779"/>
      <c r="H1" s="779"/>
      <c r="I1" s="779"/>
      <c r="J1" s="779"/>
      <c r="K1" s="779" t="s">
        <v>11</v>
      </c>
      <c r="L1" s="779"/>
      <c r="M1" s="779"/>
      <c r="N1" s="779"/>
      <c r="O1" s="779"/>
      <c r="P1" s="779"/>
      <c r="Q1" s="779"/>
      <c r="R1" s="779"/>
      <c r="S1" s="779"/>
      <c r="T1" s="779"/>
      <c r="U1" s="779"/>
      <c r="V1" s="780" t="s">
        <v>126</v>
      </c>
      <c r="W1" s="779" t="s">
        <v>12</v>
      </c>
      <c r="X1" s="779"/>
      <c r="Y1" s="779"/>
      <c r="Z1" s="779"/>
      <c r="AA1" s="780" t="s">
        <v>279</v>
      </c>
      <c r="AB1" s="780" t="s">
        <v>65</v>
      </c>
      <c r="AC1" s="780" t="s">
        <v>19</v>
      </c>
      <c r="AD1" s="781"/>
    </row>
    <row r="2" spans="1:33" s="788" customFormat="1">
      <c r="A2" s="778"/>
      <c r="B2" s="864"/>
      <c r="C2" s="776" t="s">
        <v>125</v>
      </c>
      <c r="D2" s="776" t="s">
        <v>135</v>
      </c>
      <c r="E2" s="776" t="s">
        <v>41</v>
      </c>
      <c r="F2" s="776" t="s">
        <v>495</v>
      </c>
      <c r="G2" s="776" t="s">
        <v>267</v>
      </c>
      <c r="H2" s="776" t="s">
        <v>268</v>
      </c>
      <c r="I2" s="776" t="s">
        <v>431</v>
      </c>
      <c r="J2" s="776" t="s">
        <v>42</v>
      </c>
      <c r="K2" s="776" t="s">
        <v>269</v>
      </c>
      <c r="L2" s="783" t="s">
        <v>270</v>
      </c>
      <c r="M2" s="783" t="s">
        <v>477</v>
      </c>
      <c r="N2" s="776" t="s">
        <v>38</v>
      </c>
      <c r="O2" s="776" t="s">
        <v>271</v>
      </c>
      <c r="P2" s="776" t="s">
        <v>272</v>
      </c>
      <c r="Q2" s="776" t="s">
        <v>273</v>
      </c>
      <c r="R2" s="776" t="s">
        <v>40</v>
      </c>
      <c r="S2" s="776" t="s">
        <v>274</v>
      </c>
      <c r="T2" s="776" t="s">
        <v>275</v>
      </c>
      <c r="U2" s="776" t="s">
        <v>276</v>
      </c>
      <c r="V2" s="784"/>
      <c r="W2" s="785" t="s">
        <v>292</v>
      </c>
      <c r="X2" s="785" t="s">
        <v>277</v>
      </c>
      <c r="Y2" s="785" t="s">
        <v>43</v>
      </c>
      <c r="Z2" s="785" t="s">
        <v>278</v>
      </c>
      <c r="AA2" s="784"/>
      <c r="AB2" s="784"/>
      <c r="AC2" s="784"/>
      <c r="AD2" s="786"/>
      <c r="AE2" s="787"/>
    </row>
    <row r="3" spans="1:33" ht="15" customHeight="1">
      <c r="A3" s="778"/>
      <c r="B3" s="789" t="s">
        <v>289</v>
      </c>
      <c r="C3" s="769">
        <v>2645.1545316944057</v>
      </c>
      <c r="D3" s="769">
        <v>9401.5571213901076</v>
      </c>
      <c r="E3" s="769">
        <v>13513.885199999999</v>
      </c>
      <c r="F3" s="769">
        <v>73430.280199428016</v>
      </c>
      <c r="G3" s="769">
        <v>20310.838125240003</v>
      </c>
      <c r="H3" s="769">
        <v>1818.2696449399996</v>
      </c>
      <c r="I3" s="769">
        <v>1084.3449052367998</v>
      </c>
      <c r="J3" s="769">
        <v>876.9173799709082</v>
      </c>
      <c r="K3" s="769">
        <v>0</v>
      </c>
      <c r="L3" s="769">
        <v>0</v>
      </c>
      <c r="M3" s="769">
        <v>0</v>
      </c>
      <c r="N3" s="769">
        <v>0</v>
      </c>
      <c r="O3" s="769">
        <v>0</v>
      </c>
      <c r="P3" s="769">
        <v>0</v>
      </c>
      <c r="Q3" s="769">
        <v>0</v>
      </c>
      <c r="R3" s="769">
        <v>0</v>
      </c>
      <c r="S3" s="769">
        <v>0</v>
      </c>
      <c r="T3" s="769">
        <v>0</v>
      </c>
      <c r="U3" s="769">
        <v>0</v>
      </c>
      <c r="V3" s="769">
        <v>0</v>
      </c>
      <c r="W3" s="769">
        <v>0</v>
      </c>
      <c r="X3" s="769">
        <v>0</v>
      </c>
      <c r="Y3" s="769">
        <v>0</v>
      </c>
      <c r="Z3" s="769">
        <v>0</v>
      </c>
      <c r="AA3" s="769">
        <v>0</v>
      </c>
      <c r="AB3" s="769">
        <v>0</v>
      </c>
      <c r="AC3" s="770">
        <f>SUM(C3:AB3)</f>
        <v>123081.24710790023</v>
      </c>
      <c r="AD3" s="790"/>
      <c r="AE3" s="791"/>
    </row>
    <row r="4" spans="1:33">
      <c r="A4" s="778"/>
      <c r="B4" s="789" t="s">
        <v>280</v>
      </c>
      <c r="C4" s="769">
        <v>90125.784825008406</v>
      </c>
      <c r="D4" s="769">
        <v>34810.519397158496</v>
      </c>
      <c r="E4" s="769">
        <v>59728.889766499931</v>
      </c>
      <c r="F4" s="769">
        <v>74.150999999999996</v>
      </c>
      <c r="G4" s="769">
        <v>0</v>
      </c>
      <c r="H4" s="769">
        <v>0</v>
      </c>
      <c r="I4" s="769">
        <v>0</v>
      </c>
      <c r="J4" s="769">
        <v>0</v>
      </c>
      <c r="K4" s="769">
        <v>56994.538688359993</v>
      </c>
      <c r="L4" s="769">
        <v>333.32462782499999</v>
      </c>
      <c r="M4" s="769">
        <v>5465.8113440000006</v>
      </c>
      <c r="N4" s="769">
        <v>0</v>
      </c>
      <c r="O4" s="769">
        <v>11651.796277000005</v>
      </c>
      <c r="P4" s="769">
        <v>38.016719999999999</v>
      </c>
      <c r="Q4" s="769">
        <v>5551.748537157001</v>
      </c>
      <c r="R4" s="769">
        <v>1560.8419160000003</v>
      </c>
      <c r="S4" s="769">
        <v>0</v>
      </c>
      <c r="T4" s="769">
        <v>353.32499999999999</v>
      </c>
      <c r="U4" s="769">
        <v>0</v>
      </c>
      <c r="V4" s="769">
        <v>0</v>
      </c>
      <c r="W4" s="769">
        <v>19.189820999999998</v>
      </c>
      <c r="X4" s="769">
        <v>0</v>
      </c>
      <c r="Y4" s="769">
        <v>0</v>
      </c>
      <c r="Z4" s="769">
        <v>0</v>
      </c>
      <c r="AA4" s="769">
        <v>8.1302056</v>
      </c>
      <c r="AB4" s="769">
        <v>0</v>
      </c>
      <c r="AC4" s="770">
        <f t="shared" ref="AC4:AC49" si="0">SUM(C4:AB4)</f>
        <v>266716.06812560884</v>
      </c>
      <c r="AD4" s="790"/>
      <c r="AE4" s="791"/>
    </row>
    <row r="5" spans="1:33">
      <c r="A5" s="778"/>
      <c r="B5" s="789" t="s">
        <v>281</v>
      </c>
      <c r="C5" s="769">
        <v>0</v>
      </c>
      <c r="D5" s="769">
        <v>0</v>
      </c>
      <c r="E5" s="769">
        <v>5907.58</v>
      </c>
      <c r="F5" s="769">
        <v>0.50298100000000001</v>
      </c>
      <c r="G5" s="769">
        <v>0</v>
      </c>
      <c r="H5" s="769">
        <v>0</v>
      </c>
      <c r="I5" s="769">
        <v>0</v>
      </c>
      <c r="J5" s="769">
        <v>0</v>
      </c>
      <c r="K5" s="771">
        <v>863.5598897640001</v>
      </c>
      <c r="L5" s="769">
        <v>3167.4642299999996</v>
      </c>
      <c r="M5" s="769">
        <v>785.27209600000003</v>
      </c>
      <c r="N5" s="769">
        <v>0</v>
      </c>
      <c r="O5" s="769">
        <v>453.29760520000002</v>
      </c>
      <c r="P5" s="769">
        <v>0</v>
      </c>
      <c r="Q5" s="769">
        <v>3.1108859999999998</v>
      </c>
      <c r="R5" s="769">
        <v>0</v>
      </c>
      <c r="S5" s="769">
        <v>0</v>
      </c>
      <c r="T5" s="769">
        <v>0</v>
      </c>
      <c r="U5" s="769">
        <v>62.150116300799993</v>
      </c>
      <c r="V5" s="769">
        <v>0</v>
      </c>
      <c r="W5" s="769">
        <v>278.74079999999998</v>
      </c>
      <c r="X5" s="769">
        <v>0</v>
      </c>
      <c r="Y5" s="769">
        <v>0</v>
      </c>
      <c r="Z5" s="769">
        <v>0</v>
      </c>
      <c r="AA5" s="769">
        <v>0</v>
      </c>
      <c r="AB5" s="769">
        <v>1103.900155</v>
      </c>
      <c r="AC5" s="770">
        <f t="shared" si="0"/>
        <v>12625.578759264798</v>
      </c>
      <c r="AD5" s="790"/>
      <c r="AE5" s="791"/>
    </row>
    <row r="6" spans="1:33">
      <c r="A6" s="778"/>
      <c r="B6" s="789" t="s">
        <v>340</v>
      </c>
      <c r="C6" s="769">
        <f>+SUM(C7:C9)</f>
        <v>421.04076413592003</v>
      </c>
      <c r="D6" s="769">
        <f t="shared" ref="D6:AB6" si="1">+SUM(D7:D9)</f>
        <v>2730.6838839472657</v>
      </c>
      <c r="E6" s="769">
        <f t="shared" si="1"/>
        <v>-8226.9217888023304</v>
      </c>
      <c r="F6" s="769">
        <f t="shared" si="1"/>
        <v>545.00895677164249</v>
      </c>
      <c r="G6" s="769">
        <v>0</v>
      </c>
      <c r="H6" s="769">
        <v>0</v>
      </c>
      <c r="I6" s="769">
        <v>0</v>
      </c>
      <c r="J6" s="769">
        <f t="shared" si="1"/>
        <v>34.373063485806483</v>
      </c>
      <c r="K6" s="769">
        <f t="shared" si="1"/>
        <v>7354.794292370505</v>
      </c>
      <c r="L6" s="769">
        <f t="shared" si="1"/>
        <v>-679.23619221181502</v>
      </c>
      <c r="M6" s="769">
        <f t="shared" si="1"/>
        <v>-998.38861742714539</v>
      </c>
      <c r="N6" s="769">
        <f t="shared" si="1"/>
        <v>-11.785904037116424</v>
      </c>
      <c r="O6" s="769">
        <f t="shared" si="1"/>
        <v>788.0050368755301</v>
      </c>
      <c r="P6" s="769">
        <f t="shared" si="1"/>
        <v>19.657393934742544</v>
      </c>
      <c r="Q6" s="769">
        <f t="shared" si="1"/>
        <v>139.66854133629388</v>
      </c>
      <c r="R6" s="769">
        <f t="shared" si="1"/>
        <v>86.198839950000547</v>
      </c>
      <c r="S6" s="769">
        <f t="shared" si="1"/>
        <v>0</v>
      </c>
      <c r="T6" s="769">
        <f t="shared" si="1"/>
        <v>349.06245645669952</v>
      </c>
      <c r="U6" s="769">
        <f t="shared" si="1"/>
        <v>-762.66858389334391</v>
      </c>
      <c r="V6" s="769">
        <f t="shared" si="1"/>
        <v>3624.0838318819774</v>
      </c>
      <c r="W6" s="769">
        <f t="shared" si="1"/>
        <v>51.431799899999902</v>
      </c>
      <c r="X6" s="769">
        <f t="shared" si="1"/>
        <v>52.381999999999913</v>
      </c>
      <c r="Y6" s="769">
        <f t="shared" si="1"/>
        <v>0</v>
      </c>
      <c r="Z6" s="769">
        <f t="shared" si="1"/>
        <v>89.855553388872281</v>
      </c>
      <c r="AA6" s="769">
        <f t="shared" si="1"/>
        <v>7.4885710050680068</v>
      </c>
      <c r="AB6" s="769">
        <f t="shared" si="1"/>
        <v>0</v>
      </c>
      <c r="AC6" s="770">
        <f t="shared" si="0"/>
        <v>5614.7338990685712</v>
      </c>
      <c r="AD6" s="790"/>
      <c r="AE6" s="791"/>
    </row>
    <row r="7" spans="1:33">
      <c r="A7" s="778"/>
      <c r="B7" s="792" t="s">
        <v>421</v>
      </c>
      <c r="C7" s="769">
        <v>0</v>
      </c>
      <c r="D7" s="769">
        <v>344.37736520009997</v>
      </c>
      <c r="E7" s="769">
        <v>25.296804000000073</v>
      </c>
      <c r="F7" s="769">
        <v>11.065535856239499</v>
      </c>
      <c r="G7" s="769">
        <v>0</v>
      </c>
      <c r="H7" s="769">
        <v>0</v>
      </c>
      <c r="I7" s="769">
        <v>0</v>
      </c>
      <c r="J7" s="769">
        <v>0</v>
      </c>
      <c r="K7" s="769">
        <v>0</v>
      </c>
      <c r="L7" s="769">
        <v>0.61529999999999996</v>
      </c>
      <c r="M7" s="769">
        <v>0</v>
      </c>
      <c r="N7" s="769">
        <v>5.7542400000000007E-3</v>
      </c>
      <c r="O7" s="769">
        <v>0.107476193</v>
      </c>
      <c r="P7" s="769">
        <v>0</v>
      </c>
      <c r="Q7" s="769">
        <v>0</v>
      </c>
      <c r="R7" s="769">
        <v>0</v>
      </c>
      <c r="S7" s="769">
        <v>0</v>
      </c>
      <c r="T7" s="769">
        <v>0</v>
      </c>
      <c r="U7" s="769">
        <v>0</v>
      </c>
      <c r="V7" s="769">
        <v>3188.3298943459636</v>
      </c>
      <c r="W7" s="769">
        <v>0.23275000000000001</v>
      </c>
      <c r="X7" s="769">
        <v>45.613999999999997</v>
      </c>
      <c r="Y7" s="769">
        <v>0</v>
      </c>
      <c r="Z7" s="769">
        <v>80.254000000000005</v>
      </c>
      <c r="AA7" s="769">
        <v>8.634380097068</v>
      </c>
      <c r="AB7" s="769">
        <v>0</v>
      </c>
      <c r="AC7" s="770">
        <f t="shared" si="0"/>
        <v>3704.533259932371</v>
      </c>
      <c r="AD7" s="790"/>
      <c r="AE7" s="791"/>
    </row>
    <row r="8" spans="1:33">
      <c r="A8" s="778"/>
      <c r="B8" s="792" t="s">
        <v>419</v>
      </c>
      <c r="C8" s="769">
        <v>421.04076413592003</v>
      </c>
      <c r="D8" s="769">
        <v>-25.259573364847956</v>
      </c>
      <c r="E8" s="769">
        <v>-1579.5274102510946</v>
      </c>
      <c r="F8" s="769">
        <v>312.27960462433538</v>
      </c>
      <c r="G8" s="769">
        <v>0</v>
      </c>
      <c r="H8" s="769">
        <v>0</v>
      </c>
      <c r="I8" s="769">
        <v>0</v>
      </c>
      <c r="J8" s="769">
        <v>0</v>
      </c>
      <c r="K8" s="769">
        <v>1201.9146366665882</v>
      </c>
      <c r="L8" s="769">
        <v>140.59120185879931</v>
      </c>
      <c r="M8" s="769">
        <v>340.33173955199999</v>
      </c>
      <c r="N8" s="769">
        <v>7.1255473200000123</v>
      </c>
      <c r="O8" s="769">
        <v>395.28038301289996</v>
      </c>
      <c r="P8" s="769">
        <v>21.359861151702091</v>
      </c>
      <c r="Q8" s="769">
        <v>-4.131166697999995</v>
      </c>
      <c r="R8" s="769">
        <v>0</v>
      </c>
      <c r="S8" s="769">
        <v>0</v>
      </c>
      <c r="T8" s="769">
        <v>230.67879603669991</v>
      </c>
      <c r="U8" s="769">
        <v>-762.61327795734394</v>
      </c>
      <c r="V8" s="769">
        <v>0</v>
      </c>
      <c r="W8" s="769">
        <v>121.32065379999999</v>
      </c>
      <c r="X8" s="769">
        <v>0</v>
      </c>
      <c r="Y8" s="769">
        <v>0</v>
      </c>
      <c r="Z8" s="769">
        <v>0</v>
      </c>
      <c r="AA8" s="769">
        <v>3.9240200000000003E-3</v>
      </c>
      <c r="AB8" s="769">
        <v>0</v>
      </c>
      <c r="AC8" s="770">
        <f t="shared" si="0"/>
        <v>820.39568390765817</v>
      </c>
      <c r="AD8" s="790"/>
      <c r="AE8" s="791"/>
    </row>
    <row r="9" spans="1:33">
      <c r="A9" s="778"/>
      <c r="B9" s="792" t="s">
        <v>420</v>
      </c>
      <c r="C9" s="769">
        <v>0</v>
      </c>
      <c r="D9" s="769">
        <v>2411.5660921120138</v>
      </c>
      <c r="E9" s="769">
        <v>-6672.6911825512361</v>
      </c>
      <c r="F9" s="769">
        <v>221.66381629106763</v>
      </c>
      <c r="G9" s="769">
        <v>0</v>
      </c>
      <c r="H9" s="769">
        <v>0</v>
      </c>
      <c r="I9" s="769">
        <v>0</v>
      </c>
      <c r="J9" s="769">
        <v>34.373063485806483</v>
      </c>
      <c r="K9" s="771">
        <v>6152.8796557039168</v>
      </c>
      <c r="L9" s="769">
        <v>-820.44269407061438</v>
      </c>
      <c r="M9" s="769">
        <v>-1338.7203569791454</v>
      </c>
      <c r="N9" s="769">
        <v>-18.917205597116435</v>
      </c>
      <c r="O9" s="769">
        <v>392.61717766963011</v>
      </c>
      <c r="P9" s="769">
        <v>-1.7024672169595476</v>
      </c>
      <c r="Q9" s="769">
        <v>143.79970803429387</v>
      </c>
      <c r="R9" s="769">
        <v>86.198839950000547</v>
      </c>
      <c r="S9" s="769">
        <v>0</v>
      </c>
      <c r="T9" s="769">
        <v>118.38366041999961</v>
      </c>
      <c r="U9" s="769">
        <v>-5.5305935999967915E-2</v>
      </c>
      <c r="V9" s="769">
        <v>435.75393753601384</v>
      </c>
      <c r="W9" s="769">
        <v>-70.121603900000082</v>
      </c>
      <c r="X9" s="769">
        <v>6.7679999999999154</v>
      </c>
      <c r="Y9" s="769">
        <v>0</v>
      </c>
      <c r="Z9" s="769">
        <v>9.6015533888722757</v>
      </c>
      <c r="AA9" s="769">
        <v>-1.1497331119999927</v>
      </c>
      <c r="AB9" s="769">
        <v>0</v>
      </c>
      <c r="AC9" s="770">
        <f>SUM(C9:AB9)</f>
        <v>1089.8049552285433</v>
      </c>
      <c r="AD9" s="790"/>
      <c r="AE9" s="791"/>
    </row>
    <row r="10" spans="1:33">
      <c r="A10" s="778"/>
      <c r="B10" s="793" t="s">
        <v>290</v>
      </c>
      <c r="C10" s="773">
        <f>+SUM(C3:C4)-SUM(C5:C6)</f>
        <v>92349.898592566897</v>
      </c>
      <c r="D10" s="773">
        <f>+SUM(D3:D4)-SUM(D5:D6)</f>
        <v>41481.392634601332</v>
      </c>
      <c r="E10" s="773">
        <f>+SUM(E3:E4)-SUM(E5:E6)</f>
        <v>75562.116755302253</v>
      </c>
      <c r="F10" s="773">
        <f>+SUM(F3:F4)-SUM(F5:F6)</f>
        <v>72958.919261656367</v>
      </c>
      <c r="G10" s="773">
        <f>+SUM(G3)</f>
        <v>20310.838125240003</v>
      </c>
      <c r="H10" s="773">
        <f>+SUM(H3)</f>
        <v>1818.2696449399996</v>
      </c>
      <c r="I10" s="773">
        <f>+SUM(I3)</f>
        <v>1084.3449052367998</v>
      </c>
      <c r="J10" s="773">
        <f>+SUM(J3:J4)-SUM(J5:J6)</f>
        <v>842.54431648510172</v>
      </c>
      <c r="K10" s="773">
        <f t="shared" ref="K10:AB10" si="2">+K4-SUM(K5:K6)</f>
        <v>48776.184506225487</v>
      </c>
      <c r="L10" s="773">
        <f t="shared" si="2"/>
        <v>-2154.9034099631845</v>
      </c>
      <c r="M10" s="773">
        <f t="shared" si="2"/>
        <v>5678.9278654271457</v>
      </c>
      <c r="N10" s="773">
        <f t="shared" si="2"/>
        <v>11.785904037116424</v>
      </c>
      <c r="O10" s="773">
        <f t="shared" si="2"/>
        <v>10410.493634924474</v>
      </c>
      <c r="P10" s="773">
        <f t="shared" si="2"/>
        <v>18.359326065257456</v>
      </c>
      <c r="Q10" s="773">
        <f t="shared" si="2"/>
        <v>5408.9691098207068</v>
      </c>
      <c r="R10" s="773">
        <f>+R4-SUM(R5:R6)</f>
        <v>1474.6430760499998</v>
      </c>
      <c r="S10" s="773">
        <f t="shared" si="2"/>
        <v>0</v>
      </c>
      <c r="T10" s="773">
        <f t="shared" si="2"/>
        <v>4.2625435433004668</v>
      </c>
      <c r="U10" s="773">
        <f t="shared" si="2"/>
        <v>700.51846759254386</v>
      </c>
      <c r="V10" s="773">
        <f t="shared" si="2"/>
        <v>-3624.0838318819774</v>
      </c>
      <c r="W10" s="773">
        <f t="shared" si="2"/>
        <v>-310.98277889999991</v>
      </c>
      <c r="X10" s="773">
        <f t="shared" si="2"/>
        <v>-52.381999999999913</v>
      </c>
      <c r="Y10" s="773">
        <f t="shared" si="2"/>
        <v>0</v>
      </c>
      <c r="Z10" s="773">
        <f t="shared" si="2"/>
        <v>-89.855553388872281</v>
      </c>
      <c r="AA10" s="773">
        <f t="shared" si="2"/>
        <v>0.64163459493199326</v>
      </c>
      <c r="AB10" s="773">
        <f t="shared" si="2"/>
        <v>-1103.900155</v>
      </c>
      <c r="AC10" s="774">
        <f t="shared" si="0"/>
        <v>371557.00257517572</v>
      </c>
      <c r="AD10" s="790"/>
      <c r="AE10" s="791"/>
    </row>
    <row r="11" spans="1:33" ht="15" customHeight="1">
      <c r="A11" s="794" t="s">
        <v>14</v>
      </c>
      <c r="B11" s="789" t="s">
        <v>63</v>
      </c>
      <c r="C11" s="769">
        <v>0</v>
      </c>
      <c r="D11" s="769">
        <v>0</v>
      </c>
      <c r="E11" s="769">
        <v>0</v>
      </c>
      <c r="F11" s="769">
        <v>0</v>
      </c>
      <c r="G11" s="769">
        <v>0</v>
      </c>
      <c r="H11" s="769">
        <v>0</v>
      </c>
      <c r="I11" s="769">
        <v>0</v>
      </c>
      <c r="J11" s="769">
        <v>0</v>
      </c>
      <c r="K11" s="769">
        <v>0</v>
      </c>
      <c r="L11" s="769">
        <v>0</v>
      </c>
      <c r="M11" s="769">
        <v>0</v>
      </c>
      <c r="N11" s="769">
        <v>0</v>
      </c>
      <c r="O11" s="769">
        <v>0</v>
      </c>
      <c r="P11" s="769">
        <v>0</v>
      </c>
      <c r="Q11" s="769">
        <v>0</v>
      </c>
      <c r="R11" s="769">
        <v>0</v>
      </c>
      <c r="S11" s="769">
        <v>0</v>
      </c>
      <c r="T11" s="769">
        <v>0</v>
      </c>
      <c r="U11" s="769">
        <v>0</v>
      </c>
      <c r="V11" s="769">
        <v>0</v>
      </c>
      <c r="W11" s="769">
        <v>0</v>
      </c>
      <c r="X11" s="769">
        <v>0</v>
      </c>
      <c r="Y11" s="769">
        <v>0</v>
      </c>
      <c r="Z11" s="769">
        <v>0</v>
      </c>
      <c r="AA11" s="769">
        <v>0</v>
      </c>
      <c r="AB11" s="769">
        <v>0</v>
      </c>
      <c r="AC11" s="770">
        <f t="shared" si="0"/>
        <v>0</v>
      </c>
      <c r="AD11" s="790"/>
      <c r="AE11" s="791"/>
      <c r="AF11" s="795"/>
      <c r="AG11" s="796"/>
    </row>
    <row r="12" spans="1:33">
      <c r="A12" s="794"/>
      <c r="B12" s="789" t="s">
        <v>448</v>
      </c>
      <c r="C12" s="769">
        <v>0</v>
      </c>
      <c r="D12" s="769">
        <v>-21126.819928204917</v>
      </c>
      <c r="E12" s="769">
        <v>-69012.961753022944</v>
      </c>
      <c r="F12" s="769">
        <v>-8609.1570452998494</v>
      </c>
      <c r="G12" s="769">
        <v>-20272.706499240005</v>
      </c>
      <c r="H12" s="769">
        <v>-1816.1051969399996</v>
      </c>
      <c r="I12" s="769">
        <v>-1084.2774813399999</v>
      </c>
      <c r="J12" s="769">
        <v>-667.45203408510167</v>
      </c>
      <c r="K12" s="769">
        <v>-4991.2980984480855</v>
      </c>
      <c r="L12" s="769">
        <v>-129.32850000000002</v>
      </c>
      <c r="M12" s="769">
        <v>0</v>
      </c>
      <c r="N12" s="769">
        <v>0</v>
      </c>
      <c r="O12" s="769">
        <v>-3.9502870000000003</v>
      </c>
      <c r="P12" s="769">
        <v>0</v>
      </c>
      <c r="Q12" s="769">
        <v>-1.7532450000000002</v>
      </c>
      <c r="R12" s="769">
        <v>0</v>
      </c>
      <c r="S12" s="769">
        <v>0</v>
      </c>
      <c r="T12" s="769">
        <v>0</v>
      </c>
      <c r="U12" s="769">
        <v>0</v>
      </c>
      <c r="V12" s="769">
        <v>59102.533246670951</v>
      </c>
      <c r="W12" s="769">
        <v>0</v>
      </c>
      <c r="X12" s="769">
        <v>0</v>
      </c>
      <c r="Y12" s="769">
        <v>0</v>
      </c>
      <c r="Z12" s="769">
        <v>0</v>
      </c>
      <c r="AA12" s="769">
        <v>0</v>
      </c>
      <c r="AB12" s="769">
        <v>0</v>
      </c>
      <c r="AC12" s="770">
        <f t="shared" si="0"/>
        <v>-68613.276821909953</v>
      </c>
      <c r="AD12" s="790"/>
      <c r="AE12" s="797"/>
      <c r="AF12" s="795"/>
      <c r="AG12" s="796"/>
    </row>
    <row r="13" spans="1:33">
      <c r="A13" s="794"/>
      <c r="B13" s="789" t="s">
        <v>449</v>
      </c>
      <c r="C13" s="769">
        <v>0</v>
      </c>
      <c r="D13" s="769">
        <v>-433.14320740573044</v>
      </c>
      <c r="E13" s="769">
        <v>0</v>
      </c>
      <c r="F13" s="769">
        <v>-27085.871608537927</v>
      </c>
      <c r="G13" s="769">
        <v>-38.131625999999997</v>
      </c>
      <c r="H13" s="769">
        <v>-2.1644480000000001</v>
      </c>
      <c r="I13" s="769">
        <v>-6.7423896799999994E-2</v>
      </c>
      <c r="J13" s="769">
        <v>0</v>
      </c>
      <c r="K13" s="769">
        <v>-482.62237849135977</v>
      </c>
      <c r="L13" s="769">
        <v>-811.37341626499301</v>
      </c>
      <c r="M13" s="769">
        <v>0</v>
      </c>
      <c r="N13" s="769">
        <v>0</v>
      </c>
      <c r="O13" s="769">
        <v>-15.663229237765302</v>
      </c>
      <c r="P13" s="769">
        <v>0</v>
      </c>
      <c r="Q13" s="769">
        <v>-4.5854100000000002E-2</v>
      </c>
      <c r="R13" s="769">
        <v>0</v>
      </c>
      <c r="S13" s="769">
        <v>0</v>
      </c>
      <c r="T13" s="769">
        <v>-1405.229</v>
      </c>
      <c r="U13" s="769">
        <v>0</v>
      </c>
      <c r="V13" s="769">
        <v>4989.0945315228464</v>
      </c>
      <c r="W13" s="769">
        <v>0</v>
      </c>
      <c r="X13" s="769">
        <v>0</v>
      </c>
      <c r="Y13" s="769">
        <v>0</v>
      </c>
      <c r="Z13" s="769">
        <v>0</v>
      </c>
      <c r="AA13" s="769">
        <v>0</v>
      </c>
      <c r="AB13" s="769">
        <v>0</v>
      </c>
      <c r="AC13" s="770">
        <f t="shared" si="0"/>
        <v>-25285.217660411727</v>
      </c>
      <c r="AD13" s="790"/>
      <c r="AE13" s="791"/>
      <c r="AF13" s="795"/>
      <c r="AG13" s="796"/>
    </row>
    <row r="14" spans="1:33">
      <c r="A14" s="794"/>
      <c r="B14" s="789" t="s">
        <v>450</v>
      </c>
      <c r="C14" s="769">
        <v>0</v>
      </c>
      <c r="D14" s="769">
        <v>0</v>
      </c>
      <c r="E14" s="769">
        <v>-3845.6002296000006</v>
      </c>
      <c r="F14" s="769">
        <v>0</v>
      </c>
      <c r="G14" s="769">
        <v>0</v>
      </c>
      <c r="H14" s="769">
        <v>0</v>
      </c>
      <c r="I14" s="769">
        <v>0</v>
      </c>
      <c r="J14" s="769">
        <v>0</v>
      </c>
      <c r="K14" s="769">
        <v>0</v>
      </c>
      <c r="L14" s="769">
        <v>0</v>
      </c>
      <c r="M14" s="769">
        <v>0</v>
      </c>
      <c r="N14" s="769">
        <v>0</v>
      </c>
      <c r="O14" s="769">
        <v>0</v>
      </c>
      <c r="P14" s="769">
        <v>0</v>
      </c>
      <c r="Q14" s="769">
        <v>0</v>
      </c>
      <c r="R14" s="769">
        <v>0</v>
      </c>
      <c r="S14" s="769">
        <v>0</v>
      </c>
      <c r="T14" s="769">
        <v>0</v>
      </c>
      <c r="U14" s="769">
        <v>0</v>
      </c>
      <c r="V14" s="769">
        <v>0</v>
      </c>
      <c r="W14" s="769">
        <v>2919.1386441599998</v>
      </c>
      <c r="X14" s="769">
        <v>868.42499999999995</v>
      </c>
      <c r="Y14" s="769">
        <v>195.45099999999999</v>
      </c>
      <c r="Z14" s="769">
        <v>0</v>
      </c>
      <c r="AA14" s="769">
        <v>0</v>
      </c>
      <c r="AB14" s="769">
        <v>0</v>
      </c>
      <c r="AC14" s="770">
        <f t="shared" si="0"/>
        <v>137.41441455999913</v>
      </c>
      <c r="AD14" s="790"/>
      <c r="AE14" s="791"/>
      <c r="AF14" s="795"/>
      <c r="AG14" s="796"/>
    </row>
    <row r="15" spans="1:33">
      <c r="A15" s="794"/>
      <c r="B15" s="789" t="s">
        <v>451</v>
      </c>
      <c r="C15" s="769">
        <v>0</v>
      </c>
      <c r="D15" s="769">
        <v>0</v>
      </c>
      <c r="E15" s="769">
        <v>0</v>
      </c>
      <c r="F15" s="769">
        <v>0</v>
      </c>
      <c r="G15" s="769">
        <v>0</v>
      </c>
      <c r="H15" s="769">
        <v>0</v>
      </c>
      <c r="I15" s="769">
        <v>0</v>
      </c>
      <c r="J15" s="769">
        <v>0</v>
      </c>
      <c r="K15" s="769">
        <v>0</v>
      </c>
      <c r="L15" s="769">
        <v>0</v>
      </c>
      <c r="M15" s="769">
        <v>0</v>
      </c>
      <c r="N15" s="769">
        <v>0</v>
      </c>
      <c r="O15" s="769">
        <v>0</v>
      </c>
      <c r="P15" s="769">
        <v>0</v>
      </c>
      <c r="Q15" s="769">
        <v>0</v>
      </c>
      <c r="R15" s="769">
        <v>0</v>
      </c>
      <c r="S15" s="769">
        <v>0</v>
      </c>
      <c r="T15" s="769">
        <v>0</v>
      </c>
      <c r="U15" s="769">
        <v>0</v>
      </c>
      <c r="V15" s="769">
        <v>0</v>
      </c>
      <c r="W15" s="769">
        <v>-2518.1265297599998</v>
      </c>
      <c r="X15" s="769">
        <v>0</v>
      </c>
      <c r="Y15" s="769">
        <v>0</v>
      </c>
      <c r="Z15" s="769">
        <v>793.32555338887232</v>
      </c>
      <c r="AA15" s="769">
        <v>0</v>
      </c>
      <c r="AB15" s="769">
        <v>0</v>
      </c>
      <c r="AC15" s="770">
        <f t="shared" si="0"/>
        <v>-1724.8009763711275</v>
      </c>
      <c r="AD15" s="790"/>
      <c r="AE15" s="791"/>
      <c r="AF15" s="795"/>
      <c r="AG15" s="796"/>
    </row>
    <row r="16" spans="1:33">
      <c r="A16" s="794"/>
      <c r="B16" s="789" t="s">
        <v>282</v>
      </c>
      <c r="C16" s="769">
        <v>0</v>
      </c>
      <c r="D16" s="769">
        <v>-77.908834900000002</v>
      </c>
      <c r="E16" s="769">
        <v>0</v>
      </c>
      <c r="F16" s="769">
        <v>0</v>
      </c>
      <c r="G16" s="769">
        <v>0</v>
      </c>
      <c r="H16" s="769">
        <v>0</v>
      </c>
      <c r="I16" s="769">
        <v>0</v>
      </c>
      <c r="J16" s="769">
        <v>-11.2</v>
      </c>
      <c r="K16" s="769">
        <v>0</v>
      </c>
      <c r="L16" s="769">
        <v>0</v>
      </c>
      <c r="M16" s="769">
        <v>0</v>
      </c>
      <c r="N16" s="769">
        <v>0</v>
      </c>
      <c r="O16" s="769">
        <v>0</v>
      </c>
      <c r="P16" s="769">
        <v>0</v>
      </c>
      <c r="Q16" s="769">
        <v>0</v>
      </c>
      <c r="R16" s="769">
        <v>0</v>
      </c>
      <c r="S16" s="769">
        <v>0</v>
      </c>
      <c r="T16" s="769">
        <v>0</v>
      </c>
      <c r="U16" s="769">
        <v>0</v>
      </c>
      <c r="V16" s="769">
        <v>0</v>
      </c>
      <c r="W16" s="769">
        <v>0</v>
      </c>
      <c r="X16" s="769">
        <v>0</v>
      </c>
      <c r="Y16" s="769">
        <v>0</v>
      </c>
      <c r="Z16" s="769">
        <v>0</v>
      </c>
      <c r="AA16" s="769">
        <v>78.850381000000013</v>
      </c>
      <c r="AB16" s="769">
        <v>0</v>
      </c>
      <c r="AC16" s="770">
        <f t="shared" si="0"/>
        <v>-10.258453899999992</v>
      </c>
      <c r="AD16" s="790"/>
      <c r="AE16" s="791"/>
      <c r="AF16" s="795"/>
      <c r="AG16" s="796"/>
    </row>
    <row r="17" spans="1:33">
      <c r="A17" s="794"/>
      <c r="B17" s="789" t="s">
        <v>452</v>
      </c>
      <c r="C17" s="769">
        <v>-92349.898592566911</v>
      </c>
      <c r="D17" s="769">
        <v>0</v>
      </c>
      <c r="E17" s="769">
        <v>0</v>
      </c>
      <c r="F17" s="769">
        <v>0</v>
      </c>
      <c r="G17" s="769">
        <v>0</v>
      </c>
      <c r="H17" s="769">
        <v>0</v>
      </c>
      <c r="I17" s="769">
        <v>0</v>
      </c>
      <c r="J17" s="769">
        <v>0</v>
      </c>
      <c r="K17" s="769">
        <v>31833.676159739996</v>
      </c>
      <c r="L17" s="769">
        <v>12501.438075</v>
      </c>
      <c r="M17" s="769">
        <v>28819.2529072</v>
      </c>
      <c r="N17" s="769">
        <v>1580.2177005000003</v>
      </c>
      <c r="O17" s="769">
        <v>3620.7219619999996</v>
      </c>
      <c r="P17" s="769">
        <v>52.142916</v>
      </c>
      <c r="Q17" s="769">
        <v>6353.3365837200008</v>
      </c>
      <c r="R17" s="769">
        <v>-130.54688349999969</v>
      </c>
      <c r="S17" s="769">
        <v>1.4761283207119327</v>
      </c>
      <c r="T17" s="769">
        <v>3527.4304324567001</v>
      </c>
      <c r="U17" s="769">
        <v>1582.52499373</v>
      </c>
      <c r="V17" s="769">
        <v>0</v>
      </c>
      <c r="W17" s="769">
        <v>0</v>
      </c>
      <c r="X17" s="769">
        <v>0</v>
      </c>
      <c r="Y17" s="769">
        <v>0</v>
      </c>
      <c r="Z17" s="769">
        <v>0</v>
      </c>
      <c r="AA17" s="769">
        <v>0</v>
      </c>
      <c r="AB17" s="769">
        <v>0</v>
      </c>
      <c r="AC17" s="770">
        <f t="shared" si="0"/>
        <v>-2608.2276173995028</v>
      </c>
      <c r="AD17" s="790"/>
      <c r="AE17" s="791"/>
      <c r="AF17" s="795"/>
      <c r="AG17" s="796"/>
    </row>
    <row r="18" spans="1:33">
      <c r="A18" s="794"/>
      <c r="B18" s="789" t="s">
        <v>453</v>
      </c>
      <c r="C18" s="769">
        <v>0</v>
      </c>
      <c r="D18" s="769">
        <v>-1440.1247439000001</v>
      </c>
      <c r="E18" s="769">
        <v>0</v>
      </c>
      <c r="F18" s="769">
        <v>0</v>
      </c>
      <c r="G18" s="769">
        <v>0</v>
      </c>
      <c r="H18" s="769">
        <v>0</v>
      </c>
      <c r="I18" s="769">
        <v>0</v>
      </c>
      <c r="J18" s="769">
        <v>0</v>
      </c>
      <c r="K18" s="769">
        <v>0</v>
      </c>
      <c r="L18" s="769">
        <v>0</v>
      </c>
      <c r="M18" s="769">
        <v>0</v>
      </c>
      <c r="N18" s="769">
        <v>0</v>
      </c>
      <c r="O18" s="769">
        <v>0</v>
      </c>
      <c r="P18" s="769">
        <v>0</v>
      </c>
      <c r="Q18" s="769">
        <v>0</v>
      </c>
      <c r="R18" s="769">
        <v>0</v>
      </c>
      <c r="S18" s="769">
        <v>0</v>
      </c>
      <c r="T18" s="769">
        <v>0</v>
      </c>
      <c r="U18" s="769">
        <v>0</v>
      </c>
      <c r="V18" s="769">
        <v>0</v>
      </c>
      <c r="W18" s="769">
        <v>0</v>
      </c>
      <c r="X18" s="769">
        <v>0</v>
      </c>
      <c r="Y18" s="769">
        <v>0</v>
      </c>
      <c r="Z18" s="769">
        <v>0</v>
      </c>
      <c r="AA18" s="769">
        <v>0</v>
      </c>
      <c r="AB18" s="769">
        <v>1103.900155</v>
      </c>
      <c r="AC18" s="770">
        <f t="shared" si="0"/>
        <v>-336.22458890000007</v>
      </c>
      <c r="AD18" s="790"/>
      <c r="AE18" s="791"/>
      <c r="AF18" s="795"/>
      <c r="AG18" s="796"/>
    </row>
    <row r="19" spans="1:33">
      <c r="A19" s="798"/>
      <c r="B19" s="793" t="s">
        <v>62</v>
      </c>
      <c r="C19" s="773">
        <f>+SUM(C20,C28,C40,C45,C49)</f>
        <v>0</v>
      </c>
      <c r="D19" s="773">
        <f>+SUM(D20,D28,D40,D45,D49)</f>
        <v>17618.088709190695</v>
      </c>
      <c r="E19" s="773">
        <f t="shared" ref="E19:AB19" si="3">+SUM(E20,E28,E40,E45,E49)</f>
        <v>2703.5547726793029</v>
      </c>
      <c r="F19" s="773">
        <f t="shared" si="3"/>
        <v>37263.890607818612</v>
      </c>
      <c r="G19" s="773">
        <f t="shared" si="3"/>
        <v>0</v>
      </c>
      <c r="H19" s="773">
        <f t="shared" si="3"/>
        <v>0</v>
      </c>
      <c r="I19" s="773">
        <f t="shared" si="3"/>
        <v>0</v>
      </c>
      <c r="J19" s="773">
        <f t="shared" si="3"/>
        <v>163.8922824</v>
      </c>
      <c r="K19" s="773">
        <f t="shared" si="3"/>
        <v>75135.940189026034</v>
      </c>
      <c r="L19" s="773">
        <f t="shared" si="3"/>
        <v>9405.8327487718234</v>
      </c>
      <c r="M19" s="773">
        <f t="shared" si="3"/>
        <v>34498.180772627144</v>
      </c>
      <c r="N19" s="773">
        <f t="shared" si="3"/>
        <v>1592.0036045371162</v>
      </c>
      <c r="O19" s="773">
        <f t="shared" si="3"/>
        <v>14011.602080686711</v>
      </c>
      <c r="P19" s="773">
        <f t="shared" si="3"/>
        <v>70.502242065257462</v>
      </c>
      <c r="Q19" s="773">
        <f t="shared" si="3"/>
        <v>11760.506594440709</v>
      </c>
      <c r="R19" s="773">
        <f t="shared" si="3"/>
        <v>1344.0961925500001</v>
      </c>
      <c r="S19" s="773">
        <f t="shared" si="3"/>
        <v>1.4761283207119327</v>
      </c>
      <c r="T19" s="773">
        <f t="shared" si="3"/>
        <v>2126.463976</v>
      </c>
      <c r="U19" s="773">
        <f t="shared" si="3"/>
        <v>2283.0434613225439</v>
      </c>
      <c r="V19" s="773">
        <f t="shared" si="3"/>
        <v>60467.543946311816</v>
      </c>
      <c r="W19" s="773">
        <f t="shared" si="3"/>
        <v>90.029335500000002</v>
      </c>
      <c r="X19" s="773">
        <f t="shared" si="3"/>
        <v>816.04300000000001</v>
      </c>
      <c r="Y19" s="773">
        <f t="shared" si="3"/>
        <v>195.45099999999999</v>
      </c>
      <c r="Z19" s="773">
        <f t="shared" si="3"/>
        <v>703.47</v>
      </c>
      <c r="AA19" s="773">
        <f t="shared" si="3"/>
        <v>79.492015594931999</v>
      </c>
      <c r="AB19" s="773">
        <f t="shared" si="3"/>
        <v>0</v>
      </c>
      <c r="AC19" s="774">
        <f t="shared" si="0"/>
        <v>272331.10365984333</v>
      </c>
      <c r="AD19" s="790"/>
      <c r="AE19" s="791"/>
    </row>
    <row r="20" spans="1:33">
      <c r="A20" s="794" t="s">
        <v>13</v>
      </c>
      <c r="B20" s="799" t="s">
        <v>283</v>
      </c>
      <c r="C20" s="775">
        <f>SUM(C21:C27)</f>
        <v>0</v>
      </c>
      <c r="D20" s="775">
        <f t="shared" ref="D20:AB20" si="4">SUM(D21:D27)</f>
        <v>2854.0025196758079</v>
      </c>
      <c r="E20" s="775">
        <f t="shared" si="4"/>
        <v>0</v>
      </c>
      <c r="F20" s="775">
        <f t="shared" si="4"/>
        <v>0</v>
      </c>
      <c r="G20" s="775">
        <f t="shared" si="4"/>
        <v>0</v>
      </c>
      <c r="H20" s="775">
        <f t="shared" si="4"/>
        <v>0</v>
      </c>
      <c r="I20" s="775">
        <f t="shared" si="4"/>
        <v>0</v>
      </c>
      <c r="J20" s="775">
        <f t="shared" si="4"/>
        <v>0</v>
      </c>
      <c r="K20" s="775">
        <f t="shared" si="4"/>
        <v>0.84760754399999994</v>
      </c>
      <c r="L20" s="775">
        <f t="shared" si="4"/>
        <v>34.010686499999998</v>
      </c>
      <c r="M20" s="775">
        <f t="shared" si="4"/>
        <v>0</v>
      </c>
      <c r="N20" s="775">
        <f t="shared" si="4"/>
        <v>5.0978969999999997E-3</v>
      </c>
      <c r="O20" s="775">
        <f t="shared" si="4"/>
        <v>153.4840351</v>
      </c>
      <c r="P20" s="775">
        <f t="shared" si="4"/>
        <v>0</v>
      </c>
      <c r="Q20" s="775">
        <f t="shared" si="4"/>
        <v>0.20589389999999999</v>
      </c>
      <c r="R20" s="775">
        <f t="shared" si="4"/>
        <v>1344.0961925500001</v>
      </c>
      <c r="S20" s="775">
        <f t="shared" si="4"/>
        <v>1.4761283207119327</v>
      </c>
      <c r="T20" s="775">
        <f t="shared" si="4"/>
        <v>0</v>
      </c>
      <c r="U20" s="775">
        <f t="shared" si="4"/>
        <v>671.564134308544</v>
      </c>
      <c r="V20" s="775">
        <f t="shared" si="4"/>
        <v>3295.6753486855478</v>
      </c>
      <c r="W20" s="775">
        <f t="shared" si="4"/>
        <v>0</v>
      </c>
      <c r="X20" s="775">
        <f t="shared" si="4"/>
        <v>234.893</v>
      </c>
      <c r="Y20" s="775">
        <f t="shared" si="4"/>
        <v>195.45099999999999</v>
      </c>
      <c r="Z20" s="775">
        <f t="shared" si="4"/>
        <v>552.47</v>
      </c>
      <c r="AA20" s="775">
        <f t="shared" si="4"/>
        <v>0.25969270293200003</v>
      </c>
      <c r="AB20" s="775">
        <f t="shared" si="4"/>
        <v>0</v>
      </c>
      <c r="AC20" s="776">
        <f t="shared" si="0"/>
        <v>9338.4413371845421</v>
      </c>
      <c r="AD20" s="790"/>
      <c r="AE20" s="791"/>
    </row>
    <row r="21" spans="1:33" ht="15" customHeight="1">
      <c r="A21" s="794"/>
      <c r="B21" s="789" t="s">
        <v>63</v>
      </c>
      <c r="C21" s="769">
        <v>0</v>
      </c>
      <c r="D21" s="769">
        <v>0</v>
      </c>
      <c r="E21" s="769">
        <v>0</v>
      </c>
      <c r="F21" s="769">
        <v>0</v>
      </c>
      <c r="G21" s="769">
        <v>0</v>
      </c>
      <c r="H21" s="769">
        <v>0</v>
      </c>
      <c r="I21" s="769">
        <v>0</v>
      </c>
      <c r="J21" s="769">
        <v>0</v>
      </c>
      <c r="K21" s="771">
        <v>0.84760754399999994</v>
      </c>
      <c r="L21" s="769">
        <v>0</v>
      </c>
      <c r="M21" s="769">
        <v>0</v>
      </c>
      <c r="N21" s="769">
        <v>0</v>
      </c>
      <c r="O21" s="769">
        <v>4.0790673000000002</v>
      </c>
      <c r="P21" s="769">
        <v>0</v>
      </c>
      <c r="Q21" s="769">
        <v>0</v>
      </c>
      <c r="R21" s="769">
        <v>0</v>
      </c>
      <c r="S21" s="769">
        <v>0</v>
      </c>
      <c r="T21" s="769">
        <v>0</v>
      </c>
      <c r="U21" s="769">
        <v>0</v>
      </c>
      <c r="V21" s="769">
        <v>2.44039362</v>
      </c>
      <c r="W21" s="769">
        <v>0</v>
      </c>
      <c r="X21" s="769">
        <v>0</v>
      </c>
      <c r="Y21" s="769">
        <v>0</v>
      </c>
      <c r="Z21" s="769">
        <v>0</v>
      </c>
      <c r="AA21" s="769">
        <v>0</v>
      </c>
      <c r="AB21" s="769">
        <v>0</v>
      </c>
      <c r="AC21" s="770">
        <f t="shared" si="0"/>
        <v>7.3670684639999999</v>
      </c>
      <c r="AD21" s="790"/>
      <c r="AE21" s="791"/>
    </row>
    <row r="22" spans="1:33">
      <c r="A22" s="794"/>
      <c r="B22" s="789" t="s">
        <v>126</v>
      </c>
      <c r="C22" s="769">
        <v>0</v>
      </c>
      <c r="D22" s="769">
        <v>0</v>
      </c>
      <c r="E22" s="769">
        <v>0</v>
      </c>
      <c r="F22" s="769">
        <v>0</v>
      </c>
      <c r="G22" s="769">
        <v>0</v>
      </c>
      <c r="H22" s="769">
        <v>0</v>
      </c>
      <c r="I22" s="769">
        <v>0</v>
      </c>
      <c r="J22" s="769">
        <v>0</v>
      </c>
      <c r="K22" s="769">
        <v>0</v>
      </c>
      <c r="L22" s="769">
        <v>0</v>
      </c>
      <c r="M22" s="769">
        <v>0</v>
      </c>
      <c r="N22" s="769">
        <v>0</v>
      </c>
      <c r="O22" s="769">
        <v>0</v>
      </c>
      <c r="P22" s="769">
        <v>0</v>
      </c>
      <c r="Q22" s="769">
        <v>0</v>
      </c>
      <c r="R22" s="769">
        <v>0</v>
      </c>
      <c r="S22" s="769">
        <v>0</v>
      </c>
      <c r="T22" s="769">
        <v>0</v>
      </c>
      <c r="U22" s="769">
        <v>0</v>
      </c>
      <c r="V22" s="769">
        <v>2742.6122376837475</v>
      </c>
      <c r="W22" s="769">
        <v>0</v>
      </c>
      <c r="X22" s="769">
        <v>0</v>
      </c>
      <c r="Y22" s="769">
        <v>0</v>
      </c>
      <c r="Z22" s="769">
        <v>0</v>
      </c>
      <c r="AA22" s="769">
        <v>0</v>
      </c>
      <c r="AB22" s="769">
        <v>0</v>
      </c>
      <c r="AC22" s="770">
        <f t="shared" si="0"/>
        <v>2742.6122376837475</v>
      </c>
      <c r="AD22" s="790"/>
      <c r="AE22" s="791"/>
    </row>
    <row r="23" spans="1:33">
      <c r="A23" s="794"/>
      <c r="B23" s="789" t="s">
        <v>450</v>
      </c>
      <c r="C23" s="769">
        <v>0</v>
      </c>
      <c r="D23" s="769">
        <v>0</v>
      </c>
      <c r="E23" s="769">
        <v>0</v>
      </c>
      <c r="F23" s="769">
        <v>0</v>
      </c>
      <c r="G23" s="769">
        <v>0</v>
      </c>
      <c r="H23" s="769">
        <v>0</v>
      </c>
      <c r="I23" s="769">
        <v>0</v>
      </c>
      <c r="J23" s="769">
        <v>0</v>
      </c>
      <c r="K23" s="769">
        <v>0</v>
      </c>
      <c r="L23" s="769">
        <v>0</v>
      </c>
      <c r="M23" s="769">
        <v>0</v>
      </c>
      <c r="N23" s="769">
        <v>0</v>
      </c>
      <c r="O23" s="769">
        <v>0</v>
      </c>
      <c r="P23" s="769">
        <v>0</v>
      </c>
      <c r="Q23" s="769">
        <v>0</v>
      </c>
      <c r="R23" s="769">
        <v>0</v>
      </c>
      <c r="S23" s="769">
        <v>0</v>
      </c>
      <c r="T23" s="769">
        <v>0</v>
      </c>
      <c r="U23" s="769">
        <v>0</v>
      </c>
      <c r="V23" s="769">
        <v>0</v>
      </c>
      <c r="W23" s="769">
        <v>0</v>
      </c>
      <c r="X23" s="769">
        <v>112.749</v>
      </c>
      <c r="Y23" s="769">
        <v>0</v>
      </c>
      <c r="Z23" s="769">
        <v>290.15300000000002</v>
      </c>
      <c r="AA23" s="769">
        <v>0</v>
      </c>
      <c r="AB23" s="769">
        <v>0</v>
      </c>
      <c r="AC23" s="770">
        <f t="shared" si="0"/>
        <v>402.90200000000004</v>
      </c>
      <c r="AD23" s="790"/>
      <c r="AE23" s="791"/>
    </row>
    <row r="24" spans="1:33">
      <c r="A24" s="794"/>
      <c r="B24" s="789" t="s">
        <v>451</v>
      </c>
      <c r="C24" s="769">
        <v>0</v>
      </c>
      <c r="D24" s="769">
        <v>23.247</v>
      </c>
      <c r="E24" s="769">
        <v>0</v>
      </c>
      <c r="F24" s="769">
        <v>0</v>
      </c>
      <c r="G24" s="769">
        <v>0</v>
      </c>
      <c r="H24" s="769">
        <v>0</v>
      </c>
      <c r="I24" s="769">
        <v>0</v>
      </c>
      <c r="J24" s="769">
        <v>0</v>
      </c>
      <c r="K24" s="769">
        <v>0</v>
      </c>
      <c r="L24" s="769">
        <v>34.010686499999998</v>
      </c>
      <c r="M24" s="769">
        <v>0</v>
      </c>
      <c r="N24" s="769">
        <v>5.0978969999999997E-3</v>
      </c>
      <c r="O24" s="769">
        <v>1.8307905000000002</v>
      </c>
      <c r="P24" s="769">
        <v>0</v>
      </c>
      <c r="Q24" s="769">
        <v>0</v>
      </c>
      <c r="R24" s="769">
        <v>0</v>
      </c>
      <c r="S24" s="769">
        <v>0</v>
      </c>
      <c r="T24" s="769">
        <v>0</v>
      </c>
      <c r="U24" s="769">
        <v>0</v>
      </c>
      <c r="V24" s="769">
        <v>0</v>
      </c>
      <c r="W24" s="769">
        <v>0</v>
      </c>
      <c r="X24" s="769">
        <v>122.14400000000001</v>
      </c>
      <c r="Y24" s="769">
        <v>195.45099999999999</v>
      </c>
      <c r="Z24" s="769">
        <v>262.31700000000001</v>
      </c>
      <c r="AA24" s="769">
        <v>0</v>
      </c>
      <c r="AB24" s="769">
        <v>0</v>
      </c>
      <c r="AC24" s="770">
        <f t="shared" si="0"/>
        <v>639.00557489699997</v>
      </c>
      <c r="AD24" s="790"/>
      <c r="AE24" s="791"/>
    </row>
    <row r="25" spans="1:33">
      <c r="A25" s="794"/>
      <c r="B25" s="789" t="s">
        <v>282</v>
      </c>
      <c r="C25" s="769">
        <v>0</v>
      </c>
      <c r="D25" s="769">
        <v>0</v>
      </c>
      <c r="E25" s="769">
        <v>0</v>
      </c>
      <c r="F25" s="769">
        <v>0</v>
      </c>
      <c r="G25" s="769">
        <v>0</v>
      </c>
      <c r="H25" s="769">
        <v>0</v>
      </c>
      <c r="I25" s="769">
        <v>0</v>
      </c>
      <c r="J25" s="769">
        <v>0</v>
      </c>
      <c r="K25" s="769">
        <v>0</v>
      </c>
      <c r="L25" s="769">
        <v>0</v>
      </c>
      <c r="M25" s="769">
        <v>0</v>
      </c>
      <c r="N25" s="769">
        <v>0</v>
      </c>
      <c r="O25" s="769">
        <v>6.2072999999999998E-3</v>
      </c>
      <c r="P25" s="769">
        <v>0</v>
      </c>
      <c r="Q25" s="769">
        <v>0</v>
      </c>
      <c r="R25" s="769">
        <v>0</v>
      </c>
      <c r="S25" s="769">
        <v>0</v>
      </c>
      <c r="T25" s="769">
        <v>0</v>
      </c>
      <c r="U25" s="769">
        <v>0</v>
      </c>
      <c r="V25" s="769">
        <v>0</v>
      </c>
      <c r="W25" s="769">
        <v>0</v>
      </c>
      <c r="X25" s="769">
        <v>0</v>
      </c>
      <c r="Y25" s="769">
        <v>0</v>
      </c>
      <c r="Z25" s="769">
        <v>0</v>
      </c>
      <c r="AA25" s="769">
        <v>0.25969270293200003</v>
      </c>
      <c r="AB25" s="769">
        <v>0</v>
      </c>
      <c r="AC25" s="770">
        <f t="shared" si="0"/>
        <v>0.26590000293200006</v>
      </c>
      <c r="AD25" s="790"/>
      <c r="AE25" s="791"/>
    </row>
    <row r="26" spans="1:33">
      <c r="A26" s="794"/>
      <c r="B26" s="789" t="s">
        <v>632</v>
      </c>
      <c r="C26" s="769">
        <v>0</v>
      </c>
      <c r="D26" s="769">
        <v>2146.183672875808</v>
      </c>
      <c r="E26" s="769">
        <v>0</v>
      </c>
      <c r="F26" s="769">
        <v>0</v>
      </c>
      <c r="G26" s="769">
        <v>0</v>
      </c>
      <c r="H26" s="769">
        <v>0</v>
      </c>
      <c r="I26" s="769">
        <v>0</v>
      </c>
      <c r="J26" s="769">
        <v>0</v>
      </c>
      <c r="K26" s="769">
        <v>0</v>
      </c>
      <c r="L26" s="769">
        <v>0</v>
      </c>
      <c r="M26" s="769">
        <v>0</v>
      </c>
      <c r="N26" s="769">
        <v>0</v>
      </c>
      <c r="O26" s="769">
        <v>147.56797</v>
      </c>
      <c r="P26" s="769">
        <v>0</v>
      </c>
      <c r="Q26" s="769">
        <v>0.20589389999999999</v>
      </c>
      <c r="R26" s="769">
        <v>1344.0961925500001</v>
      </c>
      <c r="S26" s="769">
        <v>1.4761283207119327</v>
      </c>
      <c r="T26" s="769">
        <v>0</v>
      </c>
      <c r="U26" s="769">
        <v>671.564134308544</v>
      </c>
      <c r="V26" s="769">
        <v>537.69175738180002</v>
      </c>
      <c r="W26" s="769">
        <v>0</v>
      </c>
      <c r="X26" s="769">
        <v>0</v>
      </c>
      <c r="Y26" s="769">
        <v>0</v>
      </c>
      <c r="Z26" s="769">
        <v>0</v>
      </c>
      <c r="AA26" s="769">
        <v>0</v>
      </c>
      <c r="AB26" s="769">
        <v>0</v>
      </c>
      <c r="AC26" s="770">
        <f t="shared" si="0"/>
        <v>4848.7857493368638</v>
      </c>
      <c r="AD26" s="790"/>
      <c r="AE26" s="791"/>
    </row>
    <row r="27" spans="1:33">
      <c r="A27" s="794"/>
      <c r="B27" s="789" t="s">
        <v>453</v>
      </c>
      <c r="C27" s="769">
        <v>0</v>
      </c>
      <c r="D27" s="769">
        <v>684.5718468</v>
      </c>
      <c r="E27" s="769">
        <v>0</v>
      </c>
      <c r="F27" s="769">
        <v>0</v>
      </c>
      <c r="G27" s="769">
        <v>0</v>
      </c>
      <c r="H27" s="769">
        <v>0</v>
      </c>
      <c r="I27" s="769">
        <v>0</v>
      </c>
      <c r="J27" s="769">
        <v>0</v>
      </c>
      <c r="K27" s="769">
        <v>0</v>
      </c>
      <c r="L27" s="769">
        <v>0</v>
      </c>
      <c r="M27" s="769">
        <v>0</v>
      </c>
      <c r="N27" s="769">
        <v>0</v>
      </c>
      <c r="O27" s="769">
        <v>0</v>
      </c>
      <c r="P27" s="769">
        <v>0</v>
      </c>
      <c r="Q27" s="769">
        <v>0</v>
      </c>
      <c r="R27" s="769">
        <v>0</v>
      </c>
      <c r="S27" s="769">
        <v>0</v>
      </c>
      <c r="T27" s="769">
        <v>0</v>
      </c>
      <c r="U27" s="769">
        <v>0</v>
      </c>
      <c r="V27" s="769">
        <v>12.930960000000001</v>
      </c>
      <c r="W27" s="769">
        <v>0</v>
      </c>
      <c r="X27" s="769">
        <v>0</v>
      </c>
      <c r="Y27" s="769">
        <v>0</v>
      </c>
      <c r="Z27" s="769">
        <v>0</v>
      </c>
      <c r="AA27" s="769">
        <v>0</v>
      </c>
      <c r="AB27" s="769">
        <v>0</v>
      </c>
      <c r="AC27" s="770">
        <f t="shared" si="0"/>
        <v>697.50280680000003</v>
      </c>
      <c r="AD27" s="790"/>
      <c r="AE27" s="791"/>
    </row>
    <row r="28" spans="1:33">
      <c r="A28" s="794"/>
      <c r="B28" s="799" t="s">
        <v>284</v>
      </c>
      <c r="C28" s="775">
        <f>SUM(C29:C39)</f>
        <v>0</v>
      </c>
      <c r="D28" s="775">
        <f t="shared" ref="D28:AB28" si="5">SUM(D29:D39)</f>
        <v>7923.3903045652951</v>
      </c>
      <c r="E28" s="775">
        <f t="shared" si="5"/>
        <v>2671.6472341317099</v>
      </c>
      <c r="F28" s="775">
        <f t="shared" si="5"/>
        <v>19428.873731196778</v>
      </c>
      <c r="G28" s="775">
        <f t="shared" si="5"/>
        <v>0</v>
      </c>
      <c r="H28" s="775">
        <f t="shared" si="5"/>
        <v>0</v>
      </c>
      <c r="I28" s="775">
        <f t="shared" si="5"/>
        <v>0</v>
      </c>
      <c r="J28" s="775">
        <f t="shared" si="5"/>
        <v>0</v>
      </c>
      <c r="K28" s="775">
        <f t="shared" si="5"/>
        <v>31374.110353450291</v>
      </c>
      <c r="L28" s="775">
        <f t="shared" si="5"/>
        <v>5670.0088918405727</v>
      </c>
      <c r="M28" s="775">
        <f t="shared" si="5"/>
        <v>0</v>
      </c>
      <c r="N28" s="775">
        <f t="shared" si="5"/>
        <v>158.45451064412978</v>
      </c>
      <c r="O28" s="775">
        <f t="shared" si="5"/>
        <v>3166.2744507126408</v>
      </c>
      <c r="P28" s="775">
        <f t="shared" si="5"/>
        <v>7.9400999999999993</v>
      </c>
      <c r="Q28" s="775">
        <f t="shared" si="5"/>
        <v>703.84270227995785</v>
      </c>
      <c r="R28" s="775">
        <f t="shared" si="5"/>
        <v>0</v>
      </c>
      <c r="S28" s="775">
        <f t="shared" si="5"/>
        <v>0</v>
      </c>
      <c r="T28" s="775">
        <f t="shared" si="5"/>
        <v>2126.463976</v>
      </c>
      <c r="U28" s="775">
        <f t="shared" si="5"/>
        <v>0</v>
      </c>
      <c r="V28" s="775">
        <f t="shared" si="5"/>
        <v>35983.882592985203</v>
      </c>
      <c r="W28" s="775">
        <f t="shared" si="5"/>
        <v>90.029335500000002</v>
      </c>
      <c r="X28" s="775">
        <f t="shared" si="5"/>
        <v>581.15</v>
      </c>
      <c r="Y28" s="775">
        <f t="shared" si="5"/>
        <v>0</v>
      </c>
      <c r="Z28" s="775">
        <f t="shared" si="5"/>
        <v>151</v>
      </c>
      <c r="AA28" s="775">
        <f t="shared" si="5"/>
        <v>1.145864292</v>
      </c>
      <c r="AB28" s="775">
        <f t="shared" si="5"/>
        <v>0</v>
      </c>
      <c r="AC28" s="776">
        <f t="shared" si="0"/>
        <v>110038.21404759859</v>
      </c>
      <c r="AD28" s="790"/>
      <c r="AE28" s="791"/>
    </row>
    <row r="29" spans="1:33">
      <c r="A29" s="794"/>
      <c r="B29" s="800" t="s">
        <v>48</v>
      </c>
      <c r="C29" s="769">
        <v>0</v>
      </c>
      <c r="D29" s="769">
        <v>947.17720216892417</v>
      </c>
      <c r="E29" s="769">
        <v>0.11522</v>
      </c>
      <c r="F29" s="769">
        <v>0</v>
      </c>
      <c r="G29" s="769">
        <v>0</v>
      </c>
      <c r="H29" s="769">
        <v>0</v>
      </c>
      <c r="I29" s="769">
        <v>0</v>
      </c>
      <c r="J29" s="769">
        <v>0</v>
      </c>
      <c r="K29" s="769">
        <v>16360.796147313893</v>
      </c>
      <c r="L29" s="769">
        <v>1094.986977</v>
      </c>
      <c r="M29" s="769">
        <v>0</v>
      </c>
      <c r="N29" s="769">
        <v>71.108794026000012</v>
      </c>
      <c r="O29" s="769">
        <v>33.964693466</v>
      </c>
      <c r="P29" s="769">
        <v>0</v>
      </c>
      <c r="Q29" s="769">
        <v>0</v>
      </c>
      <c r="R29" s="769">
        <v>0</v>
      </c>
      <c r="S29" s="769">
        <v>0</v>
      </c>
      <c r="T29" s="769">
        <v>8.9579699999999995</v>
      </c>
      <c r="U29" s="769">
        <v>0</v>
      </c>
      <c r="V29" s="769">
        <v>19323.835112407916</v>
      </c>
      <c r="W29" s="769">
        <v>37.385999999999996</v>
      </c>
      <c r="X29" s="769">
        <v>0</v>
      </c>
      <c r="Y29" s="769">
        <v>0</v>
      </c>
      <c r="Z29" s="769">
        <v>0</v>
      </c>
      <c r="AA29" s="769">
        <v>0</v>
      </c>
      <c r="AB29" s="769">
        <v>0</v>
      </c>
      <c r="AC29" s="770">
        <f t="shared" si="0"/>
        <v>37878.328116382734</v>
      </c>
      <c r="AD29" s="790"/>
      <c r="AE29" s="791"/>
    </row>
    <row r="30" spans="1:33">
      <c r="A30" s="794"/>
      <c r="B30" s="800" t="s">
        <v>49</v>
      </c>
      <c r="C30" s="769">
        <v>0</v>
      </c>
      <c r="D30" s="769">
        <v>163.28589227799998</v>
      </c>
      <c r="E30" s="769">
        <v>0</v>
      </c>
      <c r="F30" s="769">
        <v>0</v>
      </c>
      <c r="G30" s="769">
        <v>0</v>
      </c>
      <c r="H30" s="769">
        <v>0</v>
      </c>
      <c r="I30" s="769">
        <v>0</v>
      </c>
      <c r="J30" s="769">
        <v>0</v>
      </c>
      <c r="K30" s="769">
        <v>762.18576302400004</v>
      </c>
      <c r="L30" s="769">
        <v>374.6748705</v>
      </c>
      <c r="M30" s="769">
        <v>0</v>
      </c>
      <c r="N30" s="769">
        <v>0</v>
      </c>
      <c r="O30" s="769">
        <v>0</v>
      </c>
      <c r="P30" s="769">
        <v>0</v>
      </c>
      <c r="Q30" s="769">
        <v>0</v>
      </c>
      <c r="R30" s="769">
        <v>0</v>
      </c>
      <c r="S30" s="769">
        <v>0</v>
      </c>
      <c r="T30" s="769">
        <v>0</v>
      </c>
      <c r="U30" s="769">
        <v>0</v>
      </c>
      <c r="V30" s="769">
        <v>319.79984166000003</v>
      </c>
      <c r="W30" s="769">
        <v>0</v>
      </c>
      <c r="X30" s="769">
        <v>0</v>
      </c>
      <c r="Y30" s="769">
        <v>0</v>
      </c>
      <c r="Z30" s="769">
        <v>0</v>
      </c>
      <c r="AA30" s="769">
        <v>0</v>
      </c>
      <c r="AB30" s="769">
        <v>0</v>
      </c>
      <c r="AC30" s="770">
        <f t="shared" si="0"/>
        <v>1619.9463674620001</v>
      </c>
      <c r="AD30" s="790"/>
      <c r="AE30" s="791"/>
    </row>
    <row r="31" spans="1:33">
      <c r="A31" s="794"/>
      <c r="B31" s="800" t="s">
        <v>50</v>
      </c>
      <c r="C31" s="769">
        <v>0</v>
      </c>
      <c r="D31" s="769">
        <v>0</v>
      </c>
      <c r="E31" s="769">
        <v>510.12173239999998</v>
      </c>
      <c r="F31" s="769">
        <v>0</v>
      </c>
      <c r="G31" s="769">
        <v>0</v>
      </c>
      <c r="H31" s="769">
        <v>0</v>
      </c>
      <c r="I31" s="769">
        <v>0</v>
      </c>
      <c r="J31" s="769">
        <v>0</v>
      </c>
      <c r="K31" s="769">
        <v>729.19916714399994</v>
      </c>
      <c r="L31" s="769">
        <v>44.574599999999997</v>
      </c>
      <c r="M31" s="769">
        <v>0</v>
      </c>
      <c r="N31" s="769">
        <v>0</v>
      </c>
      <c r="O31" s="769">
        <v>0</v>
      </c>
      <c r="P31" s="769">
        <v>0</v>
      </c>
      <c r="Q31" s="769">
        <v>0</v>
      </c>
      <c r="R31" s="769">
        <v>0</v>
      </c>
      <c r="S31" s="769">
        <v>0</v>
      </c>
      <c r="T31" s="769">
        <v>0</v>
      </c>
      <c r="U31" s="769">
        <v>0</v>
      </c>
      <c r="V31" s="769">
        <v>645.75078000000008</v>
      </c>
      <c r="W31" s="769">
        <v>0</v>
      </c>
      <c r="X31" s="769">
        <v>0</v>
      </c>
      <c r="Y31" s="769">
        <v>0</v>
      </c>
      <c r="Z31" s="769">
        <v>0</v>
      </c>
      <c r="AA31" s="769">
        <v>0</v>
      </c>
      <c r="AB31" s="769">
        <v>0</v>
      </c>
      <c r="AC31" s="770">
        <f t="shared" si="0"/>
        <v>1929.646279544</v>
      </c>
      <c r="AD31" s="790"/>
      <c r="AE31" s="791"/>
    </row>
    <row r="32" spans="1:33">
      <c r="A32" s="794"/>
      <c r="B32" s="800" t="s">
        <v>51</v>
      </c>
      <c r="C32" s="769">
        <v>0</v>
      </c>
      <c r="D32" s="769">
        <v>1018.121098660844</v>
      </c>
      <c r="E32" s="769">
        <v>0</v>
      </c>
      <c r="F32" s="769">
        <v>14733.231729713581</v>
      </c>
      <c r="G32" s="769">
        <v>0</v>
      </c>
      <c r="H32" s="769">
        <v>0</v>
      </c>
      <c r="I32" s="769">
        <v>0</v>
      </c>
      <c r="J32" s="769">
        <v>0</v>
      </c>
      <c r="K32" s="769">
        <v>17.991273933687495</v>
      </c>
      <c r="L32" s="769">
        <v>1920.6277359000176</v>
      </c>
      <c r="M32" s="769">
        <v>0</v>
      </c>
      <c r="N32" s="769">
        <v>4.2257700000000009E-2</v>
      </c>
      <c r="O32" s="769">
        <v>63.157701412234033</v>
      </c>
      <c r="P32" s="769">
        <v>0</v>
      </c>
      <c r="Q32" s="769">
        <v>0</v>
      </c>
      <c r="R32" s="769">
        <v>0</v>
      </c>
      <c r="S32" s="769">
        <v>0</v>
      </c>
      <c r="T32" s="769">
        <v>0</v>
      </c>
      <c r="U32" s="769">
        <v>0</v>
      </c>
      <c r="V32" s="769">
        <v>4123.9938990737201</v>
      </c>
      <c r="W32" s="769">
        <v>0</v>
      </c>
      <c r="X32" s="769">
        <v>0</v>
      </c>
      <c r="Y32" s="769">
        <v>0</v>
      </c>
      <c r="Z32" s="769">
        <v>0</v>
      </c>
      <c r="AA32" s="769">
        <v>0</v>
      </c>
      <c r="AB32" s="769">
        <v>0</v>
      </c>
      <c r="AC32" s="770">
        <f t="shared" si="0"/>
        <v>21877.165696394084</v>
      </c>
      <c r="AD32" s="790"/>
      <c r="AE32" s="791"/>
    </row>
    <row r="33" spans="1:31">
      <c r="A33" s="794"/>
      <c r="B33" s="800" t="s">
        <v>52</v>
      </c>
      <c r="C33" s="769">
        <v>0</v>
      </c>
      <c r="D33" s="769">
        <v>345.61700000000002</v>
      </c>
      <c r="E33" s="769">
        <v>0</v>
      </c>
      <c r="F33" s="769">
        <v>0</v>
      </c>
      <c r="G33" s="769">
        <v>0</v>
      </c>
      <c r="H33" s="769">
        <v>0</v>
      </c>
      <c r="I33" s="769">
        <v>0</v>
      </c>
      <c r="J33" s="769">
        <v>0</v>
      </c>
      <c r="K33" s="769">
        <v>0.73248000000000002</v>
      </c>
      <c r="L33" s="769">
        <v>0</v>
      </c>
      <c r="M33" s="769">
        <v>0</v>
      </c>
      <c r="N33" s="769">
        <v>0</v>
      </c>
      <c r="O33" s="769">
        <v>28.462830000000004</v>
      </c>
      <c r="P33" s="769">
        <v>0</v>
      </c>
      <c r="Q33" s="769">
        <v>0</v>
      </c>
      <c r="R33" s="769">
        <v>0</v>
      </c>
      <c r="S33" s="769">
        <v>0</v>
      </c>
      <c r="T33" s="769">
        <v>0</v>
      </c>
      <c r="U33" s="769">
        <v>0</v>
      </c>
      <c r="V33" s="769">
        <v>321.91761573999997</v>
      </c>
      <c r="W33" s="769">
        <v>0</v>
      </c>
      <c r="X33" s="769">
        <v>581.15</v>
      </c>
      <c r="Y33" s="769">
        <v>0</v>
      </c>
      <c r="Z33" s="769">
        <v>151</v>
      </c>
      <c r="AA33" s="769">
        <v>0</v>
      </c>
      <c r="AB33" s="769">
        <v>0</v>
      </c>
      <c r="AC33" s="770">
        <f t="shared" si="0"/>
        <v>1428.8799257400001</v>
      </c>
      <c r="AD33" s="790"/>
      <c r="AE33" s="791"/>
    </row>
    <row r="34" spans="1:31">
      <c r="A34" s="794"/>
      <c r="B34" s="800" t="s">
        <v>53</v>
      </c>
      <c r="C34" s="769">
        <v>0</v>
      </c>
      <c r="D34" s="769">
        <v>0</v>
      </c>
      <c r="E34" s="769">
        <v>0</v>
      </c>
      <c r="F34" s="769">
        <v>0</v>
      </c>
      <c r="G34" s="769">
        <v>0</v>
      </c>
      <c r="H34" s="769">
        <v>0</v>
      </c>
      <c r="I34" s="769">
        <v>0</v>
      </c>
      <c r="J34" s="769">
        <v>0</v>
      </c>
      <c r="K34" s="769">
        <v>0</v>
      </c>
      <c r="L34" s="769">
        <v>0</v>
      </c>
      <c r="M34" s="769">
        <v>0</v>
      </c>
      <c r="N34" s="769">
        <v>0</v>
      </c>
      <c r="O34" s="769">
        <v>39.171249128422701</v>
      </c>
      <c r="P34" s="769">
        <v>0</v>
      </c>
      <c r="Q34" s="769">
        <v>0</v>
      </c>
      <c r="R34" s="769">
        <v>0</v>
      </c>
      <c r="S34" s="769">
        <v>0</v>
      </c>
      <c r="T34" s="769">
        <v>0</v>
      </c>
      <c r="U34" s="769">
        <v>0</v>
      </c>
      <c r="V34" s="769">
        <v>31.82516</v>
      </c>
      <c r="W34" s="769">
        <v>0</v>
      </c>
      <c r="X34" s="769">
        <v>0</v>
      </c>
      <c r="Y34" s="769">
        <v>0</v>
      </c>
      <c r="Z34" s="769">
        <v>0</v>
      </c>
      <c r="AA34" s="769">
        <v>0</v>
      </c>
      <c r="AB34" s="769">
        <v>0</v>
      </c>
      <c r="AC34" s="770">
        <f t="shared" si="0"/>
        <v>70.996409128422698</v>
      </c>
      <c r="AD34" s="790"/>
      <c r="AE34" s="791"/>
    </row>
    <row r="35" spans="1:31">
      <c r="A35" s="794"/>
      <c r="B35" s="800" t="s">
        <v>54</v>
      </c>
      <c r="C35" s="769">
        <v>0</v>
      </c>
      <c r="D35" s="769">
        <v>104.858198479002</v>
      </c>
      <c r="E35" s="769">
        <v>6.9355000000000002</v>
      </c>
      <c r="F35" s="769">
        <v>135.58374480519481</v>
      </c>
      <c r="G35" s="769">
        <v>0</v>
      </c>
      <c r="H35" s="769">
        <v>0</v>
      </c>
      <c r="I35" s="769">
        <v>0</v>
      </c>
      <c r="J35" s="769">
        <v>0</v>
      </c>
      <c r="K35" s="769">
        <v>60.354986012000005</v>
      </c>
      <c r="L35" s="769">
        <v>0</v>
      </c>
      <c r="M35" s="769">
        <v>0</v>
      </c>
      <c r="N35" s="769">
        <v>6.2253684000000011E-2</v>
      </c>
      <c r="O35" s="769">
        <v>12.312693800000002</v>
      </c>
      <c r="P35" s="769">
        <v>0</v>
      </c>
      <c r="Q35" s="769">
        <v>0</v>
      </c>
      <c r="R35" s="769">
        <v>0</v>
      </c>
      <c r="S35" s="769">
        <v>0</v>
      </c>
      <c r="T35" s="769">
        <v>2018.7614369999999</v>
      </c>
      <c r="U35" s="769">
        <v>0</v>
      </c>
      <c r="V35" s="769">
        <v>404.99199528349783</v>
      </c>
      <c r="W35" s="769">
        <v>0</v>
      </c>
      <c r="X35" s="769">
        <v>0</v>
      </c>
      <c r="Y35" s="769">
        <v>0</v>
      </c>
      <c r="Z35" s="769">
        <v>0</v>
      </c>
      <c r="AA35" s="769">
        <v>0</v>
      </c>
      <c r="AB35" s="769">
        <v>0</v>
      </c>
      <c r="AC35" s="770">
        <f t="shared" si="0"/>
        <v>2743.8608090636944</v>
      </c>
      <c r="AD35" s="790"/>
      <c r="AE35" s="791"/>
    </row>
    <row r="36" spans="1:31">
      <c r="A36" s="794"/>
      <c r="B36" s="800" t="s">
        <v>55</v>
      </c>
      <c r="C36" s="769">
        <v>0</v>
      </c>
      <c r="D36" s="769">
        <v>8.5211316961649999</v>
      </c>
      <c r="E36" s="769">
        <v>713.51429099999996</v>
      </c>
      <c r="F36" s="769">
        <v>0</v>
      </c>
      <c r="G36" s="769">
        <v>0</v>
      </c>
      <c r="H36" s="769">
        <v>0</v>
      </c>
      <c r="I36" s="769">
        <v>0</v>
      </c>
      <c r="J36" s="769">
        <v>0</v>
      </c>
      <c r="K36" s="769">
        <v>4.2049378643999997</v>
      </c>
      <c r="L36" s="769">
        <v>6.0140954999999998</v>
      </c>
      <c r="M36" s="769">
        <v>0</v>
      </c>
      <c r="N36" s="769">
        <v>0</v>
      </c>
      <c r="O36" s="769">
        <v>3.3593707950000002</v>
      </c>
      <c r="P36" s="769">
        <v>0</v>
      </c>
      <c r="Q36" s="769">
        <v>0</v>
      </c>
      <c r="R36" s="769">
        <v>0</v>
      </c>
      <c r="S36" s="769">
        <v>0</v>
      </c>
      <c r="T36" s="769">
        <v>0</v>
      </c>
      <c r="U36" s="769">
        <v>0</v>
      </c>
      <c r="V36" s="769">
        <v>15.948823840000001</v>
      </c>
      <c r="W36" s="769">
        <v>41.599750499999999</v>
      </c>
      <c r="X36" s="769">
        <v>0</v>
      </c>
      <c r="Y36" s="769">
        <v>0</v>
      </c>
      <c r="Z36" s="769">
        <v>0</v>
      </c>
      <c r="AA36" s="769">
        <v>2.08116E-4</v>
      </c>
      <c r="AB36" s="769">
        <v>0</v>
      </c>
      <c r="AC36" s="770">
        <f t="shared" si="0"/>
        <v>793.16260931156501</v>
      </c>
      <c r="AD36" s="790"/>
      <c r="AE36" s="791"/>
    </row>
    <row r="37" spans="1:31">
      <c r="A37" s="794"/>
      <c r="B37" s="800" t="s">
        <v>56</v>
      </c>
      <c r="C37" s="769">
        <v>0</v>
      </c>
      <c r="D37" s="769">
        <v>43.563235262830005</v>
      </c>
      <c r="E37" s="769">
        <v>2.1235490000000001</v>
      </c>
      <c r="F37" s="769">
        <v>0</v>
      </c>
      <c r="G37" s="769">
        <v>0</v>
      </c>
      <c r="H37" s="769">
        <v>0</v>
      </c>
      <c r="I37" s="769">
        <v>0</v>
      </c>
      <c r="J37" s="769">
        <v>0</v>
      </c>
      <c r="K37" s="769">
        <v>1443.0204370755594</v>
      </c>
      <c r="L37" s="769">
        <v>577.62600000000009</v>
      </c>
      <c r="M37" s="769">
        <v>0</v>
      </c>
      <c r="N37" s="769">
        <v>0</v>
      </c>
      <c r="O37" s="769">
        <v>99.879398817000023</v>
      </c>
      <c r="P37" s="769">
        <v>0</v>
      </c>
      <c r="Q37" s="769">
        <v>0.25174800000000003</v>
      </c>
      <c r="R37" s="769">
        <v>0</v>
      </c>
      <c r="S37" s="769">
        <v>0</v>
      </c>
      <c r="T37" s="769">
        <v>0</v>
      </c>
      <c r="U37" s="769">
        <v>0</v>
      </c>
      <c r="V37" s="769">
        <v>89.672853599999996</v>
      </c>
      <c r="W37" s="769">
        <v>0</v>
      </c>
      <c r="X37" s="769">
        <v>0</v>
      </c>
      <c r="Y37" s="769">
        <v>0</v>
      </c>
      <c r="Z37" s="769">
        <v>0</v>
      </c>
      <c r="AA37" s="769">
        <v>3.0036000000000006E-4</v>
      </c>
      <c r="AB37" s="769">
        <v>0</v>
      </c>
      <c r="AC37" s="770">
        <f t="shared" si="0"/>
        <v>2256.1375221153899</v>
      </c>
      <c r="AD37" s="790"/>
      <c r="AE37" s="791"/>
    </row>
    <row r="38" spans="1:31">
      <c r="A38" s="794"/>
      <c r="B38" s="800" t="s">
        <v>57</v>
      </c>
      <c r="C38" s="769">
        <v>0</v>
      </c>
      <c r="D38" s="769">
        <v>4470.6375332459193</v>
      </c>
      <c r="E38" s="769">
        <v>1438.8369417317099</v>
      </c>
      <c r="F38" s="769">
        <v>4550.8636846780009</v>
      </c>
      <c r="G38" s="769">
        <v>0</v>
      </c>
      <c r="H38" s="769">
        <v>0</v>
      </c>
      <c r="I38" s="769">
        <v>0</v>
      </c>
      <c r="J38" s="769">
        <v>0</v>
      </c>
      <c r="K38" s="769">
        <v>7689.9333262701521</v>
      </c>
      <c r="L38" s="769">
        <v>1488.9330604405552</v>
      </c>
      <c r="M38" s="769">
        <v>0</v>
      </c>
      <c r="N38" s="769">
        <v>74.869589234129805</v>
      </c>
      <c r="O38" s="769">
        <v>2875.2699620439839</v>
      </c>
      <c r="P38" s="769">
        <v>7.9400999999999993</v>
      </c>
      <c r="Q38" s="769">
        <v>603.11652927995783</v>
      </c>
      <c r="R38" s="769">
        <v>0</v>
      </c>
      <c r="S38" s="769">
        <v>0</v>
      </c>
      <c r="T38" s="769">
        <v>98.744568999999998</v>
      </c>
      <c r="U38" s="769">
        <v>0</v>
      </c>
      <c r="V38" s="769">
        <v>9922.8583685170724</v>
      </c>
      <c r="W38" s="769">
        <v>11.043585</v>
      </c>
      <c r="X38" s="769">
        <v>0</v>
      </c>
      <c r="Y38" s="769">
        <v>0</v>
      </c>
      <c r="Z38" s="769">
        <v>0</v>
      </c>
      <c r="AA38" s="769">
        <v>1.1453558159999999</v>
      </c>
      <c r="AB38" s="769">
        <v>0</v>
      </c>
      <c r="AC38" s="770">
        <f t="shared" si="0"/>
        <v>33234.192605257478</v>
      </c>
      <c r="AD38" s="790"/>
      <c r="AE38" s="791"/>
    </row>
    <row r="39" spans="1:31">
      <c r="A39" s="794"/>
      <c r="B39" s="800" t="s">
        <v>58</v>
      </c>
      <c r="C39" s="769">
        <v>0</v>
      </c>
      <c r="D39" s="769">
        <v>821.60901277361074</v>
      </c>
      <c r="E39" s="769">
        <v>0</v>
      </c>
      <c r="F39" s="769">
        <v>9.1945720000000009</v>
      </c>
      <c r="G39" s="769">
        <v>0</v>
      </c>
      <c r="H39" s="769">
        <v>0</v>
      </c>
      <c r="I39" s="769">
        <v>0</v>
      </c>
      <c r="J39" s="769">
        <v>0</v>
      </c>
      <c r="K39" s="769">
        <v>4305.6918348125973</v>
      </c>
      <c r="L39" s="769">
        <v>162.57155249999997</v>
      </c>
      <c r="M39" s="769">
        <v>0</v>
      </c>
      <c r="N39" s="769">
        <v>12.371616</v>
      </c>
      <c r="O39" s="769">
        <v>10.696551249999999</v>
      </c>
      <c r="P39" s="769">
        <v>0</v>
      </c>
      <c r="Q39" s="769">
        <v>100.47442500000001</v>
      </c>
      <c r="R39" s="769">
        <v>0</v>
      </c>
      <c r="S39" s="769">
        <v>0</v>
      </c>
      <c r="T39" s="769">
        <v>0</v>
      </c>
      <c r="U39" s="769">
        <v>0</v>
      </c>
      <c r="V39" s="769">
        <v>783.28814286299985</v>
      </c>
      <c r="W39" s="769">
        <v>0</v>
      </c>
      <c r="X39" s="769">
        <v>0</v>
      </c>
      <c r="Y39" s="769">
        <v>0</v>
      </c>
      <c r="Z39" s="769">
        <v>0</v>
      </c>
      <c r="AA39" s="769">
        <v>0</v>
      </c>
      <c r="AB39" s="769">
        <v>0</v>
      </c>
      <c r="AC39" s="770">
        <f t="shared" si="0"/>
        <v>6205.8977071992085</v>
      </c>
      <c r="AD39" s="790"/>
      <c r="AE39" s="791"/>
    </row>
    <row r="40" spans="1:31">
      <c r="A40" s="794"/>
      <c r="B40" s="799" t="s">
        <v>285</v>
      </c>
      <c r="C40" s="775">
        <f>SUM(C41:C44)</f>
        <v>0</v>
      </c>
      <c r="D40" s="775">
        <f t="shared" ref="D40:AB40" si="6">SUM(D41:D44)</f>
        <v>296.69975599347998</v>
      </c>
      <c r="E40" s="775">
        <f t="shared" si="6"/>
        <v>0</v>
      </c>
      <c r="F40" s="775">
        <f t="shared" si="6"/>
        <v>0</v>
      </c>
      <c r="G40" s="775">
        <f t="shared" si="6"/>
        <v>0</v>
      </c>
      <c r="H40" s="775">
        <f t="shared" si="6"/>
        <v>0</v>
      </c>
      <c r="I40" s="775">
        <f t="shared" si="6"/>
        <v>0</v>
      </c>
      <c r="J40" s="775">
        <f t="shared" si="6"/>
        <v>0</v>
      </c>
      <c r="K40" s="775">
        <f t="shared" si="6"/>
        <v>41217.06011728281</v>
      </c>
      <c r="L40" s="775">
        <f t="shared" si="6"/>
        <v>3601.5906704312506</v>
      </c>
      <c r="M40" s="775">
        <f t="shared" si="6"/>
        <v>34498.180772627144</v>
      </c>
      <c r="N40" s="775">
        <f t="shared" si="6"/>
        <v>72.750421456644929</v>
      </c>
      <c r="O40" s="775">
        <f t="shared" si="6"/>
        <v>370.87036114699998</v>
      </c>
      <c r="P40" s="775">
        <f t="shared" si="6"/>
        <v>60.764196045839988</v>
      </c>
      <c r="Q40" s="775">
        <f t="shared" si="6"/>
        <v>10653.17879514675</v>
      </c>
      <c r="R40" s="775">
        <f t="shared" si="6"/>
        <v>0</v>
      </c>
      <c r="S40" s="775">
        <f t="shared" si="6"/>
        <v>0</v>
      </c>
      <c r="T40" s="775">
        <f t="shared" si="6"/>
        <v>0</v>
      </c>
      <c r="U40" s="775">
        <f t="shared" si="6"/>
        <v>0</v>
      </c>
      <c r="V40" s="775">
        <f t="shared" si="6"/>
        <v>936.17645570561126</v>
      </c>
      <c r="W40" s="775">
        <f t="shared" si="6"/>
        <v>0</v>
      </c>
      <c r="X40" s="775">
        <f t="shared" si="6"/>
        <v>0</v>
      </c>
      <c r="Y40" s="775">
        <f t="shared" si="6"/>
        <v>0</v>
      </c>
      <c r="Z40" s="775">
        <f t="shared" si="6"/>
        <v>0</v>
      </c>
      <c r="AA40" s="775">
        <f t="shared" si="6"/>
        <v>0</v>
      </c>
      <c r="AB40" s="775">
        <f t="shared" si="6"/>
        <v>0</v>
      </c>
      <c r="AC40" s="776">
        <f t="shared" si="0"/>
        <v>91707.271545836542</v>
      </c>
      <c r="AD40" s="790"/>
      <c r="AE40" s="791"/>
    </row>
    <row r="41" spans="1:31">
      <c r="A41" s="794"/>
      <c r="B41" s="800" t="s">
        <v>333</v>
      </c>
      <c r="C41" s="769">
        <v>0</v>
      </c>
      <c r="D41" s="769">
        <v>296.5761448591</v>
      </c>
      <c r="E41" s="769">
        <v>0</v>
      </c>
      <c r="F41" s="769">
        <v>0</v>
      </c>
      <c r="G41" s="769">
        <v>0</v>
      </c>
      <c r="H41" s="769">
        <v>0</v>
      </c>
      <c r="I41" s="769">
        <v>0</v>
      </c>
      <c r="J41" s="769">
        <v>0</v>
      </c>
      <c r="K41" s="769">
        <v>39319.88704880466</v>
      </c>
      <c r="L41" s="769">
        <v>28.935269676250002</v>
      </c>
      <c r="M41" s="769">
        <v>34476.052428627139</v>
      </c>
      <c r="N41" s="769">
        <v>72.723448456644931</v>
      </c>
      <c r="O41" s="769">
        <v>370.51583114699997</v>
      </c>
      <c r="P41" s="769">
        <v>0.15959999999999999</v>
      </c>
      <c r="Q41" s="769">
        <v>1.5284700000000004</v>
      </c>
      <c r="R41" s="769">
        <v>0</v>
      </c>
      <c r="S41" s="769">
        <v>0</v>
      </c>
      <c r="T41" s="769">
        <v>0</v>
      </c>
      <c r="U41" s="769">
        <v>0</v>
      </c>
      <c r="V41" s="769">
        <v>535.14936636561129</v>
      </c>
      <c r="W41" s="769">
        <v>0</v>
      </c>
      <c r="X41" s="769">
        <v>0</v>
      </c>
      <c r="Y41" s="769">
        <v>0</v>
      </c>
      <c r="Z41" s="769">
        <v>0</v>
      </c>
      <c r="AA41" s="769">
        <v>0</v>
      </c>
      <c r="AB41" s="769">
        <v>0</v>
      </c>
      <c r="AC41" s="770">
        <f t="shared" si="0"/>
        <v>75101.527607936412</v>
      </c>
      <c r="AD41" s="790"/>
      <c r="AE41" s="791"/>
    </row>
    <row r="42" spans="1:31">
      <c r="A42" s="794"/>
      <c r="B42" s="800" t="s">
        <v>45</v>
      </c>
      <c r="C42" s="769">
        <v>0</v>
      </c>
      <c r="D42" s="769">
        <v>0</v>
      </c>
      <c r="E42" s="769">
        <v>0</v>
      </c>
      <c r="F42" s="769">
        <v>0</v>
      </c>
      <c r="G42" s="769">
        <v>0</v>
      </c>
      <c r="H42" s="769">
        <v>0</v>
      </c>
      <c r="I42" s="769">
        <v>0</v>
      </c>
      <c r="J42" s="769">
        <v>0</v>
      </c>
      <c r="K42" s="769">
        <v>343.000771848</v>
      </c>
      <c r="L42" s="769">
        <v>0</v>
      </c>
      <c r="M42" s="769">
        <v>0</v>
      </c>
      <c r="N42" s="769">
        <v>0</v>
      </c>
      <c r="O42" s="769">
        <v>0</v>
      </c>
      <c r="P42" s="769">
        <v>0</v>
      </c>
      <c r="Q42" s="769">
        <v>0</v>
      </c>
      <c r="R42" s="769">
        <v>0</v>
      </c>
      <c r="S42" s="769">
        <v>0</v>
      </c>
      <c r="T42" s="769">
        <v>0</v>
      </c>
      <c r="U42" s="769">
        <v>0</v>
      </c>
      <c r="V42" s="769">
        <v>401.02708933999997</v>
      </c>
      <c r="W42" s="769">
        <v>0</v>
      </c>
      <c r="X42" s="769">
        <v>0</v>
      </c>
      <c r="Y42" s="769">
        <v>0</v>
      </c>
      <c r="Z42" s="769">
        <v>0</v>
      </c>
      <c r="AA42" s="769">
        <v>0</v>
      </c>
      <c r="AB42" s="769">
        <v>0</v>
      </c>
      <c r="AC42" s="770">
        <f t="shared" si="0"/>
        <v>744.02786118799997</v>
      </c>
      <c r="AD42" s="790"/>
      <c r="AE42" s="791"/>
    </row>
    <row r="43" spans="1:31">
      <c r="A43" s="794"/>
      <c r="B43" s="800" t="s">
        <v>46</v>
      </c>
      <c r="C43" s="769">
        <v>0</v>
      </c>
      <c r="D43" s="769">
        <v>0.12361113438000002</v>
      </c>
      <c r="E43" s="769">
        <v>0</v>
      </c>
      <c r="F43" s="769">
        <v>0</v>
      </c>
      <c r="G43" s="769">
        <v>0</v>
      </c>
      <c r="H43" s="769">
        <v>0</v>
      </c>
      <c r="I43" s="769">
        <v>0</v>
      </c>
      <c r="J43" s="769">
        <v>0</v>
      </c>
      <c r="K43" s="769">
        <v>881.52706383140833</v>
      </c>
      <c r="L43" s="769">
        <v>3572.6554007550008</v>
      </c>
      <c r="M43" s="769">
        <v>3.863160000000001</v>
      </c>
      <c r="N43" s="769">
        <v>0</v>
      </c>
      <c r="O43" s="769">
        <v>0.32548999999999995</v>
      </c>
      <c r="P43" s="769">
        <v>0</v>
      </c>
      <c r="Q43" s="769">
        <v>0</v>
      </c>
      <c r="R43" s="769">
        <v>0</v>
      </c>
      <c r="S43" s="769">
        <v>0</v>
      </c>
      <c r="T43" s="769">
        <v>0</v>
      </c>
      <c r="U43" s="769">
        <v>0</v>
      </c>
      <c r="V43" s="769">
        <v>0</v>
      </c>
      <c r="W43" s="769">
        <v>0</v>
      </c>
      <c r="X43" s="769">
        <v>0</v>
      </c>
      <c r="Y43" s="769">
        <v>0</v>
      </c>
      <c r="Z43" s="769">
        <v>0</v>
      </c>
      <c r="AA43" s="769">
        <v>0</v>
      </c>
      <c r="AB43" s="769">
        <v>0</v>
      </c>
      <c r="AC43" s="770">
        <f t="shared" si="0"/>
        <v>4458.4947257207896</v>
      </c>
      <c r="AD43" s="790"/>
      <c r="AE43" s="791"/>
    </row>
    <row r="44" spans="1:31">
      <c r="A44" s="794"/>
      <c r="B44" s="800" t="s">
        <v>47</v>
      </c>
      <c r="C44" s="769">
        <v>0</v>
      </c>
      <c r="D44" s="769">
        <v>0</v>
      </c>
      <c r="E44" s="769">
        <v>0</v>
      </c>
      <c r="F44" s="769">
        <v>0</v>
      </c>
      <c r="G44" s="769">
        <v>0</v>
      </c>
      <c r="H44" s="769">
        <v>0</v>
      </c>
      <c r="I44" s="769">
        <v>0</v>
      </c>
      <c r="J44" s="769">
        <v>0</v>
      </c>
      <c r="K44" s="769">
        <v>672.64523279874447</v>
      </c>
      <c r="L44" s="769">
        <v>0</v>
      </c>
      <c r="M44" s="769">
        <v>18.265183999999998</v>
      </c>
      <c r="N44" s="769">
        <v>2.6973000000000004E-2</v>
      </c>
      <c r="O44" s="769">
        <v>2.9040000000000003E-2</v>
      </c>
      <c r="P44" s="769">
        <v>60.60459604583999</v>
      </c>
      <c r="Q44" s="769">
        <v>10651.650325146751</v>
      </c>
      <c r="R44" s="769">
        <v>0</v>
      </c>
      <c r="S44" s="769">
        <v>0</v>
      </c>
      <c r="T44" s="769">
        <v>0</v>
      </c>
      <c r="U44" s="769">
        <v>0</v>
      </c>
      <c r="V44" s="769">
        <v>0</v>
      </c>
      <c r="W44" s="769">
        <v>0</v>
      </c>
      <c r="X44" s="769">
        <v>0</v>
      </c>
      <c r="Y44" s="769">
        <v>0</v>
      </c>
      <c r="Z44" s="769">
        <v>0</v>
      </c>
      <c r="AA44" s="769">
        <v>0</v>
      </c>
      <c r="AB44" s="769">
        <v>0</v>
      </c>
      <c r="AC44" s="770">
        <f t="shared" si="0"/>
        <v>11403.221350991336</v>
      </c>
      <c r="AD44" s="790"/>
      <c r="AE44" s="791"/>
    </row>
    <row r="45" spans="1:31">
      <c r="A45" s="794"/>
      <c r="B45" s="801" t="s">
        <v>286</v>
      </c>
      <c r="C45" s="775">
        <f>SUM(C46:C48)</f>
        <v>0</v>
      </c>
      <c r="D45" s="775">
        <f t="shared" ref="D45:AB45" si="7">SUM(D46:D48)</f>
        <v>6543.9961289561115</v>
      </c>
      <c r="E45" s="775">
        <f t="shared" si="7"/>
        <v>31.907538547592914</v>
      </c>
      <c r="F45" s="775">
        <f t="shared" si="7"/>
        <v>17835.01687662183</v>
      </c>
      <c r="G45" s="775">
        <f t="shared" si="7"/>
        <v>0</v>
      </c>
      <c r="H45" s="775">
        <f t="shared" si="7"/>
        <v>0</v>
      </c>
      <c r="I45" s="775">
        <f t="shared" si="7"/>
        <v>0</v>
      </c>
      <c r="J45" s="775">
        <f t="shared" si="7"/>
        <v>163.8922824</v>
      </c>
      <c r="K45" s="775">
        <f t="shared" si="7"/>
        <v>2543.9221107489225</v>
      </c>
      <c r="L45" s="775">
        <f t="shared" si="7"/>
        <v>100.2225</v>
      </c>
      <c r="M45" s="775">
        <f t="shared" si="7"/>
        <v>0</v>
      </c>
      <c r="N45" s="775">
        <f t="shared" si="7"/>
        <v>1360.7935745393415</v>
      </c>
      <c r="O45" s="775">
        <f t="shared" si="7"/>
        <v>10320.973233727071</v>
      </c>
      <c r="P45" s="775">
        <f t="shared" si="7"/>
        <v>1.7979460194174754</v>
      </c>
      <c r="Q45" s="775">
        <f t="shared" si="7"/>
        <v>403.27920311399998</v>
      </c>
      <c r="R45" s="775">
        <f t="shared" si="7"/>
        <v>0</v>
      </c>
      <c r="S45" s="775">
        <f t="shared" si="7"/>
        <v>0</v>
      </c>
      <c r="T45" s="775">
        <f t="shared" si="7"/>
        <v>0</v>
      </c>
      <c r="U45" s="775">
        <f t="shared" si="7"/>
        <v>0</v>
      </c>
      <c r="V45" s="775">
        <f t="shared" si="7"/>
        <v>20251.80954893546</v>
      </c>
      <c r="W45" s="775">
        <f t="shared" si="7"/>
        <v>0</v>
      </c>
      <c r="X45" s="775">
        <f t="shared" si="7"/>
        <v>0</v>
      </c>
      <c r="Y45" s="775">
        <f t="shared" si="7"/>
        <v>0</v>
      </c>
      <c r="Z45" s="775">
        <f t="shared" si="7"/>
        <v>0</v>
      </c>
      <c r="AA45" s="775">
        <f t="shared" si="7"/>
        <v>78.0864586</v>
      </c>
      <c r="AB45" s="775">
        <f t="shared" si="7"/>
        <v>0</v>
      </c>
      <c r="AC45" s="776">
        <f t="shared" si="0"/>
        <v>59635.697402209742</v>
      </c>
      <c r="AD45" s="790"/>
      <c r="AE45" s="791"/>
    </row>
    <row r="46" spans="1:31">
      <c r="A46" s="794"/>
      <c r="B46" s="800" t="s">
        <v>59</v>
      </c>
      <c r="C46" s="769">
        <v>0</v>
      </c>
      <c r="D46" s="769">
        <v>1391.7336653799921</v>
      </c>
      <c r="E46" s="769">
        <v>0.92300000000000004</v>
      </c>
      <c r="F46" s="769">
        <v>53.79190013532903</v>
      </c>
      <c r="G46" s="769">
        <v>0</v>
      </c>
      <c r="H46" s="769">
        <v>0</v>
      </c>
      <c r="I46" s="769">
        <v>0</v>
      </c>
      <c r="J46" s="769">
        <v>163.8922824</v>
      </c>
      <c r="K46" s="769">
        <v>2422.2729363759086</v>
      </c>
      <c r="L46" s="769">
        <v>66.580500000000001</v>
      </c>
      <c r="M46" s="769">
        <v>0</v>
      </c>
      <c r="N46" s="769">
        <v>14.853753446498978</v>
      </c>
      <c r="O46" s="769">
        <v>1107.7239553929999</v>
      </c>
      <c r="P46" s="769">
        <v>1.7979460194174754</v>
      </c>
      <c r="Q46" s="769">
        <v>69.479337113999989</v>
      </c>
      <c r="R46" s="769">
        <v>0</v>
      </c>
      <c r="S46" s="769">
        <v>0</v>
      </c>
      <c r="T46" s="769">
        <v>0</v>
      </c>
      <c r="U46" s="769">
        <v>0</v>
      </c>
      <c r="V46" s="769">
        <v>8401.5811223857145</v>
      </c>
      <c r="W46" s="769">
        <v>0</v>
      </c>
      <c r="X46" s="769">
        <v>0</v>
      </c>
      <c r="Y46" s="769">
        <v>0</v>
      </c>
      <c r="Z46" s="769">
        <v>0</v>
      </c>
      <c r="AA46" s="769">
        <v>48.487355399999998</v>
      </c>
      <c r="AB46" s="769">
        <v>0</v>
      </c>
      <c r="AC46" s="770">
        <f t="shared" si="0"/>
        <v>13743.117754049861</v>
      </c>
      <c r="AD46" s="790"/>
      <c r="AE46" s="791"/>
    </row>
    <row r="47" spans="1:31">
      <c r="A47" s="794"/>
      <c r="B47" s="800" t="s">
        <v>60</v>
      </c>
      <c r="C47" s="769">
        <v>0</v>
      </c>
      <c r="D47" s="769">
        <v>244.71766524726002</v>
      </c>
      <c r="E47" s="769">
        <v>30.984538547592916</v>
      </c>
      <c r="F47" s="769">
        <v>67.068102466718614</v>
      </c>
      <c r="G47" s="769">
        <v>0</v>
      </c>
      <c r="H47" s="769">
        <v>0</v>
      </c>
      <c r="I47" s="769">
        <v>0</v>
      </c>
      <c r="J47" s="769">
        <v>0</v>
      </c>
      <c r="K47" s="769">
        <v>121.64917437301375</v>
      </c>
      <c r="L47" s="769">
        <v>33.642000000000003</v>
      </c>
      <c r="M47" s="769">
        <v>0</v>
      </c>
      <c r="N47" s="769">
        <v>10.232171586000003</v>
      </c>
      <c r="O47" s="769">
        <v>218.07977619999997</v>
      </c>
      <c r="P47" s="769">
        <v>0</v>
      </c>
      <c r="Q47" s="769">
        <v>333.79986600000001</v>
      </c>
      <c r="R47" s="769">
        <v>0</v>
      </c>
      <c r="S47" s="769">
        <v>0</v>
      </c>
      <c r="T47" s="769">
        <v>0</v>
      </c>
      <c r="U47" s="769">
        <v>0</v>
      </c>
      <c r="V47" s="769">
        <v>1740.90178618956</v>
      </c>
      <c r="W47" s="769">
        <v>0</v>
      </c>
      <c r="X47" s="769">
        <v>0</v>
      </c>
      <c r="Y47" s="769">
        <v>0</v>
      </c>
      <c r="Z47" s="769">
        <v>0</v>
      </c>
      <c r="AA47" s="769">
        <v>3.5974898</v>
      </c>
      <c r="AB47" s="769">
        <v>0</v>
      </c>
      <c r="AC47" s="770">
        <f t="shared" si="0"/>
        <v>2804.672570410145</v>
      </c>
      <c r="AD47" s="790"/>
      <c r="AE47" s="791"/>
    </row>
    <row r="48" spans="1:31">
      <c r="A48" s="794"/>
      <c r="B48" s="800" t="s">
        <v>61</v>
      </c>
      <c r="C48" s="769">
        <v>0</v>
      </c>
      <c r="D48" s="769">
        <v>4907.5447983288595</v>
      </c>
      <c r="E48" s="769">
        <v>0</v>
      </c>
      <c r="F48" s="769">
        <v>17714.156874019784</v>
      </c>
      <c r="G48" s="769">
        <v>0</v>
      </c>
      <c r="H48" s="769">
        <v>0</v>
      </c>
      <c r="I48" s="769">
        <v>0</v>
      </c>
      <c r="J48" s="769">
        <v>0</v>
      </c>
      <c r="K48" s="769">
        <v>0</v>
      </c>
      <c r="L48" s="769">
        <v>0</v>
      </c>
      <c r="M48" s="769">
        <v>0</v>
      </c>
      <c r="N48" s="769">
        <v>1335.7076495068425</v>
      </c>
      <c r="O48" s="769">
        <v>8995.1695021340711</v>
      </c>
      <c r="P48" s="769">
        <v>0</v>
      </c>
      <c r="Q48" s="769">
        <v>0</v>
      </c>
      <c r="R48" s="769">
        <v>0</v>
      </c>
      <c r="S48" s="769">
        <v>0</v>
      </c>
      <c r="T48" s="769">
        <v>0</v>
      </c>
      <c r="U48" s="769">
        <v>0</v>
      </c>
      <c r="V48" s="769">
        <v>10109.326640360183</v>
      </c>
      <c r="W48" s="769">
        <v>0</v>
      </c>
      <c r="X48" s="769">
        <v>0</v>
      </c>
      <c r="Y48" s="769">
        <v>0</v>
      </c>
      <c r="Z48" s="769">
        <v>0</v>
      </c>
      <c r="AA48" s="769">
        <v>26.0016134</v>
      </c>
      <c r="AB48" s="769">
        <v>0</v>
      </c>
      <c r="AC48" s="770">
        <f t="shared" si="0"/>
        <v>43087.907077749747</v>
      </c>
      <c r="AD48" s="790"/>
      <c r="AE48" s="791"/>
    </row>
    <row r="49" spans="1:31">
      <c r="A49" s="794"/>
      <c r="B49" s="799" t="s">
        <v>287</v>
      </c>
      <c r="C49" s="775">
        <v>0</v>
      </c>
      <c r="D49" s="775">
        <v>0</v>
      </c>
      <c r="E49" s="775">
        <v>0</v>
      </c>
      <c r="F49" s="775">
        <v>0</v>
      </c>
      <c r="G49" s="775">
        <v>0</v>
      </c>
      <c r="H49" s="775">
        <v>0</v>
      </c>
      <c r="I49" s="775">
        <v>0</v>
      </c>
      <c r="J49" s="775">
        <v>0</v>
      </c>
      <c r="K49" s="775">
        <v>0</v>
      </c>
      <c r="L49" s="775">
        <v>0</v>
      </c>
      <c r="M49" s="775">
        <v>0</v>
      </c>
      <c r="N49" s="775">
        <v>0</v>
      </c>
      <c r="O49" s="775">
        <v>0</v>
      </c>
      <c r="P49" s="775">
        <v>0</v>
      </c>
      <c r="Q49" s="775">
        <v>0</v>
      </c>
      <c r="R49" s="775">
        <v>0</v>
      </c>
      <c r="S49" s="775">
        <v>0</v>
      </c>
      <c r="T49" s="775">
        <v>0</v>
      </c>
      <c r="U49" s="775">
        <v>1611.4793270139999</v>
      </c>
      <c r="V49" s="775">
        <v>0</v>
      </c>
      <c r="W49" s="775">
        <v>0</v>
      </c>
      <c r="X49" s="775">
        <v>0</v>
      </c>
      <c r="Y49" s="775">
        <v>0</v>
      </c>
      <c r="Z49" s="775">
        <v>0</v>
      </c>
      <c r="AA49" s="775">
        <v>0</v>
      </c>
      <c r="AB49" s="775">
        <v>0</v>
      </c>
      <c r="AC49" s="776">
        <f t="shared" si="0"/>
        <v>1611.4793270139999</v>
      </c>
      <c r="AD49" s="790"/>
      <c r="AE49" s="791"/>
    </row>
    <row r="50" spans="1:31">
      <c r="A50" s="772"/>
      <c r="B50" s="802"/>
      <c r="C50" s="777"/>
      <c r="D50" s="777"/>
      <c r="E50" s="777"/>
      <c r="F50" s="777"/>
      <c r="G50" s="777"/>
      <c r="H50" s="777"/>
      <c r="I50" s="777"/>
      <c r="J50" s="777"/>
      <c r="K50" s="777"/>
      <c r="L50" s="777"/>
      <c r="M50" s="777"/>
      <c r="N50" s="777"/>
      <c r="O50" s="777"/>
      <c r="P50" s="777"/>
      <c r="Q50" s="777"/>
      <c r="R50" s="777"/>
      <c r="S50" s="777"/>
      <c r="T50" s="777"/>
      <c r="U50" s="777"/>
      <c r="V50" s="777"/>
      <c r="W50" s="777"/>
      <c r="X50" s="777"/>
      <c r="Y50" s="777"/>
      <c r="Z50" s="777"/>
      <c r="AA50" s="777"/>
      <c r="AB50" s="777"/>
      <c r="AC50" s="772"/>
      <c r="AD50" s="781"/>
    </row>
  </sheetData>
  <mergeCells count="1">
    <mergeCell ref="B1:B2"/>
  </mergeCells>
  <phoneticPr fontId="28" type="noConversion"/>
  <pageMargins left="0.75" right="0.75" top="1" bottom="1" header="0" footer="0"/>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theme="6" tint="0.39997558519241921"/>
  </sheetPr>
  <dimension ref="B1:AH65"/>
  <sheetViews>
    <sheetView workbookViewId="0"/>
  </sheetViews>
  <sheetFormatPr baseColWidth="10" defaultRowHeight="12.75"/>
  <cols>
    <col min="1" max="1" width="5.28515625" style="368" customWidth="1"/>
    <col min="2" max="2" width="4.140625" style="368" customWidth="1"/>
    <col min="3" max="3" width="32.140625" style="368" customWidth="1"/>
    <col min="4" max="4" width="15.140625" style="368" customWidth="1"/>
    <col min="5" max="5" width="13.28515625" style="368" customWidth="1"/>
    <col min="6" max="6" width="10.42578125" style="368" customWidth="1"/>
    <col min="7" max="7" width="11.42578125" style="368"/>
    <col min="8" max="8" width="14.7109375" style="368" customWidth="1"/>
    <col min="9" max="9" width="14.5703125" style="368" customWidth="1"/>
    <col min="10" max="10" width="14" style="368" customWidth="1"/>
    <col min="11" max="11" width="13.5703125" style="368" customWidth="1"/>
    <col min="12" max="12" width="15.42578125" style="368" customWidth="1"/>
    <col min="13" max="13" width="12.140625" style="368" customWidth="1"/>
    <col min="14" max="14" width="10" style="368" customWidth="1"/>
    <col min="15" max="15" width="11.42578125" style="368"/>
    <col min="16" max="16" width="12.7109375" style="368" customWidth="1"/>
    <col min="17" max="17" width="10.85546875" style="368" customWidth="1"/>
    <col min="18" max="18" width="10.7109375" style="368" customWidth="1"/>
    <col min="19" max="19" width="12.42578125" style="368" customWidth="1"/>
    <col min="20" max="20" width="10.85546875" style="368" customWidth="1"/>
    <col min="21" max="21" width="11" style="368" customWidth="1"/>
    <col min="22" max="22" width="10.28515625" style="368" customWidth="1"/>
    <col min="23" max="23" width="11.42578125" style="368"/>
    <col min="24" max="24" width="10" style="368" customWidth="1"/>
    <col min="25" max="26" width="11.42578125" style="368"/>
    <col min="27" max="27" width="15.42578125" style="368" customWidth="1"/>
    <col min="28" max="28" width="13.140625" style="368" customWidth="1"/>
    <col min="29" max="16384" width="11.42578125" style="368"/>
  </cols>
  <sheetData>
    <row r="1" spans="2:34">
      <c r="Q1" s="360"/>
    </row>
    <row r="2" spans="2:34" ht="15.75">
      <c r="C2" s="372" t="s">
        <v>472</v>
      </c>
      <c r="D2" s="373"/>
      <c r="E2" s="373"/>
      <c r="F2" s="373"/>
      <c r="G2" s="843" t="s">
        <v>471</v>
      </c>
      <c r="H2" s="843"/>
      <c r="I2" s="843"/>
      <c r="J2" s="843"/>
      <c r="K2" s="597"/>
      <c r="L2" s="373"/>
      <c r="M2" s="696" t="s">
        <v>229</v>
      </c>
      <c r="N2" s="373"/>
      <c r="O2" s="373"/>
      <c r="P2" s="373"/>
      <c r="Q2" s="360"/>
      <c r="R2" s="373"/>
      <c r="S2" s="373"/>
      <c r="T2" s="373"/>
      <c r="U2" s="373"/>
      <c r="V2" s="373"/>
      <c r="W2" s="373"/>
      <c r="X2" s="373"/>
      <c r="Y2" s="373"/>
      <c r="Z2" s="373"/>
      <c r="AA2" s="373"/>
      <c r="AB2" s="373"/>
      <c r="AC2" s="373"/>
      <c r="AD2" s="373"/>
      <c r="AE2" s="376"/>
    </row>
    <row r="3" spans="2:34" ht="15.75">
      <c r="C3" s="377"/>
      <c r="D3" s="373"/>
      <c r="E3" s="373"/>
      <c r="F3" s="373"/>
      <c r="G3" s="373"/>
      <c r="H3" s="374"/>
      <c r="I3" s="373"/>
      <c r="J3" s="373"/>
      <c r="K3" s="373"/>
      <c r="L3" s="373"/>
      <c r="M3" s="375"/>
      <c r="N3" s="373"/>
      <c r="O3" s="373"/>
      <c r="P3" s="373"/>
      <c r="Q3" s="373"/>
      <c r="R3" s="373"/>
      <c r="S3" s="373"/>
      <c r="T3" s="373"/>
      <c r="U3" s="373"/>
      <c r="V3" s="373"/>
      <c r="W3" s="373"/>
      <c r="X3" s="373"/>
      <c r="Y3" s="373"/>
      <c r="Z3" s="373"/>
      <c r="AA3" s="373"/>
      <c r="AB3" s="373"/>
      <c r="AC3" s="373"/>
      <c r="AD3" s="373"/>
      <c r="AE3" s="376"/>
    </row>
    <row r="4" spans="2:34" ht="15.75" customHeight="1">
      <c r="C4" s="859" t="s">
        <v>266</v>
      </c>
      <c r="D4" s="852" t="s">
        <v>10</v>
      </c>
      <c r="E4" s="853"/>
      <c r="F4" s="853"/>
      <c r="G4" s="853"/>
      <c r="H4" s="853"/>
      <c r="I4" s="853"/>
      <c r="J4" s="853"/>
      <c r="K4" s="854"/>
      <c r="L4" s="853" t="s">
        <v>11</v>
      </c>
      <c r="M4" s="853"/>
      <c r="N4" s="853"/>
      <c r="O4" s="853"/>
      <c r="P4" s="853"/>
      <c r="Q4" s="853"/>
      <c r="R4" s="853"/>
      <c r="S4" s="853"/>
      <c r="T4" s="853"/>
      <c r="U4" s="853"/>
      <c r="V4" s="853"/>
      <c r="W4" s="868" t="s">
        <v>465</v>
      </c>
      <c r="X4" s="853" t="s">
        <v>12</v>
      </c>
      <c r="Y4" s="853"/>
      <c r="Z4" s="853"/>
      <c r="AA4" s="853"/>
      <c r="AB4" s="868" t="s">
        <v>512</v>
      </c>
      <c r="AC4" s="865" t="s">
        <v>513</v>
      </c>
      <c r="AD4" s="867"/>
      <c r="AE4" s="376"/>
    </row>
    <row r="5" spans="2:34" s="378" customFormat="1" ht="38.25" customHeight="1">
      <c r="B5" s="368"/>
      <c r="C5" s="860"/>
      <c r="D5" s="591" t="s">
        <v>493</v>
      </c>
      <c r="E5" s="568" t="s">
        <v>494</v>
      </c>
      <c r="F5" s="568" t="s">
        <v>514</v>
      </c>
      <c r="G5" s="568" t="s">
        <v>497</v>
      </c>
      <c r="H5" s="568" t="s">
        <v>459</v>
      </c>
      <c r="I5" s="568" t="s">
        <v>460</v>
      </c>
      <c r="J5" s="568" t="s">
        <v>461</v>
      </c>
      <c r="K5" s="571" t="s">
        <v>496</v>
      </c>
      <c r="L5" s="568" t="s">
        <v>498</v>
      </c>
      <c r="M5" s="569" t="s">
        <v>499</v>
      </c>
      <c r="N5" s="569" t="s">
        <v>500</v>
      </c>
      <c r="O5" s="568" t="s">
        <v>501</v>
      </c>
      <c r="P5" s="568" t="s">
        <v>502</v>
      </c>
      <c r="Q5" s="568" t="s">
        <v>503</v>
      </c>
      <c r="R5" s="568" t="s">
        <v>504</v>
      </c>
      <c r="S5" s="568" t="s">
        <v>505</v>
      </c>
      <c r="T5" s="568" t="s">
        <v>506</v>
      </c>
      <c r="U5" s="568" t="s">
        <v>507</v>
      </c>
      <c r="V5" s="568" t="s">
        <v>508</v>
      </c>
      <c r="W5" s="869"/>
      <c r="X5" s="570" t="s">
        <v>509</v>
      </c>
      <c r="Y5" s="570" t="s">
        <v>510</v>
      </c>
      <c r="Z5" s="570" t="s">
        <v>511</v>
      </c>
      <c r="AA5" s="570" t="s">
        <v>528</v>
      </c>
      <c r="AB5" s="869"/>
      <c r="AC5" s="866"/>
      <c r="AD5" s="867"/>
      <c r="AE5" s="376"/>
    </row>
    <row r="6" spans="2:34">
      <c r="C6" s="589" t="s">
        <v>289</v>
      </c>
      <c r="D6" s="599">
        <f>+(((('Balance de energía'!C3*1000000000)/'Balance Energético (u.físicas)'!$D$55)/1000)/'Balance Energético (u.físicas)'!$D$56)/1000</f>
        <v>287.19450599999999</v>
      </c>
      <c r="E6" s="600">
        <f>+(('Balance de energía'!D3*1000000000)/$E$55)/1000000</f>
        <v>1006.4829377358</v>
      </c>
      <c r="F6" s="600">
        <f>+((('Balance de energía'!E3*1000000000)/$F$55)/1000)/1000</f>
        <v>1930.5550285714282</v>
      </c>
      <c r="G6" s="600">
        <f>+((('Balance de energía'!F3*1000000000)/$G$55)/1000)/1000</f>
        <v>22044.515220482739</v>
      </c>
      <c r="H6" s="600">
        <f>+(('Balance de energía'!G3*1000000000)/$H$55)/1000000</f>
        <v>23617.253634000004</v>
      </c>
      <c r="I6" s="600">
        <f>+(('Balance de energía'!H3*1000000000)/$I$55)/1000000</f>
        <v>2114.2670289999996</v>
      </c>
      <c r="J6" s="600">
        <f>+(('Balance de energía'!I3*1000000000)/$J$55)/1000000</f>
        <v>1260.8661688799998</v>
      </c>
      <c r="K6" s="601">
        <f>+(('Balance de energía'!J3*1000000000)/$K$55)/1000000</f>
        <v>156.59238928051934</v>
      </c>
      <c r="L6" s="600" t="s">
        <v>44</v>
      </c>
      <c r="M6" s="600" t="s">
        <v>44</v>
      </c>
      <c r="N6" s="600" t="s">
        <v>44</v>
      </c>
      <c r="O6" s="600" t="s">
        <v>44</v>
      </c>
      <c r="P6" s="600" t="s">
        <v>44</v>
      </c>
      <c r="Q6" s="600" t="s">
        <v>44</v>
      </c>
      <c r="R6" s="600" t="s">
        <v>44</v>
      </c>
      <c r="S6" s="600" t="s">
        <v>44</v>
      </c>
      <c r="T6" s="600" t="s">
        <v>44</v>
      </c>
      <c r="U6" s="600" t="s">
        <v>44</v>
      </c>
      <c r="V6" s="600" t="s">
        <v>44</v>
      </c>
      <c r="W6" s="602" t="s">
        <v>44</v>
      </c>
      <c r="X6" s="600" t="s">
        <v>44</v>
      </c>
      <c r="Y6" s="600" t="s">
        <v>44</v>
      </c>
      <c r="Z6" s="600" t="s">
        <v>44</v>
      </c>
      <c r="AA6" s="600" t="s">
        <v>44</v>
      </c>
      <c r="AB6" s="602" t="s">
        <v>44</v>
      </c>
      <c r="AC6" s="601" t="s">
        <v>44</v>
      </c>
      <c r="AE6" s="376"/>
    </row>
    <row r="7" spans="2:34">
      <c r="C7" s="589" t="s">
        <v>280</v>
      </c>
      <c r="D7" s="599">
        <f>+(((('Balance de energía'!C4*1000000000)/'Balance Energético (u.físicas)'!$D$55)/1000)/'Balance Energético (u.físicas)'!$D$56)/1000</f>
        <v>9785.299853200002</v>
      </c>
      <c r="E7" s="600">
        <f>+(('Balance de energía'!D4*1000000000)/$E$55)/1000000</f>
        <v>3726.6373404516107</v>
      </c>
      <c r="F7" s="600">
        <f>+((('Balance de energía'!E4*1000000000)/$F$55)/1000)/1000</f>
        <v>8532.6985380714177</v>
      </c>
      <c r="G7" s="600">
        <f>+((('Balance de energía'!F4*1000000000)/$G$55)/1000)/1000</f>
        <v>22.260882617832483</v>
      </c>
      <c r="H7" s="600" t="s">
        <v>44</v>
      </c>
      <c r="I7" s="600" t="s">
        <v>44</v>
      </c>
      <c r="J7" s="600" t="s">
        <v>44</v>
      </c>
      <c r="K7" s="601">
        <f>+(('Balance de energía'!J4*1000000000)/$K$55)/1000000</f>
        <v>0</v>
      </c>
      <c r="L7" s="600">
        <f>+(((('Balance de energía'!K4*1000000000)/$L$55)/1000)/$L$56)/1000</f>
        <v>6224.8294766666668</v>
      </c>
      <c r="M7" s="600">
        <f>+((('Balance de energía'!L4*1000000000)/$M$55)/1000)/1000</f>
        <v>31.74520265</v>
      </c>
      <c r="N7" s="600">
        <f>+(((('Balance de energía'!M4*1000000000)/$N$55)/1000)/'Balance Energético (u.físicas)'!$N$56)/1000</f>
        <v>668.51900000000012</v>
      </c>
      <c r="O7" s="600">
        <f>+(((('Balance de energía'!N4*1000000000)/$O$55)/1000)/'Balance Energético (u.físicas)'!$O$56)/1000</f>
        <v>0</v>
      </c>
      <c r="P7" s="600">
        <f>+(((('Balance de energía'!O4*1000000000)/$P$55)/1000)/1000)</f>
        <v>962.95837000000051</v>
      </c>
      <c r="Q7" s="600">
        <f>+(((('Balance de energía'!P4*1000000000)/$Q$55)/1000)/'Balance Energético (u.físicas)'!$Q$56)/1000</f>
        <v>4.7640000000000011</v>
      </c>
      <c r="R7" s="600">
        <f>+(((('Balance de energía'!Q4*1000000000)/$R$55)/1000)/'Balance Energético (u.físicas)'!$R$56)/1000</f>
        <v>617.47842700000001</v>
      </c>
      <c r="S7" s="600">
        <f>+((('Balance de energía'!R4*1000000000)/'Balance Energético (u.físicas)'!$S$55)/1000000)/'Balance Energético (u.físicas)'!$S$56</f>
        <v>202.57520000000002</v>
      </c>
      <c r="T7" s="600">
        <f>+('Balance de energía'!S4*1000000000)/$T$55/1000</f>
        <v>0</v>
      </c>
      <c r="U7" s="600">
        <f>+(((('Balance de energía'!T4*1000000000)/$U$55)/1000)/1000)</f>
        <v>50.475000000000001</v>
      </c>
      <c r="V7" s="600">
        <v>0</v>
      </c>
      <c r="W7" s="602">
        <f>+(('Balance de energía'!V4*1000000000)/$W$55)/1000000</f>
        <v>0</v>
      </c>
      <c r="X7" s="600">
        <f>+(((('Balance de energía'!W4*1000000000)/$X$55)/1000)/1000)</f>
        <v>2.7414029999999996</v>
      </c>
      <c r="Y7" s="600">
        <f>+('Balance de energía'!X4*1000)/$Y$55</f>
        <v>0</v>
      </c>
      <c r="Z7" s="600">
        <f>+('Balance de energía'!Y4*1000)/$Z$55</f>
        <v>0</v>
      </c>
      <c r="AA7" s="600">
        <f>+('Balance de energía'!Z4*1000)/$AA$55</f>
        <v>0</v>
      </c>
      <c r="AB7" s="602">
        <f>+(('Balance de energía'!AA4*1000000000)/$AB$55)/1000000</f>
        <v>1.767436</v>
      </c>
      <c r="AC7" s="601">
        <f>+(((('Balance de energía'!AB4*1000000000)/$AC$55)/1000)/1000)</f>
        <v>0</v>
      </c>
      <c r="AE7" s="376"/>
    </row>
    <row r="8" spans="2:34">
      <c r="C8" s="589" t="s">
        <v>281</v>
      </c>
      <c r="D8" s="599">
        <f>+(((('Balance de energía'!C5*1000000000)/'Balance Energético (u.físicas)'!$D$55)/1000)/'Balance Energético (u.físicas)'!$D$56)/1000</f>
        <v>0</v>
      </c>
      <c r="E8" s="600">
        <f>+(('Balance de energía'!D5*1000000000)/$E$55)/1000000</f>
        <v>0</v>
      </c>
      <c r="F8" s="600">
        <f>+((('Balance de energía'!E5*1000000000)/$F$55)/1000)/1000</f>
        <v>843.94</v>
      </c>
      <c r="G8" s="600">
        <f>+((('Balance de energía'!F5*1000000000)/$G$55)/1000)/1000</f>
        <v>0.151</v>
      </c>
      <c r="H8" s="600" t="s">
        <v>44</v>
      </c>
      <c r="I8" s="600" t="s">
        <v>44</v>
      </c>
      <c r="J8" s="600" t="s">
        <v>44</v>
      </c>
      <c r="K8" s="601">
        <f>+(('Balance de energía'!J5*1000000000)/$K$55)/1000000</f>
        <v>0</v>
      </c>
      <c r="L8" s="600">
        <f>+(((('Balance de energía'!K5*1000000000)/$L$55)/1000)/$L$56)/1000</f>
        <v>94.316283285714306</v>
      </c>
      <c r="M8" s="600">
        <f>+((('Balance de energía'!L5*1000000000)/$M$55)/1000)/1000</f>
        <v>301.66325999999992</v>
      </c>
      <c r="N8" s="600">
        <f>+(((('Balance de energía'!M5*1000000000)/$N$55)/1000)/'Balance Energético (u.físicas)'!$N$56)/1000</f>
        <v>96.046000000000006</v>
      </c>
      <c r="O8" s="600">
        <f>+(((('Balance de energía'!N5*1000000000)/$O$55)/1000)/'Balance Energético (u.físicas)'!$O$56)/1000</f>
        <v>0</v>
      </c>
      <c r="P8" s="600">
        <f>+(((('Balance de energía'!O5*1000000000)/$P$55)/1000)/1000)</f>
        <v>37.462612</v>
      </c>
      <c r="Q8" s="600">
        <f>+(((('Balance de energía'!P5*1000000000)/$Q$55)/1000)/'Balance Energético (u.físicas)'!$Q$56)/1000</f>
        <v>0</v>
      </c>
      <c r="R8" s="600">
        <f>+(((('Balance de energía'!Q5*1000000000)/$R$55)/1000)/'Balance Energético (u.físicas)'!$R$56)/1000</f>
        <v>0.34599999999999992</v>
      </c>
      <c r="S8" s="600">
        <f>+((('Balance de energía'!R5*1000000000)/'Balance Energético (u.físicas)'!$S$55)/1000000)/'Balance Energético (u.físicas)'!$S$56</f>
        <v>0</v>
      </c>
      <c r="T8" s="600">
        <f>+('Balance de energía'!S5*1000000000)/$T$55/1000</f>
        <v>0</v>
      </c>
      <c r="U8" s="600">
        <f>+(((('Balance de energía'!T5*1000000000)/$U$55)/1000)/1000)</f>
        <v>0</v>
      </c>
      <c r="V8" s="600">
        <v>6.4444334613023635</v>
      </c>
      <c r="W8" s="602">
        <f>+(('Balance de energía'!V5*1000000000)/$W$55)/1000000</f>
        <v>0</v>
      </c>
      <c r="X8" s="600">
        <f>+(((('Balance de energía'!W5*1000000000)/$X$55)/1000)/1000)</f>
        <v>39.820114285714283</v>
      </c>
      <c r="Y8" s="600">
        <f>+('Balance de energía'!X5*1000)/$Y$55</f>
        <v>0</v>
      </c>
      <c r="Z8" s="600">
        <f>+('Balance de energía'!Y5*1000)/$Z$55</f>
        <v>0</v>
      </c>
      <c r="AA8" s="600">
        <f>+('Balance de energía'!Z5*1000)/$AA$55</f>
        <v>0</v>
      </c>
      <c r="AB8" s="602">
        <f>+(('Balance de energía'!AA5*1000000000)/$AB$55)/1000000</f>
        <v>0</v>
      </c>
      <c r="AC8" s="601">
        <f>+(((('Balance de energía'!AB5*1000000000)/$AC$55)/1000)/1000)</f>
        <v>203.935</v>
      </c>
      <c r="AE8" s="376"/>
    </row>
    <row r="9" spans="2:34">
      <c r="C9" s="589" t="s">
        <v>340</v>
      </c>
      <c r="D9" s="599">
        <f>+(((('Balance de energía'!C6*1000000000)/'Balance Energético (u.físicas)'!$D$55)/1000)/'Balance Energético (u.físicas)'!$D$56)/1000</f>
        <v>45.713999999999999</v>
      </c>
      <c r="E9" s="600">
        <f>+(('Balance de energía'!D6*1000000000)/$E$55)/1000000</f>
        <v>292.33314248445197</v>
      </c>
      <c r="F9" s="600">
        <f>+((('Balance de energía'!E6*1000000000)/$F$55)/1000)/1000</f>
        <v>-1175.2745412574754</v>
      </c>
      <c r="G9" s="600">
        <f>+((('Balance de energía'!F6*1000000000)/$G$55)/1000)/1000</f>
        <v>163.61721908485217</v>
      </c>
      <c r="H9" s="600">
        <f>+(('Balance de energía'!G6*1000000000)/$H$55)/1000000</f>
        <v>0</v>
      </c>
      <c r="I9" s="600">
        <f>+(('Balance de energía'!H6*1000000000)/$I$55)/1000000</f>
        <v>0</v>
      </c>
      <c r="J9" s="600">
        <f>+(('Balance de energía'!I6*1000000000)/$J$55)/1000000</f>
        <v>0</v>
      </c>
      <c r="K9" s="601">
        <f>+(('Balance de energía'!J6*1000000000)/$K$55)/1000000</f>
        <v>6.138047051036871</v>
      </c>
      <c r="L9" s="600">
        <f>+(((('Balance de energía'!K6*1000000000)/$L$55)/1000)/$L$56)/1000</f>
        <v>803.27591659791437</v>
      </c>
      <c r="M9" s="600">
        <f>+((('Balance de energía'!L6*1000000000)/$M$55)/1000)/1000</f>
        <v>-64.689161163030008</v>
      </c>
      <c r="N9" s="600">
        <f>+(((('Balance de energía'!M6*1000000000)/$N$55)/1000)/'Balance Energético (u.físicas)'!$N$56)/1000</f>
        <v>-122.11211074206769</v>
      </c>
      <c r="O9" s="600">
        <f>+(((('Balance de energía'!N6*1000000000)/$O$55)/1000)/'Balance Energético (u.físicas)'!$O$56)/1000</f>
        <v>-1.3108557487616976</v>
      </c>
      <c r="P9" s="600">
        <f>+(((('Balance de energía'!O6*1000000000)/$P$55)/1000)/1000)</f>
        <v>65.124383212853729</v>
      </c>
      <c r="Q9" s="600">
        <f>+(((('Balance de energía'!P6*1000000000)/$Q$55)/1000)/'Balance Energético (u.físicas)'!$Q$56)/1000</f>
        <v>2.4633325732760079</v>
      </c>
      <c r="R9" s="600">
        <f>+(((('Balance de energía'!Q6*1000000000)/$R$55)/1000)/'Balance Energético (u.físicas)'!$R$56)/1000</f>
        <v>15.534261076219984</v>
      </c>
      <c r="S9" s="600">
        <f>+((('Balance de energía'!R6*1000000000)/'Balance Energético (u.físicas)'!$S$55)/1000000)/'Balance Energético (u.físicas)'!$S$56</f>
        <v>11.18739000000007</v>
      </c>
      <c r="T9" s="600">
        <f>+('Balance de energía'!S6*1000000000)/$T$55/1000</f>
        <v>0</v>
      </c>
      <c r="U9" s="600">
        <f>+(((('Balance de energía'!T6*1000000000)/$U$55)/1000)/1000)</f>
        <v>49.866065208099926</v>
      </c>
      <c r="V9" s="600">
        <v>-79.082184144892565</v>
      </c>
      <c r="W9" s="602">
        <f>+(('Balance de energía'!V6*1000000000)/$W$55)/1000000</f>
        <v>4214.0509673046254</v>
      </c>
      <c r="X9" s="600">
        <f>+(((('Balance de energía'!W6*1000000000)/$X$55)/1000)/1000)</f>
        <v>7.3473999857142713</v>
      </c>
      <c r="Y9" s="600">
        <f>+('Balance de energía'!X6*1000)/$Y$55</f>
        <v>10788.284270932161</v>
      </c>
      <c r="Z9" s="600">
        <f>+('Balance de energía'!Y6*1000)/$Z$55</f>
        <v>0</v>
      </c>
      <c r="AA9" s="600">
        <f>+('Balance de energía'!Z6*1000)/$AA$55</f>
        <v>128667.751838428</v>
      </c>
      <c r="AB9" s="602">
        <f>+(('Balance de energía'!AA6*1000000000)/$AB$55)/1000000</f>
        <v>1.6279502184930448</v>
      </c>
      <c r="AC9" s="601">
        <f>+(((('Balance de energía'!AB6*1000000000)/$AC$55)/1000)/1000)</f>
        <v>0</v>
      </c>
      <c r="AE9" s="376"/>
    </row>
    <row r="10" spans="2:34">
      <c r="C10" s="589" t="s">
        <v>421</v>
      </c>
      <c r="D10" s="599">
        <f>+(((('Balance de energía'!C7*1000000000)/'Balance Energético (u.físicas)'!$D$55)/1000)/'Balance Energético (u.físicas)'!$D$56)/1000</f>
        <v>0</v>
      </c>
      <c r="E10" s="600">
        <f>+(('Balance de energía'!D7*1000000000)/$E$55)/1000000</f>
        <v>36.867290996691999</v>
      </c>
      <c r="F10" s="600">
        <f>+((('Balance de energía'!E7*1000000000)/$F$55)/1000)/1000</f>
        <v>3.6138291428571532</v>
      </c>
      <c r="G10" s="600">
        <f>+((('Balance de energía'!F7*1000000000)/$G$55)/1000)/1000</f>
        <v>3.3219861471748722</v>
      </c>
      <c r="H10" s="600" t="s">
        <v>44</v>
      </c>
      <c r="I10" s="600" t="s">
        <v>44</v>
      </c>
      <c r="J10" s="600" t="s">
        <v>44</v>
      </c>
      <c r="K10" s="601">
        <f>+(('Balance de energía'!J7*1000000000)/$K$55)/1000000</f>
        <v>0</v>
      </c>
      <c r="L10" s="600">
        <f>+(((('Balance de energía'!K7*1000000000)/$L$55)/1000)/$L$56)/1000</f>
        <v>0</v>
      </c>
      <c r="M10" s="600">
        <f>+((('Balance de energía'!L7*1000000000)/$M$55)/1000)/1000</f>
        <v>5.8599999999999999E-2</v>
      </c>
      <c r="N10" s="600">
        <f>+(((('Balance de energía'!M7*1000000000)/$N$55)/1000)/'Balance Energético (u.físicas)'!$N$56)/1000</f>
        <v>0</v>
      </c>
      <c r="O10" s="600">
        <f>+(((('Balance de energía'!N7*1000000000)/$O$55)/1000)/'Balance Energético (u.físicas)'!$O$56)/1000</f>
        <v>6.4000000000000005E-4</v>
      </c>
      <c r="P10" s="600">
        <f>+(((('Balance de energía'!O7*1000000000)/$P$55)/1000)/1000)</f>
        <v>8.882329999999999E-3</v>
      </c>
      <c r="Q10" s="600">
        <f>+(((('Balance de energía'!P7*1000000000)/$Q$55)/1000)/'Balance Energético (u.físicas)'!$Q$56)/1000</f>
        <v>0</v>
      </c>
      <c r="R10" s="600">
        <f>+(((('Balance de energía'!Q7*1000000000)/$R$55)/1000)/'Balance Energético (u.físicas)'!$R$56)/1000</f>
        <v>0</v>
      </c>
      <c r="S10" s="600">
        <f>+((('Balance de energía'!R7*1000000000)/'Balance Energético (u.físicas)'!$S$55)/1000000)/'Balance Energético (u.físicas)'!$S$56</f>
        <v>0</v>
      </c>
      <c r="T10" s="600">
        <f>+('Balance de energía'!S7*1000000000)/$T$55/1000</f>
        <v>0</v>
      </c>
      <c r="U10" s="600">
        <f>+(((('Balance de energía'!T7*1000000000)/$U$55)/1000)/1000)</f>
        <v>0</v>
      </c>
      <c r="V10" s="600">
        <v>0</v>
      </c>
      <c r="W10" s="602">
        <f>+(('Balance de energía'!V7*1000000000)/$W$55)/1000000</f>
        <v>3707.3603422627484</v>
      </c>
      <c r="X10" s="600">
        <f>+(((('Balance de energía'!W7*1000000000)/$X$55)/1000)/1000)</f>
        <v>3.3250000000000002E-2</v>
      </c>
      <c r="Y10" s="600">
        <f>+('Balance de energía'!X7*1000)/$Y$55</f>
        <v>9394.3873608166996</v>
      </c>
      <c r="Z10" s="600">
        <f>+('Balance de energía'!Y7*1000)/$Z$55</f>
        <v>0</v>
      </c>
      <c r="AA10" s="600">
        <f>+('Balance de energía'!Z7*1000)/$AA$55</f>
        <v>114918.9044705164</v>
      </c>
      <c r="AB10" s="602">
        <f>+(('Balance de energía'!AA7*1000000000)/$AB$55)/1000000</f>
        <v>1.8770391515365219</v>
      </c>
      <c r="AC10" s="601">
        <f>+(((('Balance de energía'!AB7*1000000000)/$AC$55)/1000)/1000)</f>
        <v>0</v>
      </c>
      <c r="AE10" s="376"/>
    </row>
    <row r="11" spans="2:34">
      <c r="C11" s="589" t="s">
        <v>419</v>
      </c>
      <c r="D11" s="599">
        <f>+(((('Balance de energía'!C8*1000000000)/'Balance Energético (u.físicas)'!$D$55)/1000)/'Balance Energético (u.físicas)'!$D$56)/1000</f>
        <v>45.713999999999999</v>
      </c>
      <c r="E11" s="600">
        <f>+(('Balance de energía'!D8*1000000000)/$E$55)/1000000</f>
        <v>-2.7041615849318017</v>
      </c>
      <c r="F11" s="600">
        <f>+((('Balance de energía'!E8*1000000000)/$F$55)/1000)/1000</f>
        <v>-225.64677289301352</v>
      </c>
      <c r="G11" s="600">
        <f>+((('Balance de energía'!F8*1000000000)/$G$55)/1000)/1000</f>
        <v>93.749506041529685</v>
      </c>
      <c r="H11" s="600" t="s">
        <v>44</v>
      </c>
      <c r="I11" s="600" t="s">
        <v>44</v>
      </c>
      <c r="J11" s="600" t="s">
        <v>44</v>
      </c>
      <c r="K11" s="601">
        <f>+(('Balance de energía'!J8*1000000000)/$K$55)/1000000</f>
        <v>0</v>
      </c>
      <c r="L11" s="600">
        <f>+(((('Balance de energía'!K8*1000000000)/$L$55)/1000)/$L$56)/1000</f>
        <v>131.27071173728575</v>
      </c>
      <c r="M11" s="600">
        <f>+((('Balance de energía'!L8*1000000000)/$M$55)/1000)/1000</f>
        <v>13.389638272266602</v>
      </c>
      <c r="N11" s="600">
        <f>+(((('Balance de energía'!M8*1000000000)/$N$55)/1000)/'Balance Energético (u.físicas)'!$N$56)/1000</f>
        <v>41.625702000000004</v>
      </c>
      <c r="O11" s="600">
        <f>+(((('Balance de energía'!N8*1000000000)/$O$55)/1000)/'Balance Energético (u.físicas)'!$O$56)/1000</f>
        <v>0.79252000000000133</v>
      </c>
      <c r="P11" s="600">
        <f>+(((('Balance de energía'!O8*1000000000)/$P$55)/1000)/1000)</f>
        <v>32.667800248999995</v>
      </c>
      <c r="Q11" s="600">
        <f>+(((('Balance de energía'!P8*1000000000)/$Q$55)/1000)/'Balance Energético (u.físicas)'!$Q$56)/1000</f>
        <v>2.6766743297872293</v>
      </c>
      <c r="R11" s="600">
        <f>+(((('Balance de energía'!Q8*1000000000)/$R$55)/1000)/'Balance Energético (u.físicas)'!$R$56)/1000</f>
        <v>-0.45947799999999944</v>
      </c>
      <c r="S11" s="600">
        <f>+((('Balance de energía'!R8*1000000000)/'Balance Energético (u.físicas)'!$S$55)/1000000)/'Balance Energético (u.físicas)'!$S$56</f>
        <v>0</v>
      </c>
      <c r="T11" s="600">
        <f>+('Balance de energía'!S8*1000000000)/$T$55/1000</f>
        <v>0</v>
      </c>
      <c r="U11" s="600">
        <f>+(((('Balance de energía'!T8*1000000000)/$U$55)/1000)/1000)</f>
        <v>32.954113719528564</v>
      </c>
      <c r="V11" s="600">
        <v>-79.076449394166744</v>
      </c>
      <c r="W11" s="602">
        <f>+(('Balance de energía'!V8*1000000000)/$W$55)/1000000</f>
        <v>0</v>
      </c>
      <c r="X11" s="600">
        <f>+(((('Balance de energía'!W8*1000000000)/$X$55)/1000)/1000)</f>
        <v>17.331521971428572</v>
      </c>
      <c r="Y11" s="600">
        <f>+('Balance de energía'!X8*1000)/$Y$55</f>
        <v>0</v>
      </c>
      <c r="Z11" s="600">
        <f>+('Balance de energía'!Y8*1000)/$Z$55</f>
        <v>0</v>
      </c>
      <c r="AA11" s="600">
        <f>+('Balance de energía'!Z8*1000)/$AA$55</f>
        <v>0</v>
      </c>
      <c r="AB11" s="602">
        <f>+(('Balance de energía'!AA8*1000000000)/$AB$55)/1000000</f>
        <v>8.5304782608695666E-4</v>
      </c>
      <c r="AC11" s="601">
        <f>+(((('Balance de energía'!AB8*1000000000)/$AC$55)/1000)/1000)</f>
        <v>0</v>
      </c>
      <c r="AE11" s="376"/>
    </row>
    <row r="12" spans="2:34">
      <c r="C12" s="589" t="s">
        <v>420</v>
      </c>
      <c r="D12" s="599">
        <f>+(((('Balance de energía'!C9*1000000000)/'Balance Energético (u.físicas)'!$D$55)/1000)/'Balance Energético (u.físicas)'!$D$56)/1000</f>
        <v>0</v>
      </c>
      <c r="E12" s="600">
        <f>+(('Balance de energía'!D9*1000000000)/$E$55)/1000000</f>
        <v>258.17001307269175</v>
      </c>
      <c r="F12" s="600">
        <f>+((('Balance de energía'!E9*1000000000)/$F$55)/1000)/1000</f>
        <v>-953.2415975073194</v>
      </c>
      <c r="G12" s="600">
        <f>+((('Balance de energía'!F9*1000000000)/$G$55)/1000)/1000</f>
        <v>66.545726896147599</v>
      </c>
      <c r="H12" s="600" t="s">
        <v>44</v>
      </c>
      <c r="I12" s="600" t="s">
        <v>44</v>
      </c>
      <c r="J12" s="600" t="s">
        <v>44</v>
      </c>
      <c r="K12" s="601">
        <f>+(('Balance de energía'!J9*1000000000)/$K$55)/1000000</f>
        <v>6.138047051036871</v>
      </c>
      <c r="L12" s="600">
        <f>+(((('Balance de energía'!K9*1000000000)/$L$55)/1000)/$L$56)/1000</f>
        <v>672.00520486062885</v>
      </c>
      <c r="M12" s="600">
        <f>+((('Balance de energía'!L9*1000000000)/$M$55)/1000)/1000</f>
        <v>-78.137399435296615</v>
      </c>
      <c r="N12" s="600">
        <f>+(((('Balance de energía'!M9*1000000000)/$N$55)/1000)/'Balance Energético (u.físicas)'!$N$56)/1000</f>
        <v>-163.73781274206772</v>
      </c>
      <c r="O12" s="600">
        <f>+(((('Balance de energía'!N9*1000000000)/$O$55)/1000)/'Balance Energético (u.físicas)'!$O$56)/1000</f>
        <v>-2.1040157487616988</v>
      </c>
      <c r="P12" s="600">
        <f>+(((('Balance de energía'!O9*1000000000)/$P$55)/1000)/1000)</f>
        <v>32.447700633853728</v>
      </c>
      <c r="Q12" s="600">
        <f>+(((('Balance de energía'!P9*1000000000)/$Q$55)/1000)/'Balance Energético (u.físicas)'!$Q$56)/1000</f>
        <v>-0.21334175651122153</v>
      </c>
      <c r="R12" s="600">
        <f>+(((('Balance de energía'!Q9*1000000000)/$R$55)/1000)/'Balance Energético (u.físicas)'!$R$56)/1000</f>
        <v>15.993739076219985</v>
      </c>
      <c r="S12" s="600">
        <f>+((('Balance de energía'!R9*1000000000)/'Balance Energético (u.físicas)'!$S$55)/1000000)/'Balance Energético (u.físicas)'!$S$56</f>
        <v>11.18739000000007</v>
      </c>
      <c r="T12" s="600">
        <f>+('Balance de energía'!S9*1000000000)/$T$55/1000</f>
        <v>0</v>
      </c>
      <c r="U12" s="600">
        <f>+(((('Balance de energía'!T9*1000000000)/$U$55)/1000)/1000)</f>
        <v>16.911951488571376</v>
      </c>
      <c r="V12" s="600">
        <v>-5.7347507258214137E-3</v>
      </c>
      <c r="W12" s="602">
        <f>+(('Balance de energía'!V9*1000000000)/$W$55)/1000000</f>
        <v>506.69062504187656</v>
      </c>
      <c r="X12" s="600">
        <f>+(((('Balance de energía'!W9*1000000000)/$X$55)/1000)/1000)</f>
        <v>-10.017371985714295</v>
      </c>
      <c r="Y12" s="600">
        <f>+('Balance de energía'!X9*1000)/$Y$55</f>
        <v>1393.8969101154607</v>
      </c>
      <c r="Z12" s="600">
        <f>+('Balance de energía'!Y9*1000)/$Z$55</f>
        <v>0</v>
      </c>
      <c r="AA12" s="600">
        <f>+('Balance de energía'!Z9*1000)/$AA$55</f>
        <v>13748.847367911581</v>
      </c>
      <c r="AB12" s="602">
        <f>+(('Balance de energía'!AA9*1000000000)/$AB$55)/1000000</f>
        <v>-0.24994198086956368</v>
      </c>
      <c r="AC12" s="601">
        <f>+(((('Balance de energía'!AB9*1000000000)/$AC$55)/1000)/1000)</f>
        <v>0</v>
      </c>
      <c r="AE12" s="376"/>
    </row>
    <row r="13" spans="2:34" ht="13.5" thickBot="1">
      <c r="C13" s="592" t="s">
        <v>290</v>
      </c>
      <c r="D13" s="603">
        <f>+(((('Balance de energía'!C10*1000000000)/'Balance Energético (u.físicas)'!$D$55)/1000)/'Balance Energético (u.físicas)'!$D$56)/1000</f>
        <v>10026.780359200002</v>
      </c>
      <c r="E13" s="604">
        <f>+(('Balance de energía'!D10*1000000000)/$E$55)/1000000</f>
        <v>4440.787135702958</v>
      </c>
      <c r="F13" s="604">
        <f>+((('Balance de energía'!E10*1000000000)/$F$55)/1000)/1000</f>
        <v>10794.588107900321</v>
      </c>
      <c r="G13" s="604">
        <f>+((('Balance de energía'!F10*1000000000)/$G$55)/1000)/1000</f>
        <v>21903.007884015722</v>
      </c>
      <c r="H13" s="604">
        <f>+(('Balance de energía'!G10*1000000000)/$H$55)/1000000</f>
        <v>23617.253634000004</v>
      </c>
      <c r="I13" s="604">
        <f>+(('Balance de energía'!H10*1000000000)/$I$55)/1000000</f>
        <v>2114.2670289999996</v>
      </c>
      <c r="J13" s="604">
        <f>+(('Balance de energía'!I10*1000000000)/$J$55)/1000000</f>
        <v>1260.8661688799998</v>
      </c>
      <c r="K13" s="605">
        <f>+(('Balance de energía'!J10*1000000000)/$K$55)/1000000</f>
        <v>150.45434222948245</v>
      </c>
      <c r="L13" s="604">
        <f>+(((('Balance de energía'!K10*1000000000)/$L$55)/1000)/$L$56)/1000</f>
        <v>5327.2372767830366</v>
      </c>
      <c r="M13" s="604">
        <f>+((('Balance de energía'!L10*1000000000)/$M$55)/1000)/1000</f>
        <v>-205.22889618696996</v>
      </c>
      <c r="N13" s="604">
        <f>+(((('Balance de energía'!M10*1000000000)/$N$55)/1000)/'Balance Energético (u.físicas)'!$N$56)/1000</f>
        <v>694.58511074206785</v>
      </c>
      <c r="O13" s="604">
        <f>+(((('Balance de energía'!N10*1000000000)/$O$55)/1000)/'Balance Energético (u.físicas)'!$O$56)/1000</f>
        <v>1.3108557487616976</v>
      </c>
      <c r="P13" s="604">
        <f>+(((('Balance de energía'!O10*1000000000)/$P$55)/1000)/1000)</f>
        <v>860.37137478714669</v>
      </c>
      <c r="Q13" s="604">
        <f>+(((('Balance de energía'!P10*1000000000)/$Q$55)/1000)/'Balance Energético (u.físicas)'!$Q$56)/1000</f>
        <v>2.3006674267239919</v>
      </c>
      <c r="R13" s="604">
        <f>+(((('Balance de energía'!Q10*1000000000)/$R$55)/1000)/'Balance Energético (u.físicas)'!$R$56)/1000</f>
        <v>601.59816592378002</v>
      </c>
      <c r="S13" s="604">
        <f>+((('Balance de energía'!R10*1000000000)/'Balance Energético (u.físicas)'!$S$55)/1000000)/'Balance Energético (u.físicas)'!$S$56</f>
        <v>191.38780999999994</v>
      </c>
      <c r="T13" s="604">
        <f>+('Balance de energía'!S10*1000000000)/$T$55/1000</f>
        <v>0</v>
      </c>
      <c r="U13" s="604">
        <f>+(((('Balance de energía'!T10*1000000000)/$U$55)/1000)/1000)</f>
        <v>0.60893479190006672</v>
      </c>
      <c r="V13" s="604">
        <f>+(('Balance de energía'!U10*1000000000)/'Balance Energético (u.físicas)'!$V$55)/1000000</f>
        <v>72.637750683590184</v>
      </c>
      <c r="W13" s="606">
        <f>+(('Balance de energía'!V10*1000000000)/$W$55)/1000000</f>
        <v>-4214.0509673046254</v>
      </c>
      <c r="X13" s="604">
        <f>+(((('Balance de energía'!W10*1000000000)/$X$55)/1000)/1000)</f>
        <v>-44.42611127142856</v>
      </c>
      <c r="Y13" s="604">
        <f>+('Balance de energía'!X10*1000)/$Y$55</f>
        <v>-10788.284270932161</v>
      </c>
      <c r="Z13" s="604">
        <f>+('Balance de energía'!Y10*1000)/$Z$55</f>
        <v>0</v>
      </c>
      <c r="AA13" s="604">
        <f>+('Balance de energía'!Z10*1000)/$AA$55</f>
        <v>-128667.751838428</v>
      </c>
      <c r="AB13" s="606">
        <f>+(('Balance de energía'!AA10*1000000000)/$AB$55)/1000000</f>
        <v>0.13948578150695504</v>
      </c>
      <c r="AC13" s="605">
        <f>+(((('Balance de energía'!AB10*1000000000)/$AC$55)/1000)/1000)</f>
        <v>-203.935</v>
      </c>
      <c r="AE13" s="376"/>
      <c r="AF13" s="434"/>
      <c r="AG13" s="434"/>
      <c r="AH13" s="434"/>
    </row>
    <row r="14" spans="2:34" ht="13.5" customHeight="1">
      <c r="B14" s="849" t="s">
        <v>14</v>
      </c>
      <c r="C14" s="589" t="s">
        <v>63</v>
      </c>
      <c r="D14" s="599">
        <f>+(((('Balance de energía'!C11*1000000000)/'Balance Energético (u.físicas)'!$D$55)/1000)/'Balance Energético (u.físicas)'!$D$56)/1000</f>
        <v>0</v>
      </c>
      <c r="E14" s="600">
        <f>+(('Balance de energía'!D11*1000000000)/$E$55)/1000000</f>
        <v>0</v>
      </c>
      <c r="F14" s="600">
        <f>+((('Balance de energía'!E11*1000000000)/$F$55)/1000)/1000</f>
        <v>0</v>
      </c>
      <c r="G14" s="600">
        <f>+((('Balance de energía'!F11*1000000000)/$G$55)/1000)/1000</f>
        <v>0</v>
      </c>
      <c r="H14" s="600">
        <f>+(('Balance de energía'!G11*1000000000)/$H$55)/1000000</f>
        <v>0</v>
      </c>
      <c r="I14" s="600">
        <f>+(('Balance de energía'!H11*1000000000)/$I$55)/1000000</f>
        <v>0</v>
      </c>
      <c r="J14" s="600">
        <f>+(('Balance de energía'!I11*1000000000)/$J$55)/1000000</f>
        <v>0</v>
      </c>
      <c r="K14" s="601">
        <f>+(('Balance de energía'!J11*1000000000)/$K$55)/1000000</f>
        <v>0</v>
      </c>
      <c r="L14" s="600">
        <f>+(((('Balance de energía'!K11*1000000000)/$L$55)/1000)/$L$56)/1000</f>
        <v>0</v>
      </c>
      <c r="M14" s="600">
        <f>+((('Balance de energía'!L11*1000000000)/$M$55)/1000)/1000</f>
        <v>0</v>
      </c>
      <c r="N14" s="600">
        <f>+(((('Balance de energía'!M11*1000000000)/$N$55)/1000)/'Balance Energético (u.físicas)'!$N$56)/1000</f>
        <v>0</v>
      </c>
      <c r="O14" s="600">
        <f>+(((('Balance de energía'!N11*1000000000)/$O$55)/1000)/'Balance Energético (u.físicas)'!$O$56)/1000</f>
        <v>0</v>
      </c>
      <c r="P14" s="600">
        <f>+(((('Balance de energía'!O11*1000000000)/$P$55)/1000)/1000)</f>
        <v>0</v>
      </c>
      <c r="Q14" s="600">
        <f>+(((('Balance de energía'!P11*1000000000)/$Q$55)/1000)/'Balance Energético (u.físicas)'!$Q$56)/1000</f>
        <v>0</v>
      </c>
      <c r="R14" s="600">
        <f>+(((('Balance de energía'!Q11*1000000000)/$R$55)/1000)/'Balance Energético (u.físicas)'!$R$56)/1000</f>
        <v>0</v>
      </c>
      <c r="S14" s="600">
        <f>+((('Balance de energía'!R11*1000000000)/'Balance Energético (u.físicas)'!$S$55)/1000)/'Balance Energético (u.físicas)'!$S$56</f>
        <v>0</v>
      </c>
      <c r="T14" s="600">
        <f>+('Balance de energía'!S11*1000000000)/$T$55/1000</f>
        <v>0</v>
      </c>
      <c r="U14" s="600">
        <f>+(((('Balance de energía'!T11*1000000000)/$U$55)/1000)/1000)</f>
        <v>0</v>
      </c>
      <c r="V14" s="600">
        <f>+(('Balance de energía'!U11*1000000000)/'Balance Energético (u.físicas)'!$V$55)/1000000</f>
        <v>0</v>
      </c>
      <c r="W14" s="602">
        <f>+(('Balance de energía'!V11*1000000000)/$W$55)/1000000</f>
        <v>0</v>
      </c>
      <c r="X14" s="600">
        <f>+(((('Balance de energía'!W11*1000000000)/$X$55)/1000)/1000)</f>
        <v>0</v>
      </c>
      <c r="Y14" s="600">
        <f>+('Balance de energía'!X11*1000)/$Y$55</f>
        <v>0</v>
      </c>
      <c r="Z14" s="600">
        <f>+('Balance de energía'!Y11*1000)/$Z$55</f>
        <v>0</v>
      </c>
      <c r="AA14" s="600">
        <f>+('Balance de energía'!Z11*1000)/$AA$55</f>
        <v>0</v>
      </c>
      <c r="AB14" s="602">
        <f>+(('Balance de energía'!AA11*1000000000)/$AB$55)/1000000</f>
        <v>0</v>
      </c>
      <c r="AC14" s="601">
        <f>+(((('Balance de energía'!AB11*1000000000)/$AC$55)/1000)/1000)</f>
        <v>0</v>
      </c>
      <c r="AE14" s="376"/>
      <c r="AH14" s="435"/>
    </row>
    <row r="15" spans="2:34">
      <c r="B15" s="850"/>
      <c r="C15" s="589" t="s">
        <v>448</v>
      </c>
      <c r="D15" s="599">
        <f>+(((('Balance de energía'!C12*1000000000)/'Balance Energético (u.físicas)'!$D$55)/1000)/'Balance Energético (u.físicas)'!$D$56)/1000</f>
        <v>0</v>
      </c>
      <c r="E15" s="600">
        <f>+(('Balance de energía'!D12*1000000000)/$E$55)/1000000</f>
        <v>-2261.7299998078274</v>
      </c>
      <c r="F15" s="600">
        <f>+((('Balance de energía'!E12*1000000000)/$F$55)/1000)/1000</f>
        <v>-9858.9945361461359</v>
      </c>
      <c r="G15" s="600">
        <f>+((('Balance de energía'!F12*1000000000)/$G$55)/1000)/1000</f>
        <v>-2584.5563030020562</v>
      </c>
      <c r="H15" s="600">
        <f>+(('Balance de energía'!G12*1000000000)/$H$55)/1000000</f>
        <v>-23572.914534000003</v>
      </c>
      <c r="I15" s="600">
        <f>+(('Balance de energía'!H12*1000000000)/$I$55)/1000000</f>
        <v>-2111.7502289999993</v>
      </c>
      <c r="J15" s="600">
        <f>+(('Balance de energía'!I12*1000000000)/$J$55)/1000000</f>
        <v>-1260.7877689999998</v>
      </c>
      <c r="K15" s="601">
        <f>+(('Balance de energía'!J12*1000000000)/$K$55)/1000000</f>
        <v>-119.18786322948245</v>
      </c>
      <c r="L15" s="600">
        <f>+(((('Balance de energía'!K12*1000000000)/$L$55)/1000)/$L$56)/1000</f>
        <v>-545.13959135518644</v>
      </c>
      <c r="M15" s="600">
        <f>+((('Balance de energía'!L12*1000000000)/$M$55)/1000)/1000</f>
        <v>-12.317000000000002</v>
      </c>
      <c r="N15" s="600">
        <f>+(((('Balance de energía'!M12*1000000000)/$N$55)/1000)/'Balance Energético (u.físicas)'!$N$56)/1000</f>
        <v>0</v>
      </c>
      <c r="O15" s="600">
        <f>+(((('Balance de energía'!N12*1000000000)/$O$55)/1000)/'Balance Energético (u.físicas)'!$O$56)/1000</f>
        <v>0</v>
      </c>
      <c r="P15" s="600">
        <f>+(((('Balance de energía'!O12*1000000000)/$P$55)/1000)/1000)</f>
        <v>-0.32647000000000009</v>
      </c>
      <c r="Q15" s="600">
        <f>+(((('Balance de energía'!P12*1000000000)/$Q$55)/1000)/'Balance Energético (u.físicas)'!$Q$56)/1000</f>
        <v>0</v>
      </c>
      <c r="R15" s="600">
        <f>+(((('Balance de energía'!Q12*1000000000)/$R$55)/1000)/'Balance Energético (u.físicas)'!$R$56)/1000</f>
        <v>-0.19500000000000001</v>
      </c>
      <c r="S15" s="600">
        <f>+((('Balance de energía'!R12*1000000000)/'Balance Energético (u.físicas)'!$S$55)/1000)/'Balance Energético (u.físicas)'!$S$56</f>
        <v>0</v>
      </c>
      <c r="T15" s="600">
        <f>+('Balance de energía'!S12*1000000000)/$T$55/1000</f>
        <v>0</v>
      </c>
      <c r="U15" s="600">
        <f>+(((('Balance de energía'!T12*1000000000)/$U$55)/1000)/1000)</f>
        <v>0</v>
      </c>
      <c r="V15" s="600">
        <f>+(('Balance de energía'!U12*1000000000)/'Balance Energético (u.físicas)'!$V$55)/1000000</f>
        <v>0</v>
      </c>
      <c r="W15" s="602">
        <f>+(('Balance de energía'!V12*1000000000)/$W$55)/1000000</f>
        <v>68723.87586822205</v>
      </c>
      <c r="X15" s="600">
        <f>+(((('Balance de energía'!W12*1000000000)/$X$55)/1000)/1000)</f>
        <v>0</v>
      </c>
      <c r="Y15" s="600">
        <f>+('Balance de energía'!X12*1000)/$Y$55</f>
        <v>0</v>
      </c>
      <c r="Z15" s="600">
        <f>+('Balance de energía'!Y12*1000)/$Z$55</f>
        <v>0</v>
      </c>
      <c r="AA15" s="600">
        <f>+('Balance de energía'!Z12*1000)/$AA$55</f>
        <v>0</v>
      </c>
      <c r="AB15" s="602">
        <f>+(('Balance de energía'!AA12*1000000000)/$AB$55)/1000000</f>
        <v>0</v>
      </c>
      <c r="AC15" s="601">
        <f>+(((('Balance de energía'!AB12*1000000000)/$AC$55)/1000)/1000)</f>
        <v>0</v>
      </c>
      <c r="AE15" s="376"/>
      <c r="AH15" s="435"/>
    </row>
    <row r="16" spans="2:34">
      <c r="B16" s="850"/>
      <c r="C16" s="589" t="s">
        <v>449</v>
      </c>
      <c r="D16" s="599">
        <f>+(((('Balance de energía'!C13*1000000000)/'Balance Energético (u.físicas)'!$D$55)/1000)/'Balance Energético (u.físicas)'!$D$56)/1000</f>
        <v>0</v>
      </c>
      <c r="E16" s="600">
        <f>+(('Balance de energía'!D13*1000000000)/$E$55)/1000000</f>
        <v>-46.370111059386616</v>
      </c>
      <c r="F16" s="600">
        <f>+((('Balance de energía'!E13*1000000000)/$F$55)/1000)/1000</f>
        <v>0</v>
      </c>
      <c r="G16" s="600">
        <f>+((('Balance de energía'!F13*1000000000)/$G$55)/1000)/1000</f>
        <v>-8131.4535000113865</v>
      </c>
      <c r="H16" s="600">
        <f>+(('Balance de energía'!G13*1000000000)/$H$55)/1000000</f>
        <v>-44.339100000000002</v>
      </c>
      <c r="I16" s="600">
        <f>+(('Balance de energía'!H13*1000000000)/$I$55)/1000000</f>
        <v>-2.5167999999999999</v>
      </c>
      <c r="J16" s="600">
        <f>+(('Balance de energía'!I13*1000000000)/$J$55)/1000000</f>
        <v>-7.8399879999999991E-2</v>
      </c>
      <c r="K16" s="601">
        <f>+(('Balance de energía'!J13*1000000000)/$K$55)/1000000</f>
        <v>0</v>
      </c>
      <c r="L16" s="600">
        <f>+(((('Balance de energía'!K13*1000000000)/$L$55)/1000)/$L$56)/1000</f>
        <v>-52.711050512380922</v>
      </c>
      <c r="M16" s="600">
        <f>+((('Balance de energía'!L13*1000000000)/$M$55)/1000)/1000</f>
        <v>-77.273658691904103</v>
      </c>
      <c r="N16" s="600">
        <f>+(((('Balance de energía'!M13*1000000000)/$N$55)/1000)/'Balance Energético (u.físicas)'!$N$56)/1000</f>
        <v>0</v>
      </c>
      <c r="O16" s="600">
        <f>+(((('Balance de energía'!N13*1000000000)/$O$55)/1000)/'Balance Energético (u.físicas)'!$O$56)/1000</f>
        <v>0</v>
      </c>
      <c r="P16" s="600">
        <f>+(((('Balance de energía'!O13*1000000000)/$P$55)/1000)/1000)</f>
        <v>-1.294481755187215</v>
      </c>
      <c r="Q16" s="600">
        <f>+(((('Balance de energía'!P13*1000000000)/$Q$55)/1000)/'Balance Energético (u.físicas)'!$Q$56)/1000</f>
        <v>0</v>
      </c>
      <c r="R16" s="600">
        <f>+(((('Balance de energía'!Q13*1000000000)/$R$55)/1000)/'Balance Energético (u.físicas)'!$R$56)/1000</f>
        <v>-5.0999999999999995E-3</v>
      </c>
      <c r="S16" s="600">
        <f>+((('Balance de energía'!R13*1000000000)/'Balance Energético (u.físicas)'!$S$55)/1000)/'Balance Energético (u.físicas)'!$S$56</f>
        <v>0</v>
      </c>
      <c r="T16" s="600">
        <f>+('Balance de energía'!S13*1000000000)/$T$55/1000</f>
        <v>0</v>
      </c>
      <c r="U16" s="600">
        <f>+(((('Balance de energía'!T13*1000000000)/$U$55)/1000)/1000)</f>
        <v>-200.74700000000001</v>
      </c>
      <c r="V16" s="600">
        <f>+(('Balance de energía'!U13*1000000000)/'Balance Energético (u.físicas)'!$V$55)/1000000</f>
        <v>0</v>
      </c>
      <c r="W16" s="602">
        <f>+(('Balance de energía'!V13*1000000000)/$W$55)/1000000</f>
        <v>5801.2727110730775</v>
      </c>
      <c r="X16" s="600">
        <f>+(((('Balance de energía'!W13*1000000000)/$X$55)/1000)/1000)</f>
        <v>0</v>
      </c>
      <c r="Y16" s="600">
        <f>+('Balance de energía'!X13*1000)/$Y$55</f>
        <v>0</v>
      </c>
      <c r="Z16" s="600">
        <f>+('Balance de energía'!Y13*1000)/$Z$55</f>
        <v>0</v>
      </c>
      <c r="AA16" s="600">
        <f>+('Balance de energía'!Z13*1000)/$AA$55</f>
        <v>0</v>
      </c>
      <c r="AB16" s="602">
        <f>+(('Balance de energía'!AA13*1000000000)/$AB$55)/1000000</f>
        <v>0</v>
      </c>
      <c r="AC16" s="601">
        <f>+(((('Balance de energía'!AB13*1000000000)/$AC$55)/1000)/1000)</f>
        <v>0</v>
      </c>
      <c r="AE16" s="376"/>
      <c r="AH16" s="435"/>
    </row>
    <row r="17" spans="2:34">
      <c r="B17" s="850"/>
      <c r="C17" s="589" t="s">
        <v>450</v>
      </c>
      <c r="D17" s="599">
        <f>+(((('Balance de energía'!C14*1000000000)/'Balance Energético (u.físicas)'!$D$55)/1000)/'Balance Energético (u.físicas)'!$D$56)/1000</f>
        <v>0</v>
      </c>
      <c r="E17" s="600">
        <f>+(('Balance de energía'!D14*1000000000)/$E$55)/1000000</f>
        <v>0</v>
      </c>
      <c r="F17" s="600">
        <f>+((('Balance de energía'!E14*1000000000)/$F$55)/1000)/1000</f>
        <v>-549.37146137142861</v>
      </c>
      <c r="G17" s="600">
        <f>+((('Balance de energía'!F14*1000000000)/$G$55)/1000)/1000</f>
        <v>0</v>
      </c>
      <c r="H17" s="600">
        <f>+(('Balance de energía'!G14*1000000000)/$H$55)/1000000</f>
        <v>0</v>
      </c>
      <c r="I17" s="600">
        <f>+(('Balance de energía'!H14*1000000000)/$I$55)/1000000</f>
        <v>0</v>
      </c>
      <c r="J17" s="600">
        <f>+(('Balance de energía'!I14*1000000000)/$J$55)/1000000</f>
        <v>0</v>
      </c>
      <c r="K17" s="601">
        <f>+(('Balance de energía'!J14*1000000000)/$K$55)/1000000</f>
        <v>0</v>
      </c>
      <c r="L17" s="600">
        <f>+(((('Balance de energía'!K14*1000000000)/$L$55)/1000)/$L$56)/1000</f>
        <v>0</v>
      </c>
      <c r="M17" s="600">
        <f>+((('Balance de energía'!L14*1000000000)/$M$55)/1000)/1000</f>
        <v>0</v>
      </c>
      <c r="N17" s="600">
        <f>+(((('Balance de energía'!M14*1000000000)/$N$55)/1000)/'Balance Energético (u.físicas)'!$N$56)/1000</f>
        <v>0</v>
      </c>
      <c r="O17" s="600">
        <f>+(((('Balance de energía'!N14*1000000000)/$O$55)/1000)/'Balance Energético (u.físicas)'!$O$56)/1000</f>
        <v>0</v>
      </c>
      <c r="P17" s="600">
        <f>+(((('Balance de energía'!O14*1000000000)/$P$55)/1000)/1000)</f>
        <v>0</v>
      </c>
      <c r="Q17" s="600">
        <f>+(((('Balance de energía'!P14*1000000000)/$Q$55)/1000)/'Balance Energético (u.físicas)'!$Q$56)/1000</f>
        <v>0</v>
      </c>
      <c r="R17" s="600">
        <f>+(((('Balance de energía'!Q14*1000000000)/$R$55)/1000)/'Balance Energético (u.físicas)'!$R$56)/1000</f>
        <v>0</v>
      </c>
      <c r="S17" s="600">
        <f>+((('Balance de energía'!R14*1000000000)/'Balance Energético (u.físicas)'!$S$55)/1000)/'Balance Energético (u.físicas)'!$S$56</f>
        <v>0</v>
      </c>
      <c r="T17" s="600">
        <f>+('Balance de energía'!S14*1000000000)/$T$55/1000</f>
        <v>0</v>
      </c>
      <c r="U17" s="600">
        <f>+(((('Balance de energía'!T14*1000000000)/$U$55)/1000)/1000)</f>
        <v>0</v>
      </c>
      <c r="V17" s="600">
        <f>+(('Balance de energía'!U14*1000000000)/'Balance Energético (u.físicas)'!$V$55)/1000000</f>
        <v>0</v>
      </c>
      <c r="W17" s="602">
        <f>+(('Balance de energía'!V14*1000000000)/$W$55)/1000000</f>
        <v>0</v>
      </c>
      <c r="X17" s="600">
        <f>+(((('Balance de energía'!W14*1000000000)/$X$55)/1000)/1000)</f>
        <v>417.0198063085715</v>
      </c>
      <c r="Y17" s="600">
        <f>+('Balance de energía'!X14*1000)/$Y$55</f>
        <v>178855.6330034034</v>
      </c>
      <c r="Z17" s="600">
        <f>+('Balance de energía'!Y14*1000)/$Z$55</f>
        <v>19.545100000000001</v>
      </c>
      <c r="AA17" s="600">
        <f>+('Balance de energía'!Z14*1000)/$AA$55</f>
        <v>0</v>
      </c>
      <c r="AB17" s="602">
        <f>+(('Balance de energía'!AA14*1000000000)/$AB$55)/1000000</f>
        <v>0</v>
      </c>
      <c r="AC17" s="601">
        <f>+(((('Balance de energía'!AB14*1000000000)/$AC$55)/1000)/1000)</f>
        <v>0</v>
      </c>
      <c r="AE17" s="376"/>
      <c r="AH17" s="435"/>
    </row>
    <row r="18" spans="2:34">
      <c r="B18" s="850"/>
      <c r="C18" s="589" t="s">
        <v>451</v>
      </c>
      <c r="D18" s="599">
        <f>+(((('Balance de energía'!C15*1000000000)/'Balance Energético (u.físicas)'!$D$55)/1000)/'Balance Energético (u.físicas)'!$D$56)/1000</f>
        <v>0</v>
      </c>
      <c r="E18" s="600">
        <f>+(('Balance de energía'!D15*1000000000)/$E$55)/1000000</f>
        <v>0</v>
      </c>
      <c r="F18" s="600">
        <f>+((('Balance de energía'!E15*1000000000)/$F$55)/1000)/1000</f>
        <v>0</v>
      </c>
      <c r="G18" s="600">
        <f>+((('Balance de energía'!F15*1000000000)/$G$55)/1000)/1000</f>
        <v>0</v>
      </c>
      <c r="H18" s="600">
        <f>+(('Balance de energía'!G15*1000000000)/$H$55)/1000000</f>
        <v>0</v>
      </c>
      <c r="I18" s="600">
        <f>+(('Balance de energía'!H15*1000000000)/$I$55)/1000000</f>
        <v>0</v>
      </c>
      <c r="J18" s="600">
        <f>+(('Balance de energía'!I15*1000000000)/$J$55)/1000000</f>
        <v>0</v>
      </c>
      <c r="K18" s="601">
        <f>+(('Balance de energía'!J15*1000000000)/$K$55)/1000000</f>
        <v>0</v>
      </c>
      <c r="L18" s="600">
        <f>+(((('Balance de energía'!K15*1000000000)/$L$55)/1000)/$L$56)/1000</f>
        <v>0</v>
      </c>
      <c r="M18" s="600">
        <f>+((('Balance de energía'!L15*1000000000)/$M$55)/1000)/1000</f>
        <v>0</v>
      </c>
      <c r="N18" s="600">
        <f>+(((('Balance de energía'!M15*1000000000)/$N$55)/1000)/'Balance Energético (u.físicas)'!$N$56)/1000</f>
        <v>0</v>
      </c>
      <c r="O18" s="600">
        <f>+(((('Balance de energía'!N15*1000000000)/$O$55)/1000)/'Balance Energético (u.físicas)'!$O$56)/1000</f>
        <v>0</v>
      </c>
      <c r="P18" s="600">
        <f>+(((('Balance de energía'!O15*1000000000)/$P$55)/1000)/1000)</f>
        <v>0</v>
      </c>
      <c r="Q18" s="600">
        <f>+(((('Balance de energía'!P15*1000000000)/$Q$55)/1000)/'Balance Energético (u.físicas)'!$Q$56)/1000</f>
        <v>0</v>
      </c>
      <c r="R18" s="600">
        <f>+(((('Balance de energía'!Q15*1000000000)/$R$55)/1000)/'Balance Energético (u.físicas)'!$R$56)/1000</f>
        <v>0</v>
      </c>
      <c r="S18" s="600">
        <f>+((('Balance de energía'!R15*1000000000)/'Balance Energético (u.físicas)'!$S$55)/1000)/'Balance Energético (u.físicas)'!$S$56</f>
        <v>0</v>
      </c>
      <c r="T18" s="600">
        <f>+('Balance de energía'!S15*1000000000)/$T$55/1000</f>
        <v>0</v>
      </c>
      <c r="U18" s="600">
        <f>+(((('Balance de energía'!T15*1000000000)/$U$55)/1000)/1000)</f>
        <v>0</v>
      </c>
      <c r="V18" s="600">
        <f>+(('Balance de energía'!U15*1000000000)/'Balance Energético (u.físicas)'!$V$55)/1000000</f>
        <v>0</v>
      </c>
      <c r="W18" s="602">
        <f>+(('Balance de energía'!V15*1000000000)/$W$55)/1000000</f>
        <v>0</v>
      </c>
      <c r="X18" s="600">
        <f>+(((('Balance de energía'!W15*1000000000)/$X$55)/1000)/1000)</f>
        <v>-359.73236139428576</v>
      </c>
      <c r="Y18" s="600">
        <f>+('Balance de energía'!X15*1000)/$Y$55</f>
        <v>0</v>
      </c>
      <c r="Z18" s="600">
        <f>+('Balance de energía'!Y15*1000)/$Z$55</f>
        <v>0</v>
      </c>
      <c r="AA18" s="600">
        <f>+('Balance de energía'!Z15*1000)/$AA$55</f>
        <v>1135994.5109765916</v>
      </c>
      <c r="AB18" s="602">
        <f>+(('Balance de energía'!AA15*1000000000)/$AB$55)/1000000</f>
        <v>0</v>
      </c>
      <c r="AC18" s="601">
        <f>+(((('Balance de energía'!AB15*1000000000)/$AC$55)/1000)/1000)</f>
        <v>0</v>
      </c>
      <c r="AE18" s="376"/>
      <c r="AH18" s="435"/>
    </row>
    <row r="19" spans="2:34">
      <c r="B19" s="850"/>
      <c r="C19" s="589" t="s">
        <v>282</v>
      </c>
      <c r="D19" s="599">
        <f>+(((('Balance de energía'!C16*1000000000)/'Balance Energético (u.físicas)'!$D$55)/1000)/'Balance Energético (u.físicas)'!$D$56)/1000</f>
        <v>0</v>
      </c>
      <c r="E19" s="600">
        <f>+(('Balance de energía'!D16*1000000000)/$E$55)/1000000</f>
        <v>-8.3405240231238622</v>
      </c>
      <c r="F19" s="600">
        <f>+((('Balance de energía'!E16*1000000000)/$F$55)/1000)/1000</f>
        <v>0</v>
      </c>
      <c r="G19" s="600">
        <f>+((('Balance de energía'!F16*1000000000)/$G$55)/1000)/1000</f>
        <v>0</v>
      </c>
      <c r="H19" s="600">
        <f>+(('Balance de energía'!G16*1000000000)/$H$55)/1000000</f>
        <v>0</v>
      </c>
      <c r="I19" s="600">
        <f>+(('Balance de energía'!H16*1000000000)/$I$55)/1000000</f>
        <v>0</v>
      </c>
      <c r="J19" s="600">
        <f>+(('Balance de energía'!I16*1000000000)/$J$55)/1000000</f>
        <v>0</v>
      </c>
      <c r="K19" s="601">
        <f>+(('Balance de energía'!J16*1000000000)/$K$55)/1000000</f>
        <v>-2</v>
      </c>
      <c r="L19" s="600">
        <f>+(((('Balance de energía'!K16*1000000000)/$L$55)/1000)/$L$56)/1000</f>
        <v>0</v>
      </c>
      <c r="M19" s="600">
        <f>+((('Balance de energía'!L16*1000000000)/$M$55)/1000)/1000</f>
        <v>0</v>
      </c>
      <c r="N19" s="600">
        <f>+(((('Balance de energía'!M16*1000000000)/$N$55)/1000)/'Balance Energético (u.físicas)'!$N$56)/1000</f>
        <v>0</v>
      </c>
      <c r="O19" s="600">
        <f>+(((('Balance de energía'!N16*1000000000)/$O$55)/1000)/'Balance Energético (u.físicas)'!$O$56)/1000</f>
        <v>0</v>
      </c>
      <c r="P19" s="600">
        <f>+(((('Balance de energía'!O16*1000000000)/$P$55)/1000)/1000)</f>
        <v>0</v>
      </c>
      <c r="Q19" s="600">
        <f>+(((('Balance de energía'!P16*1000000000)/$Q$55)/1000)/'Balance Energético (u.físicas)'!$Q$56)/1000</f>
        <v>0</v>
      </c>
      <c r="R19" s="600">
        <f>+(((('Balance de energía'!Q16*1000000000)/$R$55)/1000)/'Balance Energético (u.físicas)'!$R$56)/1000</f>
        <v>0</v>
      </c>
      <c r="S19" s="600">
        <f>+((('Balance de energía'!R16*1000000000)/'Balance Energético (u.físicas)'!$S$55)/1000)/'Balance Energético (u.físicas)'!$S$56</f>
        <v>0</v>
      </c>
      <c r="T19" s="600">
        <f>+('Balance de energía'!S16*1000000000)/$T$55/1000</f>
        <v>0</v>
      </c>
      <c r="U19" s="600">
        <f>+(((('Balance de energía'!T16*1000000000)/$U$55)/1000)/1000)</f>
        <v>0</v>
      </c>
      <c r="V19" s="600">
        <f>+(('Balance de energía'!U16*1000000000)/'Balance Energético (u.físicas)'!$V$55)/1000000</f>
        <v>0</v>
      </c>
      <c r="W19" s="602">
        <f>+(('Balance de energía'!V16*1000000000)/$W$55)/1000000</f>
        <v>0</v>
      </c>
      <c r="X19" s="600">
        <f>+(((('Balance de energía'!W16*1000000000)/$X$55)/1000)/1000)</f>
        <v>0</v>
      </c>
      <c r="Y19" s="600">
        <f>+('Balance de energía'!X16*1000)/$Y$55</f>
        <v>0</v>
      </c>
      <c r="Z19" s="600">
        <f>+('Balance de energía'!Y16*1000)/$Z$55</f>
        <v>0</v>
      </c>
      <c r="AA19" s="600">
        <f>+('Balance de energía'!Z16*1000)/$AA$55</f>
        <v>0</v>
      </c>
      <c r="AB19" s="602">
        <f>+(('Balance de energía'!AA16*1000000000)/$AB$55)/1000000</f>
        <v>17.141387173913046</v>
      </c>
      <c r="AC19" s="601">
        <f>+(((('Balance de energía'!AB16*1000000000)/$AC$55)/1000)/1000)</f>
        <v>0</v>
      </c>
      <c r="AE19" s="376"/>
      <c r="AH19" s="435"/>
    </row>
    <row r="20" spans="2:34">
      <c r="B20" s="850"/>
      <c r="C20" s="589" t="s">
        <v>452</v>
      </c>
      <c r="D20" s="599">
        <f>+(((('Balance de energía'!C17*1000000000)/'Balance Energético (u.físicas)'!$D$55)/1000)/'Balance Energético (u.físicas)'!$D$56)/1000</f>
        <v>-10026.780359200002</v>
      </c>
      <c r="E20" s="600">
        <f>+(('Balance de energía'!D17*1000000000)/$E$55)/1000000</f>
        <v>0</v>
      </c>
      <c r="F20" s="600">
        <f>+((('Balance de energía'!E17*1000000000)/$F$55)/1000)/1000</f>
        <v>0</v>
      </c>
      <c r="G20" s="600">
        <f>+((('Balance de energía'!F17*1000000000)/$G$55)/1000)/1000</f>
        <v>0</v>
      </c>
      <c r="H20" s="600">
        <f>+(('Balance de energía'!G17*1000000000)/$H$55)/1000000</f>
        <v>0</v>
      </c>
      <c r="I20" s="600">
        <f>+(('Balance de energía'!H17*1000000000)/$I$55)/1000000</f>
        <v>0</v>
      </c>
      <c r="J20" s="600">
        <f>+(('Balance de energía'!I17*1000000000)/$J$55)/1000000</f>
        <v>0</v>
      </c>
      <c r="K20" s="601">
        <f>+(('Balance de energía'!J17*1000000000)/$K$55)/1000000</f>
        <v>0</v>
      </c>
      <c r="L20" s="600">
        <f>+(((('Balance de energía'!K17*1000000000)/$L$55)/1000)/$L$56)/1000</f>
        <v>3476.8104149999995</v>
      </c>
      <c r="M20" s="600">
        <f>+((('Balance de energía'!L17*1000000000)/$M$55)/1000)/1000</f>
        <v>1190.6131499999999</v>
      </c>
      <c r="N20" s="600">
        <f>+(((('Balance de energía'!M17*1000000000)/$N$55)/1000)/'Balance Energético (u.físicas)'!$N$56)/1000</f>
        <v>3524.8596999999995</v>
      </c>
      <c r="O20" s="600">
        <f>+(((('Balance de energía'!N17*1000000000)/$O$55)/1000)/'Balance Energético (u.físicas)'!$O$56)/1000</f>
        <v>175.75550000000001</v>
      </c>
      <c r="P20" s="600">
        <f>+(((('Balance de energía'!O17*1000000000)/$P$55)/1000)/1000)</f>
        <v>299.2332199999999</v>
      </c>
      <c r="Q20" s="600">
        <f>+(((('Balance de energía'!P17*1000000000)/$Q$55)/1000)/'Balance Energético (u.físicas)'!$Q$56)/1000</f>
        <v>6.5342000000000002</v>
      </c>
      <c r="R20" s="600">
        <f>+(((('Balance de energía'!Q17*1000000000)/$R$55)/1000)/'Balance Energético (u.físicas)'!$R$56)/1000</f>
        <v>706.63292000000001</v>
      </c>
      <c r="S20" s="600">
        <f>+((('Balance de energía'!R17*1000000000)/'Balance Energético (u.físicas)'!$S$55)/1000000)/'Balance Energético (u.físicas)'!$S$56</f>
        <v>-16.943138676184258</v>
      </c>
      <c r="T20" s="600">
        <f>+('Balance de energía'!S17*1000000000)/$T$55/1000</f>
        <v>346.50899547228465</v>
      </c>
      <c r="U20" s="600">
        <f>+(((('Balance de energía'!T17*1000000000)/$U$55)/1000)/1000)</f>
        <v>503.91863320810006</v>
      </c>
      <c r="V20" s="600">
        <f>+(('Balance de energía'!U17*1000000000)/'Balance Energético (u.físicas)'!$V$55)/1000000</f>
        <v>164.09425484549979</v>
      </c>
      <c r="W20" s="602">
        <f>+(('Balance de energía'!V17*1000000000)/$W$55)/1000000</f>
        <v>0</v>
      </c>
      <c r="X20" s="600">
        <f>+(((('Balance de energía'!W17*1000000000)/$X$55)/1000)/1000)</f>
        <v>0</v>
      </c>
      <c r="Y20" s="600">
        <f>+('Balance de energía'!X17*1000)/$Y$55</f>
        <v>0</v>
      </c>
      <c r="Z20" s="600">
        <f>+('Balance de energía'!Y17*1000)/$Z$55</f>
        <v>0</v>
      </c>
      <c r="AA20" s="600">
        <f>+('Balance de energía'!Z17*1000)/$AA$55</f>
        <v>0</v>
      </c>
      <c r="AB20" s="602">
        <f>+(('Balance de energía'!AA17*1000000000)/$AB$55)/1000000</f>
        <v>0</v>
      </c>
      <c r="AC20" s="601">
        <f>+(((('Balance de energía'!AB17*1000000000)/$AC$55)/1000)/1000)</f>
        <v>0</v>
      </c>
      <c r="AE20" s="376"/>
      <c r="AH20" s="435"/>
    </row>
    <row r="21" spans="2:34" ht="13.5" thickBot="1">
      <c r="B21" s="851"/>
      <c r="C21" s="589" t="s">
        <v>453</v>
      </c>
      <c r="D21" s="599">
        <f>+(((('Balance de energía'!C18*1000000000)/'Balance Energético (u.físicas)'!$D$55)/1000)/'Balance Energético (u.físicas)'!$D$56)/1000</f>
        <v>0</v>
      </c>
      <c r="E21" s="600">
        <f>+(('Balance de energía'!D18*1000000000)/$E$55)/1000000</f>
        <v>-154.17243805802377</v>
      </c>
      <c r="F21" s="600">
        <f>+((('Balance de energía'!E18*1000000000)/$F$55)/1000)/1000</f>
        <v>0</v>
      </c>
      <c r="G21" s="600">
        <f>+((('Balance de energía'!F18*1000000000)/$G$55)/1000)/1000</f>
        <v>0</v>
      </c>
      <c r="H21" s="600">
        <f>+(('Balance de energía'!G18*1000000000)/$H$55)/1000000</f>
        <v>0</v>
      </c>
      <c r="I21" s="600">
        <f>+(('Balance de energía'!H18*1000000000)/$I$55)/1000000</f>
        <v>0</v>
      </c>
      <c r="J21" s="600">
        <f>+(('Balance de energía'!I18*1000000000)/$J$55)/1000000</f>
        <v>0</v>
      </c>
      <c r="K21" s="601">
        <f>+(('Balance de energía'!J18*1000000000)/$K$55)/1000000</f>
        <v>0</v>
      </c>
      <c r="L21" s="600">
        <f>+(((('Balance de energía'!K18*1000000000)/$L$55)/1000)/$L$56)/1000</f>
        <v>0</v>
      </c>
      <c r="M21" s="600">
        <f>+((('Balance de energía'!L18*1000000000)/$M$55)/1000)/1000</f>
        <v>0</v>
      </c>
      <c r="N21" s="600">
        <f>+(((('Balance de energía'!M18*1000000000)/$N$55)/1000)/'Balance Energético (u.físicas)'!$N$56)/1000</f>
        <v>0</v>
      </c>
      <c r="O21" s="600">
        <f>+(((('Balance de energía'!N18*1000000000)/$O$55)/1000)/'Balance Energético (u.físicas)'!$O$56)/1000</f>
        <v>0</v>
      </c>
      <c r="P21" s="600">
        <f>+(((('Balance de energía'!O18*1000000000)/$P$55)/1000)/1000)</f>
        <v>0</v>
      </c>
      <c r="Q21" s="600">
        <f>+(((('Balance de energía'!P18*1000000000)/$Q$55)/1000)/'Balance Energético (u.físicas)'!$Q$56)/1000</f>
        <v>0</v>
      </c>
      <c r="R21" s="600">
        <f>+(((('Balance de energía'!Q18*1000000000)/$R$55)/1000)/'Balance Energético (u.físicas)'!$R$56)/1000</f>
        <v>0</v>
      </c>
      <c r="S21" s="600">
        <f>+((('Balance de energía'!R18*1000000000)/'Balance Energético (u.físicas)'!$S$55)/1000)/'Balance Energético (u.físicas)'!$S$56</f>
        <v>0</v>
      </c>
      <c r="T21" s="600">
        <f>+('Balance de energía'!S18*1000000000)/$T$55/1000</f>
        <v>0</v>
      </c>
      <c r="U21" s="600">
        <f>+(((('Balance de energía'!T18*1000000000)/$U$55)/1000)/1000)</f>
        <v>0</v>
      </c>
      <c r="V21" s="600">
        <f>+(('Balance de energía'!U18*1000000000)/'Balance Energético (u.físicas)'!$V$55)/1000000</f>
        <v>0</v>
      </c>
      <c r="W21" s="602">
        <f>+(('Balance de energía'!V18*1000000000)/$W$55)/1000000</f>
        <v>0</v>
      </c>
      <c r="X21" s="600">
        <f>+(((('Balance de energía'!W18*1000000000)/$X$55)/1000)/1000)</f>
        <v>0</v>
      </c>
      <c r="Y21" s="600">
        <f>+('Balance de energía'!X18*1000)/$Y$55</f>
        <v>0</v>
      </c>
      <c r="Z21" s="600">
        <f>+('Balance de energía'!Y18*1000)/$Z$55</f>
        <v>0</v>
      </c>
      <c r="AA21" s="600">
        <f>+('Balance de energía'!Z18*1000)/$AA$55</f>
        <v>0</v>
      </c>
      <c r="AB21" s="602">
        <f>+(('Balance de energía'!AA18*1000000000)/$AB$55)/1000000</f>
        <v>0</v>
      </c>
      <c r="AC21" s="601">
        <f>+(((('Balance de energía'!AB18*1000000000)/$AC$55)/1000)/1000)</f>
        <v>203.935</v>
      </c>
      <c r="AE21" s="376"/>
      <c r="AH21" s="435"/>
    </row>
    <row r="22" spans="2:34" ht="13.5" thickBot="1">
      <c r="B22" s="369"/>
      <c r="C22" s="592" t="s">
        <v>62</v>
      </c>
      <c r="D22" s="603">
        <f>+(((('Balance de energía'!C19*1000000000)/'Balance Energético (u.físicas)'!$D$55)/1000)/'Balance Energético (u.físicas)'!$D$56)/1000</f>
        <v>0</v>
      </c>
      <c r="E22" s="604">
        <f>+(('Balance de energía'!D19*1000000000)/$E$55)/1000000</f>
        <v>1886.1030627545974</v>
      </c>
      <c r="F22" s="604">
        <f>+((('Balance de energía'!E19*1000000000)/$F$55)/1000)/1000</f>
        <v>386.22211038275753</v>
      </c>
      <c r="G22" s="604">
        <f>+((('Balance de energía'!F19*1000000000)/$G$55)/1000)/1000</f>
        <v>11186.998081002286</v>
      </c>
      <c r="H22" s="604">
        <f>+(('Balance de energía'!G19*1000000000)/$H$55)/1000000</f>
        <v>0</v>
      </c>
      <c r="I22" s="604">
        <f>+(('Balance de energía'!H19*1000000000)/$I$55)/1000000</f>
        <v>0</v>
      </c>
      <c r="J22" s="604">
        <f>+(('Balance de energía'!I19*1000000000)/$J$55)/1000000</f>
        <v>0</v>
      </c>
      <c r="K22" s="605">
        <f>+(('Balance de energía'!J19*1000000000)/$K$55)/1000000</f>
        <v>29.266479</v>
      </c>
      <c r="L22" s="604">
        <f>+(((('Balance de energía'!K19*1000000000)/$L$55)/1000)/$L$56)/1000</f>
        <v>8206.1970499154686</v>
      </c>
      <c r="M22" s="604">
        <f>+((('Balance de energía'!L19*1000000000)/$M$55)/1000)/1000</f>
        <v>895.79359512112615</v>
      </c>
      <c r="N22" s="604">
        <f>+(((('Balance de energía'!M19*1000000000)/$N$55)/1000)/'Balance Energético (u.físicas)'!$N$56)/1000</f>
        <v>4219.4448107420676</v>
      </c>
      <c r="O22" s="604">
        <f>+(((('Balance de energía'!N19*1000000000)/$O$55)/1000)/'Balance Energético (u.físicas)'!$O$56)/1000</f>
        <v>177.06635574876165</v>
      </c>
      <c r="P22" s="604">
        <f>+(((('Balance de energía'!O19*1000000000)/$P$55)/1000)/1000)</f>
        <v>1157.9836430319594</v>
      </c>
      <c r="Q22" s="604">
        <f>+(((('Balance de energía'!P19*1000000000)/$Q$55)/1000)/'Balance Energético (u.físicas)'!$Q$56)/1000</f>
        <v>8.8348674267239922</v>
      </c>
      <c r="R22" s="604">
        <f>+(((('Balance de energía'!Q19*1000000000)/$R$55)/1000)/'Balance Energético (u.físicas)'!$R$56)/1000</f>
        <v>1308.0309859237802</v>
      </c>
      <c r="S22" s="604">
        <f>+((('Balance de energía'!R19*1000000000)/'Balance Energético (u.físicas)'!$S$55)/1000000)/'Balance Energético (u.físicas)'!$S$56</f>
        <v>174.44467132381567</v>
      </c>
      <c r="T22" s="604">
        <f>+('Balance de energía'!S19*1000000000)/$T$55/1000</f>
        <v>346.50899547228465</v>
      </c>
      <c r="U22" s="604">
        <f>+(((('Balance de energía'!T19*1000000000)/$U$55)/1000)/1000)</f>
        <v>303.78056800000002</v>
      </c>
      <c r="V22" s="604">
        <f>+(('Balance de energía'!U19*1000000000)/'Balance Energético (u.físicas)'!$V$55)/1000000</f>
        <v>236.73200552908997</v>
      </c>
      <c r="W22" s="606">
        <f>+(('Balance de energía'!V19*1000000000)/$W$55)/1000000</f>
        <v>70311.097611990481</v>
      </c>
      <c r="X22" s="604">
        <f>+(((('Balance de energía'!W19*1000000000)/$X$55)/1000)/1000)</f>
        <v>12.861333642857144</v>
      </c>
      <c r="Y22" s="604">
        <f>+('Balance de energía'!X19*1000)/$Y$55</f>
        <v>168067.34873247123</v>
      </c>
      <c r="Z22" s="604">
        <f>+('Balance de energía'!Y19*1000)/$Z$55</f>
        <v>19.545100000000001</v>
      </c>
      <c r="AA22" s="604">
        <f>+('Balance de energía'!Z19*1000)/$AA$55</f>
        <v>1007326.7591381635</v>
      </c>
      <c r="AB22" s="606">
        <f>+(('Balance de energía'!AA19*1000000000)/$AB$55)/1000000</f>
        <v>17.280872955419998</v>
      </c>
      <c r="AC22" s="605">
        <f>+(((('Balance de energía'!AB19*1000000000)/$AC$55)/1000)/1000)</f>
        <v>0</v>
      </c>
      <c r="AE22" s="376"/>
    </row>
    <row r="23" spans="2:34" ht="12.75" customHeight="1">
      <c r="B23" s="849" t="s">
        <v>13</v>
      </c>
      <c r="C23" s="590" t="s">
        <v>283</v>
      </c>
      <c r="D23" s="607">
        <f>+(((('Balance de energía'!C20*1000000000)/'Balance Energético (u.físicas)'!$D$55)/1000)/'Balance Energético (u.físicas)'!$D$56)/1000</f>
        <v>0</v>
      </c>
      <c r="E23" s="608">
        <f>+(('Balance de energía'!D20*1000000000)/$E$55)/1000000</f>
        <v>305.5350090649618</v>
      </c>
      <c r="F23" s="608">
        <f>+((('Balance de energía'!E20*1000000000)/$F$55)/1000)/1000</f>
        <v>0</v>
      </c>
      <c r="G23" s="608">
        <f>+((('Balance de energía'!F20*1000000000)/$G$55)/1000)/1000</f>
        <v>0</v>
      </c>
      <c r="H23" s="608">
        <f>+(('Balance de energía'!G20*1000000000)/$H$55)/1000000</f>
        <v>0</v>
      </c>
      <c r="I23" s="608">
        <f>+(('Balance de energía'!H20*1000000000)/$I$55)/1000000</f>
        <v>0</v>
      </c>
      <c r="J23" s="608">
        <f>+(('Balance de energía'!I20*1000000000)/$J$55)/1000000</f>
        <v>0</v>
      </c>
      <c r="K23" s="609">
        <f>+(('Balance de energía'!J20*1000000000)/$K$55)/1000000</f>
        <v>0</v>
      </c>
      <c r="L23" s="608">
        <f>+(((('Balance de energía'!K20*1000000000)/$L$55)/1000)/$L$56)/1000</f>
        <v>9.2574000000000004E-2</v>
      </c>
      <c r="M23" s="608">
        <f>+((('Balance de energía'!L20*1000000000)/$M$55)/1000)/1000</f>
        <v>3.2391129999999997</v>
      </c>
      <c r="N23" s="608">
        <f>+(((('Balance de energía'!M20*1000000000)/$N$55)/1000)/'Balance Energético (u.físicas)'!$N$56)/1000</f>
        <v>0</v>
      </c>
      <c r="O23" s="608">
        <f>+(((('Balance de energía'!N20*1000000000)/$O$55)/1000)/'Balance Energético (u.físicas)'!$O$56)/1000</f>
        <v>5.669999999999999E-4</v>
      </c>
      <c r="P23" s="608">
        <f>+(((('Balance de energía'!O20*1000000000)/$P$55)/1000)/1000)</f>
        <v>12.684631</v>
      </c>
      <c r="Q23" s="608">
        <f>+(((('Balance de energía'!P20*1000000000)/$Q$55)/1000)/'Balance Energético (u.físicas)'!$Q$56)/1000</f>
        <v>0</v>
      </c>
      <c r="R23" s="608">
        <f>+(((('Balance de energía'!Q20*1000000000)/$R$55)/1000)/'Balance Energético (u.físicas)'!$R$56)/1000</f>
        <v>2.29E-2</v>
      </c>
      <c r="S23" s="608">
        <f>+((('Balance de energía'!R20*1000000000)/'Balance Energético (u.físicas)'!$S$55)/1000000)/'Balance Energético (u.físicas)'!$S$56</f>
        <v>174.44467132381567</v>
      </c>
      <c r="T23" s="608">
        <f>+('Balance de energía'!S20*1000000000)/$T$55/1000</f>
        <v>346.50899547228465</v>
      </c>
      <c r="U23" s="608">
        <f>+(((('Balance de energía'!T20*1000000000)/$U$55)/1000)/1000)</f>
        <v>0</v>
      </c>
      <c r="V23" s="608">
        <f>+(('Balance de energía'!U20*1000000000)/'Balance Energético (u.físicas)'!$V$55)/1000000</f>
        <v>69.635434913785147</v>
      </c>
      <c r="W23" s="610">
        <f>+(('Balance de energía'!V20*1000000000)/$W$55)/1000000</f>
        <v>3832.1806380064513</v>
      </c>
      <c r="X23" s="608">
        <f>+(((('Balance de energía'!W20*1000000000)/$X$55)/1000)/1000)</f>
        <v>0</v>
      </c>
      <c r="Y23" s="608">
        <f>+('Balance de energía'!X20*1000)/$Y$55</f>
        <v>48377.161186134021</v>
      </c>
      <c r="Z23" s="608">
        <f>+('Balance de energía'!Y20*1000)/$Z$55</f>
        <v>19.545100000000001</v>
      </c>
      <c r="AA23" s="608">
        <f>+('Balance de energía'!Z20*1000)/$AA$55</f>
        <v>791103.8347350437</v>
      </c>
      <c r="AB23" s="610">
        <f>+(('Balance de energía'!AA20*1000000000)/$AB$55)/1000000</f>
        <v>5.6454935420000012E-2</v>
      </c>
      <c r="AC23" s="609">
        <f>+(((('Balance de energía'!AB20*1000000000)/$AC$55)/1000)/1000)</f>
        <v>0</v>
      </c>
      <c r="AE23" s="376"/>
    </row>
    <row r="24" spans="2:34">
      <c r="B24" s="850"/>
      <c r="C24" s="589" t="s">
        <v>63</v>
      </c>
      <c r="D24" s="599">
        <f>+(((('Balance de energía'!C21*1000000000)/'Balance Energético (u.físicas)'!$D$55)/1000)/'Balance Energético (u.físicas)'!$D$56)/1000</f>
        <v>0</v>
      </c>
      <c r="E24" s="600">
        <f>+(('Balance de energía'!D21*1000000000)/$E$55)/1000000</f>
        <v>0</v>
      </c>
      <c r="F24" s="600">
        <f>+((('Balance de energía'!E21*1000000000)/$F$55)/1000)/1000</f>
        <v>0</v>
      </c>
      <c r="G24" s="600">
        <f>+((('Balance de energía'!F21*1000000000)/$G$55)/1000)/1000</f>
        <v>0</v>
      </c>
      <c r="H24" s="600">
        <f>+(('Balance de energía'!G21*1000000000)/$H$55)/1000000</f>
        <v>0</v>
      </c>
      <c r="I24" s="600">
        <f>+(('Balance de energía'!H21*1000000000)/$I$55)/1000000</f>
        <v>0</v>
      </c>
      <c r="J24" s="600">
        <f>+(('Balance de energía'!I21*1000000000)/$J$55)/1000000</f>
        <v>0</v>
      </c>
      <c r="K24" s="601">
        <f>+(('Balance de energía'!J21*1000000000)/$K$55)/1000000</f>
        <v>0</v>
      </c>
      <c r="L24" s="600">
        <f>+(((('Balance de energía'!K21*1000000000)/$L$55)/1000)/$L$56)/1000</f>
        <v>9.2574000000000004E-2</v>
      </c>
      <c r="M24" s="600">
        <f>+((('Balance de energía'!L21*1000000000)/$M$55)/1000)/1000</f>
        <v>0</v>
      </c>
      <c r="N24" s="600">
        <f>+(((('Balance de energía'!M21*1000000000)/$N$55)/1000)/'Balance Energético (u.físicas)'!$N$56)/1000</f>
        <v>0</v>
      </c>
      <c r="O24" s="600">
        <f>+(((('Balance de energía'!N21*1000000000)/$O$55)/1000)/'Balance Energético (u.físicas)'!$O$56)/1000</f>
        <v>0</v>
      </c>
      <c r="P24" s="600">
        <f>+(((('Balance de energía'!O21*1000000000)/$P$55)/1000)/1000)</f>
        <v>0.337113</v>
      </c>
      <c r="Q24" s="600">
        <f>+(((('Balance de energía'!P21*1000000000)/$Q$55)/1000)/'Balance Energético (u.físicas)'!$Q$56)/1000</f>
        <v>0</v>
      </c>
      <c r="R24" s="600">
        <f>+(((('Balance de energía'!Q21*1000000000)/$R$55)/1000)/'Balance Energético (u.físicas)'!$R$56)/1000</f>
        <v>0</v>
      </c>
      <c r="S24" s="600">
        <f>+((('Balance de energía'!R21*1000000000)/'Balance Energético (u.físicas)'!$S$55)/1000)/'Balance Energético (u.físicas)'!$S$56</f>
        <v>0</v>
      </c>
      <c r="T24" s="600">
        <f>+('Balance de energía'!S21*1000000000)/$T$55/1000</f>
        <v>0</v>
      </c>
      <c r="U24" s="600">
        <f>+(((('Balance de energía'!T21*1000000000)/$U$55)/1000)/1000)</f>
        <v>0</v>
      </c>
      <c r="V24" s="600">
        <f>+(('Balance de energía'!U21*1000000000)/'Balance Energético (u.físicas)'!$V$55)/1000000</f>
        <v>0</v>
      </c>
      <c r="W24" s="602">
        <f>+(('Balance de energía'!V21*1000000000)/$W$55)/1000000</f>
        <v>2.8376670000000002</v>
      </c>
      <c r="X24" s="600">
        <f>+(((('Balance de energía'!W21*1000000000)/$X$55)/1000)/1000)</f>
        <v>0</v>
      </c>
      <c r="Y24" s="600">
        <f>+('Balance de energía'!X21*1000)/$Y$55</f>
        <v>0</v>
      </c>
      <c r="Z24" s="600">
        <f>+('Balance de energía'!Y21*1000)/$Z$55</f>
        <v>0</v>
      </c>
      <c r="AA24" s="600">
        <f>+('Balance de energía'!Z21*1000)/$AA$55</f>
        <v>0</v>
      </c>
      <c r="AB24" s="602">
        <f>+(('Balance de energía'!AA21*1000000000)/$AB$55)/1000000</f>
        <v>0</v>
      </c>
      <c r="AC24" s="601">
        <f>+(((('Balance de energía'!AB21*1000000000)/$AC$55)/1000)/1000)</f>
        <v>0</v>
      </c>
      <c r="AE24" s="376"/>
    </row>
    <row r="25" spans="2:34">
      <c r="B25" s="850"/>
      <c r="C25" s="589" t="s">
        <v>126</v>
      </c>
      <c r="D25" s="599">
        <f>+(((('Balance de energía'!C22*1000000000)/'Balance Energético (u.físicas)'!$D$55)/1000)/'Balance Energético (u.físicas)'!$D$56)/1000</f>
        <v>0</v>
      </c>
      <c r="E25" s="600">
        <f>+(('Balance de energía'!D22*1000000000)/$E$55)/1000000</f>
        <v>0</v>
      </c>
      <c r="F25" s="600">
        <f>+((('Balance de energía'!E22*1000000000)/$F$55)/1000)/1000</f>
        <v>0</v>
      </c>
      <c r="G25" s="600">
        <f>+((('Balance de energía'!F22*1000000000)/$G$55)/1000)/1000</f>
        <v>0</v>
      </c>
      <c r="H25" s="600">
        <f>+(('Balance de energía'!G22*1000000000)/$H$55)/1000000</f>
        <v>0</v>
      </c>
      <c r="I25" s="600">
        <f>+(('Balance de energía'!H22*1000000000)/$I$55)/1000000</f>
        <v>0</v>
      </c>
      <c r="J25" s="600">
        <f>+(('Balance de energía'!I22*1000000000)/$J$55)/1000000</f>
        <v>0</v>
      </c>
      <c r="K25" s="601">
        <f>+(('Balance de energía'!J22*1000000000)/$K$55)/1000000</f>
        <v>0</v>
      </c>
      <c r="L25" s="600">
        <f>+(((('Balance de energía'!K22*1000000000)/$L$55)/1000)/$L$56)/1000</f>
        <v>0</v>
      </c>
      <c r="M25" s="600">
        <f>+((('Balance de energía'!L22*1000000000)/$M$55)/1000)/1000</f>
        <v>0</v>
      </c>
      <c r="N25" s="600">
        <f>+(((('Balance de energía'!M22*1000000000)/$N$55)/1000)/'Balance Energético (u.físicas)'!$N$56)/1000</f>
        <v>0</v>
      </c>
      <c r="O25" s="600">
        <f>+(((('Balance de energía'!N22*1000000000)/$O$55)/1000)/'Balance Energético (u.físicas)'!$O$56)/1000</f>
        <v>0</v>
      </c>
      <c r="P25" s="600">
        <f>+(((('Balance de energía'!O22*1000000000)/$P$55)/1000)/1000)</f>
        <v>0</v>
      </c>
      <c r="Q25" s="600">
        <f>+(((('Balance de energía'!P22*1000000000)/$Q$55)/1000)/'Balance Energético (u.físicas)'!$Q$56)/1000</f>
        <v>0</v>
      </c>
      <c r="R25" s="600">
        <f>+(((('Balance de energía'!Q22*1000000000)/$R$55)/1000)/'Balance Energético (u.físicas)'!$R$56)/1000</f>
        <v>0</v>
      </c>
      <c r="S25" s="600">
        <f>+((('Balance de energía'!R22*1000000000)/'Balance Energético (u.físicas)'!$S$55)/1000)/'Balance Energético (u.físicas)'!$S$56</f>
        <v>0</v>
      </c>
      <c r="T25" s="600">
        <f>+('Balance de energía'!S22*1000000000)/$T$55/1000</f>
        <v>0</v>
      </c>
      <c r="U25" s="600">
        <f>+(((('Balance de energía'!T22*1000000000)/$U$55)/1000)/1000)</f>
        <v>0</v>
      </c>
      <c r="V25" s="600">
        <f>+(('Balance de energía'!U22*1000000000)/'Balance Energético (u.físicas)'!$V$55)/1000000</f>
        <v>0</v>
      </c>
      <c r="W25" s="602">
        <f>+(('Balance de energía'!V22*1000000000)/$W$55)/1000000</f>
        <v>3189.0839973066832</v>
      </c>
      <c r="X25" s="600">
        <f>+(((('Balance de energía'!W22*1000000000)/$X$55)/1000)/1000)</f>
        <v>0</v>
      </c>
      <c r="Y25" s="600">
        <f>+('Balance de energía'!X22*1000)/$Y$55</f>
        <v>0</v>
      </c>
      <c r="Z25" s="600">
        <f>+('Balance de energía'!Y22*1000)/$Z$55</f>
        <v>0</v>
      </c>
      <c r="AA25" s="600">
        <f>+('Balance de energía'!Z22*1000)/$AA$55</f>
        <v>0</v>
      </c>
      <c r="AB25" s="602">
        <f>+(('Balance de energía'!AA22*1000000000)/$AB$55)/1000000</f>
        <v>0</v>
      </c>
      <c r="AC25" s="601">
        <f>+(((('Balance de energía'!AB22*1000000000)/$AC$55)/1000)/1000)</f>
        <v>0</v>
      </c>
      <c r="AE25" s="376"/>
    </row>
    <row r="26" spans="2:34">
      <c r="B26" s="850"/>
      <c r="C26" s="589" t="s">
        <v>450</v>
      </c>
      <c r="D26" s="599">
        <f>+(((('Balance de energía'!C23*1000000000)/'Balance Energético (u.físicas)'!$D$55)/1000)/'Balance Energético (u.físicas)'!$D$56)/1000</f>
        <v>0</v>
      </c>
      <c r="E26" s="600">
        <f>+(('Balance de energía'!D23*1000000000)/$E$55)/1000000</f>
        <v>0</v>
      </c>
      <c r="F26" s="600">
        <f>+((('Balance de energía'!E23*1000000000)/$F$55)/1000)/1000</f>
        <v>0</v>
      </c>
      <c r="G26" s="600">
        <f>+((('Balance de energía'!F23*1000000000)/$G$55)/1000)/1000</f>
        <v>0</v>
      </c>
      <c r="H26" s="600">
        <f>+(('Balance de energía'!G23*1000000000)/$H$55)/1000000</f>
        <v>0</v>
      </c>
      <c r="I26" s="600">
        <f>+(('Balance de energía'!H23*1000000000)/$I$55)/1000000</f>
        <v>0</v>
      </c>
      <c r="J26" s="600">
        <f>+(('Balance de energía'!I23*1000000000)/$J$55)/1000000</f>
        <v>0</v>
      </c>
      <c r="K26" s="601">
        <f>+(('Balance de energía'!J23*1000000000)/$K$55)/1000000</f>
        <v>0</v>
      </c>
      <c r="L26" s="600">
        <f>+(((('Balance de energía'!K23*1000000000)/$L$55)/1000)/$L$56)/1000</f>
        <v>0</v>
      </c>
      <c r="M26" s="600">
        <f>+((('Balance de energía'!L23*1000000000)/$M$55)/1000)/1000</f>
        <v>0</v>
      </c>
      <c r="N26" s="600">
        <f>+(((('Balance de energía'!M23*1000000000)/$N$55)/1000)/'Balance Energético (u.físicas)'!$N$56)/1000</f>
        <v>0</v>
      </c>
      <c r="O26" s="600">
        <f>+(((('Balance de energía'!N23*1000000000)/$O$55)/1000)/'Balance Energético (u.físicas)'!$O$56)/1000</f>
        <v>0</v>
      </c>
      <c r="P26" s="600">
        <f>+(((('Balance de energía'!O23*1000000000)/$P$55)/1000)/1000)</f>
        <v>0</v>
      </c>
      <c r="Q26" s="600">
        <f>+(((('Balance de energía'!P23*1000000000)/$Q$55)/1000)/'Balance Energético (u.físicas)'!$Q$56)/1000</f>
        <v>0</v>
      </c>
      <c r="R26" s="600">
        <f>+(((('Balance de energía'!Q23*1000000000)/$R$55)/1000)/'Balance Energético (u.físicas)'!$R$56)/1000</f>
        <v>0</v>
      </c>
      <c r="S26" s="600">
        <f>+((('Balance de energía'!R23*1000000000)/'Balance Energético (u.físicas)'!$S$55)/1000)/'Balance Energético (u.físicas)'!$S$56</f>
        <v>0</v>
      </c>
      <c r="T26" s="600">
        <f>+('Balance de energía'!S23*1000000000)/$T$55/1000</f>
        <v>0</v>
      </c>
      <c r="U26" s="600">
        <f>+(((('Balance de energía'!T23*1000000000)/$U$55)/1000)/1000)</f>
        <v>0</v>
      </c>
      <c r="V26" s="600">
        <f>+(('Balance de energía'!U23*1000000000)/'Balance Energético (u.físicas)'!$V$55)/1000000</f>
        <v>0</v>
      </c>
      <c r="W26" s="602">
        <f>+(('Balance de energía'!V23*1000000000)/$W$55)/1000000</f>
        <v>0</v>
      </c>
      <c r="X26" s="600">
        <f>+(((('Balance de energía'!W23*1000000000)/$X$55)/1000)/1000)</f>
        <v>0</v>
      </c>
      <c r="Y26" s="600">
        <f>+('Balance de energía'!X23*1000)/$Y$55</f>
        <v>23221.111512796993</v>
      </c>
      <c r="Z26" s="600">
        <f>+('Balance de energía'!Y23*1000)/$Z$55</f>
        <v>0</v>
      </c>
      <c r="AA26" s="600">
        <f>+('Balance de energía'!Z23*1000)/$AA$55</f>
        <v>415481.65684992331</v>
      </c>
      <c r="AB26" s="602">
        <f>+(('Balance de energía'!AA23*1000000000)/$AB$55)/1000000</f>
        <v>0</v>
      </c>
      <c r="AC26" s="601">
        <f>+(((('Balance de energía'!AB23*1000000000)/$AC$55)/1000)/1000)</f>
        <v>0</v>
      </c>
      <c r="AE26" s="376"/>
    </row>
    <row r="27" spans="2:34">
      <c r="B27" s="850"/>
      <c r="C27" s="589" t="s">
        <v>451</v>
      </c>
      <c r="D27" s="599">
        <f>+(((('Balance de energía'!C24*1000000000)/'Balance Energético (u.físicas)'!$D$55)/1000)/'Balance Energético (u.físicas)'!$D$56)/1000</f>
        <v>0</v>
      </c>
      <c r="E27" s="600">
        <f>+(('Balance de energía'!D24*1000000000)/$E$55)/1000000</f>
        <v>2.4887057060271922</v>
      </c>
      <c r="F27" s="600">
        <f>+((('Balance de energía'!E24*1000000000)/$F$55)/1000)/1000</f>
        <v>0</v>
      </c>
      <c r="G27" s="600">
        <f>+((('Balance de energía'!F24*1000000000)/$G$55)/1000)/1000</f>
        <v>0</v>
      </c>
      <c r="H27" s="600">
        <f>+(('Balance de energía'!G24*1000000000)/$H$55)/1000000</f>
        <v>0</v>
      </c>
      <c r="I27" s="600">
        <f>+(('Balance de energía'!H24*1000000000)/$I$55)/1000000</f>
        <v>0</v>
      </c>
      <c r="J27" s="600">
        <f>+(('Balance de energía'!I24*1000000000)/$J$55)/1000000</f>
        <v>0</v>
      </c>
      <c r="K27" s="601">
        <f>+(('Balance de energía'!J24*1000000000)/$K$55)/1000000</f>
        <v>0</v>
      </c>
      <c r="L27" s="600">
        <f>+(((('Balance de energía'!K24*1000000000)/$L$55)/1000)/$L$56)/1000</f>
        <v>0</v>
      </c>
      <c r="M27" s="600">
        <f>+((('Balance de energía'!L24*1000000000)/$M$55)/1000)/1000</f>
        <v>3.2391129999999997</v>
      </c>
      <c r="N27" s="600">
        <f>+(((('Balance de energía'!M24*1000000000)/$N$55)/1000)/'Balance Energético (u.físicas)'!$N$56)/1000</f>
        <v>0</v>
      </c>
      <c r="O27" s="600">
        <f>+(((('Balance de energía'!N24*1000000000)/$O$55)/1000)/'Balance Energético (u.físicas)'!$O$56)/1000</f>
        <v>5.669999999999999E-4</v>
      </c>
      <c r="P27" s="600">
        <f>+(((('Balance de energía'!O24*1000000000)/$P$55)/1000)/1000)</f>
        <v>0.15130500000000002</v>
      </c>
      <c r="Q27" s="600">
        <f>+(((('Balance de energía'!P24*1000000000)/$Q$55)/1000)/'Balance Energético (u.físicas)'!$Q$56)/1000</f>
        <v>0</v>
      </c>
      <c r="R27" s="600">
        <f>+(((('Balance de energía'!Q24*1000000000)/$R$55)/1000)/'Balance Energético (u.físicas)'!$R$56)/1000</f>
        <v>0</v>
      </c>
      <c r="S27" s="600">
        <f>+((('Balance de energía'!R24*1000000000)/'Balance Energético (u.físicas)'!$S$55)/1000)/'Balance Energético (u.físicas)'!$S$56</f>
        <v>0</v>
      </c>
      <c r="T27" s="600">
        <f>+('Balance de energía'!S24*1000000000)/$T$55/1000</f>
        <v>0</v>
      </c>
      <c r="U27" s="600">
        <f>+(((('Balance de energía'!T24*1000000000)/$U$55)/1000)/1000)</f>
        <v>0</v>
      </c>
      <c r="V27" s="600">
        <f>+(('Balance de energía'!U24*1000000000)/'Balance Energético (u.físicas)'!$V$55)/1000000</f>
        <v>0</v>
      </c>
      <c r="W27" s="602">
        <f>+(('Balance de energía'!V24*1000000000)/$W$55)/1000000</f>
        <v>0</v>
      </c>
      <c r="X27" s="600">
        <f>+(((('Balance de energía'!W24*1000000000)/$X$55)/1000)/1000)</f>
        <v>0</v>
      </c>
      <c r="Y27" s="600">
        <f>+('Balance de energía'!X24*1000)/$Y$55</f>
        <v>25156.049673337024</v>
      </c>
      <c r="Z27" s="600">
        <f>+('Balance de energía'!Y24*1000)/$Z$55</f>
        <v>19.545100000000001</v>
      </c>
      <c r="AA27" s="600">
        <f>+('Balance de energía'!Z24*1000)/$AA$55</f>
        <v>375622.17788512039</v>
      </c>
      <c r="AB27" s="602">
        <f>+(('Balance de energía'!AA24*1000000000)/$AB$55)/1000000</f>
        <v>0</v>
      </c>
      <c r="AC27" s="601">
        <f>+(((('Balance de energía'!AB24*1000000000)/$AC$55)/1000)/1000)</f>
        <v>0</v>
      </c>
      <c r="AE27" s="376"/>
    </row>
    <row r="28" spans="2:34">
      <c r="B28" s="850"/>
      <c r="C28" s="589" t="s">
        <v>282</v>
      </c>
      <c r="D28" s="599">
        <f>+(((('Balance de energía'!C25*1000000000)/'Balance Energético (u.físicas)'!$D$55)/1000)/'Balance Energético (u.físicas)'!$D$56)/1000</f>
        <v>0</v>
      </c>
      <c r="E28" s="600">
        <f>+(('Balance de energía'!D25*1000000000)/$E$55)/1000000</f>
        <v>0</v>
      </c>
      <c r="F28" s="600">
        <f>+((('Balance de energía'!E25*1000000000)/$F$55)/1000)/1000</f>
        <v>0</v>
      </c>
      <c r="G28" s="600">
        <f>+((('Balance de energía'!F25*1000000000)/$G$55)/1000)/1000</f>
        <v>0</v>
      </c>
      <c r="H28" s="600">
        <f>+(('Balance de energía'!G25*1000000000)/$H$55)/1000000</f>
        <v>0</v>
      </c>
      <c r="I28" s="600">
        <f>+(('Balance de energía'!H25*1000000000)/$I$55)/1000000</f>
        <v>0</v>
      </c>
      <c r="J28" s="600">
        <f>+(('Balance de energía'!I25*1000000000)/$J$55)/1000000</f>
        <v>0</v>
      </c>
      <c r="K28" s="601">
        <f>+(('Balance de energía'!J25*1000000000)/$K$55)/1000000</f>
        <v>0</v>
      </c>
      <c r="L28" s="600">
        <f>+(((('Balance de energía'!K25*1000000000)/$L$55)/1000)/$L$56)/1000</f>
        <v>0</v>
      </c>
      <c r="M28" s="600">
        <f>+((('Balance de energía'!L25*1000000000)/$M$55)/1000)/1000</f>
        <v>0</v>
      </c>
      <c r="N28" s="600">
        <f>+(((('Balance de energía'!M25*1000000000)/$N$55)/1000)/'Balance Energético (u.físicas)'!$N$56)/1000</f>
        <v>0</v>
      </c>
      <c r="O28" s="600">
        <f>+(((('Balance de energía'!N25*1000000000)/$O$55)/1000)/'Balance Energético (u.físicas)'!$O$56)/1000</f>
        <v>0</v>
      </c>
      <c r="P28" s="600">
        <f>+(((('Balance de energía'!O25*1000000000)/$P$55)/1000)/1000)</f>
        <v>5.13E-4</v>
      </c>
      <c r="Q28" s="600">
        <f>+(((('Balance de energía'!P25*1000000000)/$Q$55)/1000)/'Balance Energético (u.físicas)'!$Q$56)/1000</f>
        <v>0</v>
      </c>
      <c r="R28" s="600">
        <f>+(((('Balance de energía'!Q25*1000000000)/$R$55)/1000)/'Balance Energético (u.físicas)'!$R$56)/1000</f>
        <v>0</v>
      </c>
      <c r="S28" s="600">
        <f>+((('Balance de energía'!R25*1000000000)/'Balance Energético (u.físicas)'!$S$55)/1000)/'Balance Energético (u.físicas)'!$S$56</f>
        <v>0</v>
      </c>
      <c r="T28" s="600">
        <f>+('Balance de energía'!S25*1000000000)/$T$55/1000</f>
        <v>0</v>
      </c>
      <c r="U28" s="600">
        <f>+(((('Balance de energía'!T25*1000000000)/$U$55)/1000)/1000)</f>
        <v>0</v>
      </c>
      <c r="V28" s="600">
        <f>+(('Balance de energía'!U25*1000000000)/'Balance Energético (u.físicas)'!$V$55)/1000000</f>
        <v>0</v>
      </c>
      <c r="W28" s="602">
        <f>+(('Balance de energía'!V25*1000000000)/$W$55)/1000000</f>
        <v>0</v>
      </c>
      <c r="X28" s="600">
        <f>+(((('Balance de energía'!W25*1000000000)/$X$55)/1000)/1000)</f>
        <v>0</v>
      </c>
      <c r="Y28" s="600">
        <f>+('Balance de energía'!X25*1000)/$Y$55</f>
        <v>0</v>
      </c>
      <c r="Z28" s="600">
        <f>+('Balance de energía'!Y25*1000)/$Z$55</f>
        <v>0</v>
      </c>
      <c r="AA28" s="600">
        <f>+('Balance de energía'!Z25*1000)/$AA$55</f>
        <v>0</v>
      </c>
      <c r="AB28" s="602">
        <f>+(('Balance de energía'!AA25*1000000000)/$AB$55)/1000000</f>
        <v>5.6454935420000012E-2</v>
      </c>
      <c r="AC28" s="601">
        <f>+(((('Balance de energía'!AB25*1000000000)/$AC$55)/1000)/1000)</f>
        <v>0</v>
      </c>
      <c r="AE28" s="376"/>
    </row>
    <row r="29" spans="2:34">
      <c r="B29" s="850"/>
      <c r="C29" s="589" t="s">
        <v>452</v>
      </c>
      <c r="D29" s="599">
        <f>+(((('Balance de energía'!C26*1000000000)/'Balance Energético (u.físicas)'!$D$55)/1000)/'Balance Energético (u.físicas)'!$D$56)/1000</f>
        <v>0</v>
      </c>
      <c r="E29" s="600">
        <f>+(('Balance de energía'!D26*1000000000)/$E$55)/1000000</f>
        <v>229.75951963128233</v>
      </c>
      <c r="F29" s="600">
        <f>+((('Balance de energía'!E26*1000000000)/$F$55)/1000)/1000</f>
        <v>0</v>
      </c>
      <c r="G29" s="600">
        <f>+((('Balance de energía'!F26*1000000000)/$G$55)/1000)/1000</f>
        <v>0</v>
      </c>
      <c r="H29" s="600">
        <f>+(('Balance de energía'!G26*1000000000)/$H$55)/1000000</f>
        <v>0</v>
      </c>
      <c r="I29" s="600">
        <f>+(('Balance de energía'!H26*1000000000)/$I$55)/1000000</f>
        <v>0</v>
      </c>
      <c r="J29" s="600">
        <f>+(('Balance de energía'!I26*1000000000)/$J$55)/1000000</f>
        <v>0</v>
      </c>
      <c r="K29" s="601">
        <f>+(('Balance de energía'!J26*1000000000)/$K$55)/1000000</f>
        <v>0</v>
      </c>
      <c r="L29" s="600">
        <f>+(((('Balance de energía'!K26*1000000000)/$L$55)/1000)/$L$56)/1000</f>
        <v>0</v>
      </c>
      <c r="M29" s="600">
        <f>+((('Balance de energía'!L26*1000000000)/$M$55)/1000)/1000</f>
        <v>0</v>
      </c>
      <c r="N29" s="600">
        <f>+(((('Balance de energía'!M26*1000000000)/$N$55)/1000)/'Balance Energético (u.físicas)'!$N$56)/1000</f>
        <v>0</v>
      </c>
      <c r="O29" s="600">
        <f>+(((('Balance de energía'!N26*1000000000)/$O$55)/1000)/'Balance Energético (u.físicas)'!$O$56)/1000</f>
        <v>0</v>
      </c>
      <c r="P29" s="600">
        <f>+(((('Balance de energía'!O26*1000000000)/$P$55)/1000)/1000)</f>
        <v>12.1957</v>
      </c>
      <c r="Q29" s="600">
        <f>+(((('Balance de energía'!P26*1000000000)/$Q$55)/1000)/'Balance Energético (u.físicas)'!$Q$56)/1000</f>
        <v>0</v>
      </c>
      <c r="R29" s="600">
        <f>+(((('Balance de energía'!Q26*1000000000)/$R$55)/1000)/'Balance Energético (u.físicas)'!$R$56)/1000</f>
        <v>2.29E-2</v>
      </c>
      <c r="S29" s="600">
        <f>+((('Balance de energía'!R26*1000000000)/'Balance Energético (u.físicas)'!$S$55)/1000000)/'Balance Energético (u.físicas)'!$S$56</f>
        <v>174.44467132381567</v>
      </c>
      <c r="T29" s="600">
        <f>+('Balance de energía'!S26*1000000000)/$T$55/1000</f>
        <v>346.50899547228465</v>
      </c>
      <c r="U29" s="600">
        <f>+(((('Balance de energía'!T26*1000000000)/$U$55)/1000)/1000)</f>
        <v>0</v>
      </c>
      <c r="V29" s="600">
        <f>+(('Balance de energía'!U26*1000000000)/'Balance Energético (u.físicas)'!$V$55)/1000000</f>
        <v>69.635434913785147</v>
      </c>
      <c r="W29" s="602">
        <f>+(('Balance de energía'!V26*1000000000)/$W$55)/1000000</f>
        <v>625.22297369976752</v>
      </c>
      <c r="X29" s="600">
        <f>+(((('Balance de energía'!W26*1000000000)/$X$55)/1000)/1000)</f>
        <v>0</v>
      </c>
      <c r="Y29" s="600">
        <f>+('Balance de energía'!X26*1000)/$Y$55</f>
        <v>0</v>
      </c>
      <c r="Z29" s="600">
        <f>+('Balance de energía'!Y26*1000)/$Z$55</f>
        <v>0</v>
      </c>
      <c r="AA29" s="600">
        <f>+('Balance de energía'!Z26*1000)/$AA$55</f>
        <v>0</v>
      </c>
      <c r="AB29" s="602">
        <f>+(('Balance de energía'!AA26*1000000000)/$AB$55)/1000000</f>
        <v>0</v>
      </c>
      <c r="AC29" s="601">
        <f>+(((('Balance de energía'!AB26*1000000000)/$AC$55)/1000)/1000)</f>
        <v>0</v>
      </c>
      <c r="AE29" s="376"/>
    </row>
    <row r="30" spans="2:34">
      <c r="B30" s="850"/>
      <c r="C30" s="589" t="s">
        <v>453</v>
      </c>
      <c r="D30" s="599">
        <f>+(((('Balance de energía'!C27*1000000000)/'Balance Energético (u.físicas)'!$D$55)/1000)/'Balance Energético (u.físicas)'!$D$56)/1000</f>
        <v>0</v>
      </c>
      <c r="E30" s="600">
        <f>+(('Balance de energía'!D27*1000000000)/$E$55)/1000000</f>
        <v>73.286783727652278</v>
      </c>
      <c r="F30" s="600">
        <f>+((('Balance de energía'!E27*1000000000)/$F$55)/1000)/1000</f>
        <v>0</v>
      </c>
      <c r="G30" s="600">
        <f>+((('Balance de energía'!F27*1000000000)/$G$55)/1000)/1000</f>
        <v>0</v>
      </c>
      <c r="H30" s="600">
        <f>+(('Balance de energía'!G27*1000000000)/$H$55)/1000000</f>
        <v>0</v>
      </c>
      <c r="I30" s="600">
        <f>+(('Balance de energía'!H27*1000000000)/$I$55)/1000000</f>
        <v>0</v>
      </c>
      <c r="J30" s="600">
        <f>+(('Balance de energía'!I27*1000000000)/$J$55)/1000000</f>
        <v>0</v>
      </c>
      <c r="K30" s="601">
        <f>+(('Balance de energía'!J27*1000000000)/$K$55)/1000000</f>
        <v>0</v>
      </c>
      <c r="L30" s="600">
        <f>+(((('Balance de energía'!K27*1000000000)/$L$55)/1000)/$L$56)/1000</f>
        <v>0</v>
      </c>
      <c r="M30" s="600">
        <f>+((('Balance de energía'!L27*1000000000)/$M$55)/1000)/1000</f>
        <v>0</v>
      </c>
      <c r="N30" s="600">
        <f>+(((('Balance de energía'!M27*1000000000)/$N$55)/1000)/'Balance Energético (u.físicas)'!$N$56)/1000</f>
        <v>0</v>
      </c>
      <c r="O30" s="600">
        <f>+(((('Balance de energía'!N27*1000000000)/$O$55)/1000)/'Balance Energético (u.físicas)'!$O$56)/1000</f>
        <v>0</v>
      </c>
      <c r="P30" s="600">
        <f>+(((('Balance de energía'!O27*1000000000)/$P$55)/1000)/1000)</f>
        <v>0</v>
      </c>
      <c r="Q30" s="600">
        <f>+(((('Balance de energía'!P27*1000000000)/$Q$55)/1000)/'Balance Energético (u.físicas)'!$Q$56)/1000</f>
        <v>0</v>
      </c>
      <c r="R30" s="600">
        <f>+(((('Balance de energía'!Q27*1000000000)/$R$55)/1000)/'Balance Energético (u.físicas)'!$R$56)/1000</f>
        <v>0</v>
      </c>
      <c r="S30" s="600">
        <f>+((('Balance de energía'!R27*1000000000)/'Balance Energético (u.físicas)'!$S$55)/1000)/'Balance Energético (u.físicas)'!$S$56</f>
        <v>0</v>
      </c>
      <c r="T30" s="600">
        <f>+('Balance de energía'!S27*1000000000)/$T$55/1000</f>
        <v>0</v>
      </c>
      <c r="U30" s="600">
        <f>+(((('Balance de energía'!T27*1000000000)/$U$55)/1000)/1000)</f>
        <v>0</v>
      </c>
      <c r="V30" s="600">
        <f>+(('Balance de energía'!U27*1000000000)/'Balance Energético (u.físicas)'!$V$55)/1000000</f>
        <v>0</v>
      </c>
      <c r="W30" s="602">
        <f>+(('Balance de energía'!V27*1000000000)/$W$55)/1000000</f>
        <v>15.036</v>
      </c>
      <c r="X30" s="600">
        <f>+(((('Balance de energía'!W27*1000000000)/$X$55)/1000)/1000)</f>
        <v>0</v>
      </c>
      <c r="Y30" s="600">
        <f>+('Balance de energía'!X27*1000)/$Y$55</f>
        <v>0</v>
      </c>
      <c r="Z30" s="600">
        <f>+('Balance de energía'!Y27*1000)/$Z$55</f>
        <v>0</v>
      </c>
      <c r="AA30" s="600">
        <f>+('Balance de energía'!Z27*1000)/$AA$55</f>
        <v>0</v>
      </c>
      <c r="AB30" s="602">
        <f>+(('Balance de energía'!AA27*1000000000)/$AB$55)/1000000</f>
        <v>0</v>
      </c>
      <c r="AC30" s="601">
        <f>+(((('Balance de energía'!AB27*1000000000)/$AC$55)/1000)/1000)</f>
        <v>0</v>
      </c>
      <c r="AE30" s="376"/>
    </row>
    <row r="31" spans="2:34">
      <c r="B31" s="850"/>
      <c r="C31" s="590" t="s">
        <v>284</v>
      </c>
      <c r="D31" s="607">
        <f>+(((('Balance de energía'!C28*1000000000)/'Balance Energético (u.físicas)'!$D$55)/1000)/'Balance Energético (u.físicas)'!$D$56)/1000</f>
        <v>0</v>
      </c>
      <c r="E31" s="608">
        <f>+(('Balance de energía'!D28*1000000000)/$E$55)/1000000</f>
        <v>848.23790863561669</v>
      </c>
      <c r="F31" s="608">
        <f>+((('Balance de energía'!E28*1000000000)/$F$55)/1000)/1000</f>
        <v>381.66389059024431</v>
      </c>
      <c r="G31" s="608">
        <f>+((('Balance de energía'!F28*1000000000)/$G$55)/1000)/1000</f>
        <v>5832.7450408876548</v>
      </c>
      <c r="H31" s="608">
        <f>+(('Balance de energía'!G28*1000000000)/$H$55)/1000000</f>
        <v>0</v>
      </c>
      <c r="I31" s="608">
        <f>+(('Balance de energía'!H28*1000000000)/$I$55)/1000000</f>
        <v>0</v>
      </c>
      <c r="J31" s="608">
        <f>+(('Balance de energía'!I28*1000000000)/$J$55)/1000000</f>
        <v>0</v>
      </c>
      <c r="K31" s="609">
        <f>+(('Balance de energía'!J28*1000000000)/$K$55)/1000000</f>
        <v>0</v>
      </c>
      <c r="L31" s="608">
        <f>+(((('Balance de energía'!K28*1000000000)/$L$55)/1000)/$L$56)/1000</f>
        <v>3426.6175571701929</v>
      </c>
      <c r="M31" s="608">
        <f>+((('Balance de energía'!L28*1000000000)/$M$55)/1000)/1000</f>
        <v>540.00084684195929</v>
      </c>
      <c r="N31" s="608">
        <f>+(((('Balance de energía'!M28*1000000000)/$N$55)/1000)/'Balance Energético (u.físicas)'!$N$56)/1000</f>
        <v>0</v>
      </c>
      <c r="O31" s="608">
        <f>+(((('Balance de energía'!N28*1000000000)/$O$55)/1000)/'Balance Energético (u.físicas)'!$O$56)/1000</f>
        <v>17.623680418655297</v>
      </c>
      <c r="P31" s="608">
        <f>+(((('Balance de energía'!O28*1000000000)/$P$55)/1000)/1000)</f>
        <v>261.67557443906122</v>
      </c>
      <c r="Q31" s="608">
        <f>+(((('Balance de energía'!P28*1000000000)/$Q$55)/1000)/'Balance Energético (u.físicas)'!$Q$56)/1000</f>
        <v>0.99499999999999988</v>
      </c>
      <c r="R31" s="608">
        <f>+(((('Balance de energía'!Q28*1000000000)/$R$55)/1000)/'Balance Energético (u.físicas)'!$R$56)/1000</f>
        <v>78.283027725498584</v>
      </c>
      <c r="S31" s="608">
        <f>+((('Balance de energía'!R28*1000000000)/'Balance Energético (u.físicas)'!$S$55)/1000)/'Balance Energético (u.físicas)'!$S$56</f>
        <v>0</v>
      </c>
      <c r="T31" s="608">
        <f>+('Balance de energía'!S28*1000000000)/$T$55/1000</f>
        <v>0</v>
      </c>
      <c r="U31" s="608">
        <f>+(((('Balance de energía'!T28*1000000000)/$U$55)/1000)/1000)</f>
        <v>303.78056800000002</v>
      </c>
      <c r="V31" s="608">
        <f>+(('Balance de energía'!U28*1000000000)/'Balance Energético (u.físicas)'!$V$55)/1000000</f>
        <v>0</v>
      </c>
      <c r="W31" s="610">
        <f>+(('Balance de energía'!V28*1000000000)/$W$55)/1000000</f>
        <v>41841.723945331636</v>
      </c>
      <c r="X31" s="608">
        <f>+(((('Balance de energía'!W28*1000000000)/$X$55)/1000)/1000)</f>
        <v>12.861333642857144</v>
      </c>
      <c r="Y31" s="608">
        <f>+('Balance de energía'!X28*1000)/$Y$55</f>
        <v>119690.1875463372</v>
      </c>
      <c r="Z31" s="608">
        <f>+('Balance de energía'!Y28*1000)/$Z$55</f>
        <v>0</v>
      </c>
      <c r="AA31" s="608">
        <f>+('Balance de energía'!Z28*1000)/$AA$55</f>
        <v>216222.9244031198</v>
      </c>
      <c r="AB31" s="610">
        <f>+(('Balance de energía'!AA28*1000000000)/$AB$55)/1000000</f>
        <v>0.24910093304347827</v>
      </c>
      <c r="AC31" s="609">
        <f>+(((('Balance de energía'!AB28*1000000000)/$AC$55)/1000)/1000)</f>
        <v>0</v>
      </c>
      <c r="AE31" s="376"/>
    </row>
    <row r="32" spans="2:34">
      <c r="B32" s="850"/>
      <c r="C32" s="589" t="s">
        <v>48</v>
      </c>
      <c r="D32" s="599">
        <f>+(((('Balance de energía'!C29*1000000000)/'Balance Energético (u.físicas)'!$D$55)/1000)/'Balance Energético (u.físicas)'!$D$56)/1000</f>
        <v>0</v>
      </c>
      <c r="E32" s="600">
        <f>+(('Balance de energía'!D29*1000000000)/$E$55)/1000000</f>
        <v>101.39997882121017</v>
      </c>
      <c r="F32" s="600">
        <f>+((('Balance de energía'!E29*1000000000)/$F$55)/1000)/1000</f>
        <v>1.6460000000000002E-2</v>
      </c>
      <c r="G32" s="600">
        <f>+((('Balance de energía'!F29*1000000000)/$G$55)/1000)/1000</f>
        <v>0</v>
      </c>
      <c r="H32" s="600">
        <f>+(('Balance de energía'!G29*1000000000)/$H$55)/1000000</f>
        <v>0</v>
      </c>
      <c r="I32" s="600">
        <f>+(('Balance de energía'!H29*1000000000)/$I$55)/1000000</f>
        <v>0</v>
      </c>
      <c r="J32" s="600">
        <f>+(('Balance de energía'!I29*1000000000)/$J$55)/1000000</f>
        <v>0</v>
      </c>
      <c r="K32" s="601">
        <f>+(('Balance de energía'!J29*1000000000)/$K$55)/1000000</f>
        <v>0</v>
      </c>
      <c r="L32" s="600">
        <f>+(((('Balance de energía'!K29*1000000000)/$L$55)/1000)/$L$56)/1000</f>
        <v>1786.8934193221814</v>
      </c>
      <c r="M32" s="600">
        <f>+((('Balance de energía'!L29*1000000000)/$M$55)/1000)/1000</f>
        <v>104.284474</v>
      </c>
      <c r="N32" s="600">
        <f>+(((('Balance de energía'!M29*1000000000)/$N$55)/1000)/'Balance Energético (u.físicas)'!$N$56)/1000</f>
        <v>0</v>
      </c>
      <c r="O32" s="600">
        <f>+(((('Balance de energía'!N29*1000000000)/$O$55)/1000)/'Balance Energético (u.físicas)'!$O$56)/1000</f>
        <v>7.9088860000000007</v>
      </c>
      <c r="P32" s="600">
        <f>+(((('Balance de energía'!O29*1000000000)/$P$55)/1000)/1000)</f>
        <v>2.8069994600000001</v>
      </c>
      <c r="Q32" s="600">
        <f>+(((('Balance de energía'!P29*1000000000)/$Q$55)/1000)/'Balance Energético (u.físicas)'!$Q$56)/1000</f>
        <v>0</v>
      </c>
      <c r="R32" s="600">
        <f>+(((('Balance de energía'!Q29*1000000000)/$R$55)/1000)/'Balance Energético (u.físicas)'!$R$56)/1000</f>
        <v>0</v>
      </c>
      <c r="S32" s="600">
        <f>+((('Balance de energía'!R29*1000000000)/'Balance Energético (u.físicas)'!$S$55)/1000)/'Balance Energético (u.físicas)'!$S$56</f>
        <v>0</v>
      </c>
      <c r="T32" s="600">
        <f>+('Balance de energía'!S29*1000000000)/$T$55/1000</f>
        <v>0</v>
      </c>
      <c r="U32" s="600">
        <f>+(((('Balance de energía'!T29*1000000000)/$U$55)/1000)/1000)</f>
        <v>1.2797100000000001</v>
      </c>
      <c r="V32" s="600">
        <f>+(('Balance de energía'!U29*1000000000)/'Balance Energético (u.físicas)'!$V$55)/1000000</f>
        <v>0</v>
      </c>
      <c r="W32" s="602">
        <f>+(('Balance de energía'!V29*1000000000)/$W$55)/1000000</f>
        <v>22469.575712102229</v>
      </c>
      <c r="X32" s="600">
        <f>+(((('Balance de energía'!W29*1000000000)/$X$55)/1000)/1000)</f>
        <v>5.3408571428571419</v>
      </c>
      <c r="Y32" s="600">
        <f>+('Balance de energía'!X29*1000)/$Y$55</f>
        <v>0</v>
      </c>
      <c r="Z32" s="600">
        <f>+('Balance de energía'!Y29*1000)/$Z$55</f>
        <v>0</v>
      </c>
      <c r="AA32" s="600">
        <f>+('Balance de energía'!Z29*1000)/$AA$55</f>
        <v>0</v>
      </c>
      <c r="AB32" s="602">
        <f>+(('Balance de energía'!AA29*1000000000)/$AB$55)/1000000</f>
        <v>0</v>
      </c>
      <c r="AC32" s="601">
        <f>+(((('Balance de energía'!AB29*1000000000)/$AC$55)/1000)/1000)</f>
        <v>0</v>
      </c>
      <c r="AE32" s="376"/>
    </row>
    <row r="33" spans="2:31">
      <c r="B33" s="850"/>
      <c r="C33" s="589" t="s">
        <v>49</v>
      </c>
      <c r="D33" s="599">
        <f>+(((('Balance de energía'!C30*1000000000)/'Balance Energético (u.físicas)'!$D$55)/1000)/'Balance Energético (u.físicas)'!$D$56)/1000</f>
        <v>0</v>
      </c>
      <c r="E33" s="600">
        <f>+(('Balance de energía'!D30*1000000000)/$E$55)/1000000</f>
        <v>17.480557999999995</v>
      </c>
      <c r="F33" s="600">
        <f>+((('Balance de energía'!E30*1000000000)/$F$55)/1000)/1000</f>
        <v>0</v>
      </c>
      <c r="G33" s="600">
        <f>+((('Balance de energía'!F30*1000000000)/$G$55)/1000)/1000</f>
        <v>0</v>
      </c>
      <c r="H33" s="600">
        <f>+(('Balance de energía'!G30*1000000000)/$H$55)/1000000</f>
        <v>0</v>
      </c>
      <c r="I33" s="600">
        <f>+(('Balance de energía'!H30*1000000000)/$I$55)/1000000</f>
        <v>0</v>
      </c>
      <c r="J33" s="600">
        <f>+(('Balance de energía'!I30*1000000000)/$J$55)/1000000</f>
        <v>0</v>
      </c>
      <c r="K33" s="601">
        <f>+(('Balance de energía'!J30*1000000000)/$K$55)/1000000</f>
        <v>0</v>
      </c>
      <c r="L33" s="600">
        <f>+(((('Balance de energía'!K30*1000000000)/$L$55)/1000)/$L$56)/1000</f>
        <v>83.244404000000003</v>
      </c>
      <c r="M33" s="600">
        <f>+((('Balance de energía'!L30*1000000000)/$M$55)/1000)/1000</f>
        <v>35.683321000000007</v>
      </c>
      <c r="N33" s="600">
        <f>+(((('Balance de energía'!M30*1000000000)/$N$55)/1000)/'Balance Energético (u.físicas)'!$N$56)/1000</f>
        <v>0</v>
      </c>
      <c r="O33" s="600">
        <f>+(((('Balance de energía'!N30*1000000000)/$O$55)/1000)/'Balance Energético (u.físicas)'!$O$56)/1000</f>
        <v>0</v>
      </c>
      <c r="P33" s="600">
        <f>+(((('Balance de energía'!O30*1000000000)/$P$55)/1000)/1000)</f>
        <v>0</v>
      </c>
      <c r="Q33" s="600">
        <f>+(((('Balance de energía'!P30*1000000000)/$Q$55)/1000)/'Balance Energético (u.físicas)'!$Q$56)/1000</f>
        <v>0</v>
      </c>
      <c r="R33" s="600">
        <f>+(((('Balance de energía'!Q30*1000000000)/$R$55)/1000)/'Balance Energético (u.físicas)'!$R$56)/1000</f>
        <v>0</v>
      </c>
      <c r="S33" s="600">
        <f>+((('Balance de energía'!R30*1000000000)/'Balance Energético (u.físicas)'!$S$55)/1000)/'Balance Energético (u.físicas)'!$S$56</f>
        <v>0</v>
      </c>
      <c r="T33" s="600">
        <f>+('Balance de energía'!S30*1000000000)/$T$55/1000</f>
        <v>0</v>
      </c>
      <c r="U33" s="600">
        <f>+(((('Balance de energía'!T30*1000000000)/$U$55)/1000)/1000)</f>
        <v>0</v>
      </c>
      <c r="V33" s="600">
        <f>+(('Balance de energía'!U30*1000000000)/'Balance Energético (u.físicas)'!$V$55)/1000000</f>
        <v>0</v>
      </c>
      <c r="W33" s="602">
        <f>+(('Balance de energía'!V30*1000000000)/$W$55)/1000000</f>
        <v>371.86028099999999</v>
      </c>
      <c r="X33" s="600">
        <f>+(((('Balance de energía'!W30*1000000000)/$X$55)/1000)/1000)</f>
        <v>0</v>
      </c>
      <c r="Y33" s="600">
        <f>+('Balance de energía'!X30*1000)/$Y$55</f>
        <v>0</v>
      </c>
      <c r="Z33" s="600">
        <f>+('Balance de energía'!Y30*1000)/$Z$55</f>
        <v>0</v>
      </c>
      <c r="AA33" s="600">
        <f>+('Balance de energía'!Z30*1000)/$AA$55</f>
        <v>0</v>
      </c>
      <c r="AB33" s="602">
        <f>+(('Balance de energía'!AA30*1000000000)/$AB$55)/1000000</f>
        <v>0</v>
      </c>
      <c r="AC33" s="601">
        <f>+(((('Balance de energía'!AB30*1000000000)/$AC$55)/1000)/1000)</f>
        <v>0</v>
      </c>
      <c r="AE33" s="376"/>
    </row>
    <row r="34" spans="2:31">
      <c r="B34" s="850"/>
      <c r="C34" s="589" t="s">
        <v>50</v>
      </c>
      <c r="D34" s="599">
        <f>+(((('Balance de energía'!C31*1000000000)/'Balance Energético (u.físicas)'!$D$55)/1000)/'Balance Energético (u.físicas)'!$D$56)/1000</f>
        <v>0</v>
      </c>
      <c r="E34" s="600">
        <f>+(('Balance de energía'!D31*1000000000)/$E$55)/1000000</f>
        <v>0</v>
      </c>
      <c r="F34" s="600">
        <f>+((('Balance de energía'!E31*1000000000)/$F$55)/1000)/1000</f>
        <v>72.874533200000002</v>
      </c>
      <c r="G34" s="600">
        <f>+((('Balance de energía'!F31*1000000000)/$G$55)/1000)/1000</f>
        <v>0</v>
      </c>
      <c r="H34" s="600">
        <f>+(('Balance de energía'!G31*1000000000)/$H$55)/1000000</f>
        <v>0</v>
      </c>
      <c r="I34" s="600">
        <f>+(('Balance de energía'!H31*1000000000)/$I$55)/1000000</f>
        <v>0</v>
      </c>
      <c r="J34" s="600">
        <f>+(('Balance de energía'!I31*1000000000)/$J$55)/1000000</f>
        <v>0</v>
      </c>
      <c r="K34" s="601">
        <f>+(('Balance de energía'!J31*1000000000)/$K$55)/1000000</f>
        <v>0</v>
      </c>
      <c r="L34" s="600">
        <f>+(((('Balance de energía'!K31*1000000000)/$L$55)/1000)/$L$56)/1000</f>
        <v>79.641673999999981</v>
      </c>
      <c r="M34" s="600">
        <f>+((('Balance de energía'!L31*1000000000)/$M$55)/1000)/1000</f>
        <v>4.2451999999999996</v>
      </c>
      <c r="N34" s="600">
        <f>+(((('Balance de energía'!M31*1000000000)/$N$55)/1000)/'Balance Energético (u.físicas)'!$N$56)/1000</f>
        <v>0</v>
      </c>
      <c r="O34" s="600">
        <f>+(((('Balance de energía'!N31*1000000000)/$O$55)/1000)/'Balance Energético (u.físicas)'!$O$56)/1000</f>
        <v>0</v>
      </c>
      <c r="P34" s="600">
        <f>+(((('Balance de energía'!O31*1000000000)/$P$55)/1000)/1000)</f>
        <v>0</v>
      </c>
      <c r="Q34" s="600">
        <f>+(((('Balance de energía'!P31*1000000000)/$Q$55)/1000)/'Balance Energético (u.físicas)'!$Q$56)/1000</f>
        <v>0</v>
      </c>
      <c r="R34" s="600">
        <f>+(((('Balance de energía'!Q31*1000000000)/$R$55)/1000)/'Balance Energético (u.físicas)'!$R$56)/1000</f>
        <v>0</v>
      </c>
      <c r="S34" s="600">
        <f>+((('Balance de energía'!R31*1000000000)/'Balance Energético (u.físicas)'!$S$55)/1000)/'Balance Energético (u.físicas)'!$S$56</f>
        <v>0</v>
      </c>
      <c r="T34" s="600">
        <f>+('Balance de energía'!S31*1000000000)/$T$55/1000</f>
        <v>0</v>
      </c>
      <c r="U34" s="600">
        <f>+(((('Balance de energía'!T31*1000000000)/$U$55)/1000)/1000)</f>
        <v>0</v>
      </c>
      <c r="V34" s="600">
        <f>+(('Balance de energía'!U31*1000000000)/'Balance Energético (u.físicas)'!$V$55)/1000000</f>
        <v>0</v>
      </c>
      <c r="W34" s="602">
        <f>+(('Balance de energía'!V31*1000000000)/$W$55)/1000000</f>
        <v>750.87300000000016</v>
      </c>
      <c r="X34" s="600">
        <f>+(((('Balance de energía'!W31*1000000000)/$X$55)/1000)/1000)</f>
        <v>0</v>
      </c>
      <c r="Y34" s="600">
        <f>+('Balance de energía'!X31*1000)/$Y$55</f>
        <v>0</v>
      </c>
      <c r="Z34" s="600">
        <f>+('Balance de energía'!Y31*1000)/$Z$55</f>
        <v>0</v>
      </c>
      <c r="AA34" s="600">
        <f>+('Balance de energía'!Z31*1000)/$AA$55</f>
        <v>0</v>
      </c>
      <c r="AB34" s="602">
        <f>+(('Balance de energía'!AA31*1000000000)/$AB$55)/1000000</f>
        <v>0</v>
      </c>
      <c r="AC34" s="601">
        <f>+(((('Balance de energía'!AB31*1000000000)/$AC$55)/1000)/1000)</f>
        <v>0</v>
      </c>
      <c r="AE34" s="376"/>
    </row>
    <row r="35" spans="2:31">
      <c r="B35" s="850"/>
      <c r="C35" s="589" t="s">
        <v>51</v>
      </c>
      <c r="D35" s="599">
        <f>+(((('Balance de energía'!C32*1000000000)/'Balance Energético (u.físicas)'!$D$55)/1000)/'Balance Energético (u.físicas)'!$D$56)/1000</f>
        <v>0</v>
      </c>
      <c r="E35" s="600">
        <f>+(('Balance de energía'!D32*1000000000)/$E$55)/1000000</f>
        <v>108.99487192600834</v>
      </c>
      <c r="F35" s="600">
        <f>+((('Balance de energía'!E32*1000000000)/$F$55)/1000)/1000</f>
        <v>0</v>
      </c>
      <c r="G35" s="600">
        <f>+((('Balance de energía'!F32*1000000000)/$G$55)/1000)/1000</f>
        <v>4423.0656648794893</v>
      </c>
      <c r="H35" s="600">
        <f>+(('Balance de energía'!G32*1000000000)/$H$55)/1000000</f>
        <v>0</v>
      </c>
      <c r="I35" s="600">
        <f>+(('Balance de energía'!H32*1000000000)/$I$55)/1000000</f>
        <v>0</v>
      </c>
      <c r="J35" s="600">
        <f>+(('Balance de energía'!I32*1000000000)/$J$55)/1000000</f>
        <v>0</v>
      </c>
      <c r="K35" s="601">
        <f>+(('Balance de energía'!J32*1000000000)/$K$55)/1000000</f>
        <v>0</v>
      </c>
      <c r="L35" s="600">
        <f>+(((('Balance de energía'!K32*1000000000)/$L$55)/1000)/$L$56)/1000</f>
        <v>1.9649709407697138</v>
      </c>
      <c r="M35" s="600">
        <f>+((('Balance de energía'!L32*1000000000)/$M$55)/1000)/1000</f>
        <v>182.91692722857312</v>
      </c>
      <c r="N35" s="600">
        <f>+(((('Balance de energía'!M32*1000000000)/$N$55)/1000)/'Balance Energético (u.físicas)'!$N$56)/1000</f>
        <v>0</v>
      </c>
      <c r="O35" s="600">
        <f>+(((('Balance de energía'!N32*1000000000)/$O$55)/1000)/'Balance Energético (u.físicas)'!$O$56)/1000</f>
        <v>4.7000000000000002E-3</v>
      </c>
      <c r="P35" s="600">
        <f>+(((('Balance de energía'!O32*1000000000)/$P$55)/1000)/1000)</f>
        <v>5.2196447448127303</v>
      </c>
      <c r="Q35" s="600">
        <f>+(((('Balance de energía'!P32*1000000000)/$Q$55)/1000)/'Balance Energético (u.físicas)'!$Q$56)/1000</f>
        <v>0</v>
      </c>
      <c r="R35" s="600">
        <f>+(((('Balance de energía'!Q32*1000000000)/$R$55)/1000)/'Balance Energético (u.físicas)'!$R$56)/1000</f>
        <v>0</v>
      </c>
      <c r="S35" s="600">
        <f>+((('Balance de energía'!R32*1000000000)/'Balance Energético (u.físicas)'!$S$55)/1000)/'Balance Energético (u.físicas)'!$S$56</f>
        <v>0</v>
      </c>
      <c r="T35" s="600">
        <f>+('Balance de energía'!S32*1000000000)/$T$55/1000</f>
        <v>0</v>
      </c>
      <c r="U35" s="600">
        <f>+(((('Balance de energía'!T32*1000000000)/$U$55)/1000)/1000)</f>
        <v>0</v>
      </c>
      <c r="V35" s="600">
        <f>+(('Balance de energía'!U32*1000000000)/'Balance Energético (u.físicas)'!$V$55)/1000000</f>
        <v>0</v>
      </c>
      <c r="W35" s="602">
        <f>+(('Balance de energía'!V32*1000000000)/$W$55)/1000000</f>
        <v>4795.3417431089774</v>
      </c>
      <c r="X35" s="600">
        <f>+(((('Balance de energía'!W32*1000000000)/$X$55)/1000)/1000)</f>
        <v>0</v>
      </c>
      <c r="Y35" s="600">
        <f>+('Balance de energía'!X32*1000)/$Y$55</f>
        <v>0</v>
      </c>
      <c r="Z35" s="600">
        <f>+('Balance de energía'!Y32*1000)/$Z$55</f>
        <v>0</v>
      </c>
      <c r="AA35" s="600">
        <f>+('Balance de energía'!Z32*1000)/$AA$55</f>
        <v>0</v>
      </c>
      <c r="AB35" s="602">
        <f>+(('Balance de energía'!AA32*1000000000)/$AB$55)/1000000</f>
        <v>0</v>
      </c>
      <c r="AC35" s="601">
        <f>+(((('Balance de energía'!AB32*1000000000)/$AC$55)/1000)/1000)</f>
        <v>0</v>
      </c>
      <c r="AE35" s="376"/>
    </row>
    <row r="36" spans="2:31">
      <c r="B36" s="850"/>
      <c r="C36" s="589" t="s">
        <v>52</v>
      </c>
      <c r="D36" s="599">
        <f>+(((('Balance de energía'!C33*1000000000)/'Balance Energético (u.físicas)'!$D$55)/1000)/'Balance Energético (u.físicas)'!$D$56)/1000</f>
        <v>0</v>
      </c>
      <c r="E36" s="600">
        <f>+(('Balance de energía'!D33*1000000000)/$E$55)/1000000</f>
        <v>37</v>
      </c>
      <c r="F36" s="600">
        <f>+((('Balance de energía'!E33*1000000000)/$F$55)/1000)/1000</f>
        <v>0</v>
      </c>
      <c r="G36" s="600">
        <f>+((('Balance de energía'!F33*1000000000)/$G$55)/1000)/1000</f>
        <v>0</v>
      </c>
      <c r="H36" s="600">
        <f>+(('Balance de energía'!G33*1000000000)/$H$55)/1000000</f>
        <v>0</v>
      </c>
      <c r="I36" s="600">
        <f>+(('Balance de energía'!H33*1000000000)/$I$55)/1000000</f>
        <v>0</v>
      </c>
      <c r="J36" s="600">
        <f>+(('Balance de energía'!I33*1000000000)/$J$55)/1000000</f>
        <v>0</v>
      </c>
      <c r="K36" s="601">
        <f>+(('Balance de energía'!J33*1000000000)/$K$55)/1000000</f>
        <v>0</v>
      </c>
      <c r="L36" s="600">
        <f>+(((('Balance de energía'!K33*1000000000)/$L$55)/1000)/$L$56)/1000</f>
        <v>0.08</v>
      </c>
      <c r="M36" s="600">
        <f>+((('Balance de energía'!L33*1000000000)/$M$55)/1000)/1000</f>
        <v>0</v>
      </c>
      <c r="N36" s="600">
        <f>+(((('Balance de energía'!M33*1000000000)/$N$55)/1000)/'Balance Energético (u.físicas)'!$N$56)/1000</f>
        <v>0</v>
      </c>
      <c r="O36" s="600">
        <f>+(((('Balance de energía'!N33*1000000000)/$O$55)/1000)/'Balance Energético (u.físicas)'!$O$56)/1000</f>
        <v>0</v>
      </c>
      <c r="P36" s="600">
        <f>+(((('Balance de energía'!O33*1000000000)/$P$55)/1000)/1000)</f>
        <v>2.3523000000000005</v>
      </c>
      <c r="Q36" s="600">
        <f>+(((('Balance de energía'!P33*1000000000)/$Q$55)/1000)/'Balance Energético (u.físicas)'!$Q$56)/1000</f>
        <v>0</v>
      </c>
      <c r="R36" s="600">
        <f>+(((('Balance de energía'!Q33*1000000000)/$R$55)/1000)/'Balance Energético (u.físicas)'!$R$56)/1000</f>
        <v>0</v>
      </c>
      <c r="S36" s="600">
        <f>+((('Balance de energía'!R33*1000000000)/'Balance Energético (u.físicas)'!$S$55)/1000)/'Balance Energético (u.físicas)'!$S$56</f>
        <v>0</v>
      </c>
      <c r="T36" s="600">
        <f>+('Balance de energía'!S33*1000000000)/$T$55/1000</f>
        <v>0</v>
      </c>
      <c r="U36" s="600">
        <f>+(((('Balance de energía'!T33*1000000000)/$U$55)/1000)/1000)</f>
        <v>0</v>
      </c>
      <c r="V36" s="600">
        <f>+(('Balance de energía'!U33*1000000000)/'Balance Energético (u.físicas)'!$V$55)/1000000</f>
        <v>0</v>
      </c>
      <c r="W36" s="602">
        <f>+(('Balance de energía'!V33*1000000000)/$W$55)/1000000</f>
        <v>374.32280900000001</v>
      </c>
      <c r="X36" s="600">
        <f>+(((('Balance de energía'!W33*1000000000)/$X$55)/1000)/1000)</f>
        <v>0</v>
      </c>
      <c r="Y36" s="600">
        <f>+('Balance de energía'!X33*1000)/$Y$55</f>
        <v>119690.1875463372</v>
      </c>
      <c r="Z36" s="600">
        <f>+('Balance de energía'!Y33*1000)/$Z$55</f>
        <v>0</v>
      </c>
      <c r="AA36" s="600">
        <f>+('Balance de energía'!Z33*1000)/$AA$55</f>
        <v>216222.9244031198</v>
      </c>
      <c r="AB36" s="602">
        <f>+(('Balance de energía'!AA33*1000000000)/$AB$55)/1000000</f>
        <v>0</v>
      </c>
      <c r="AC36" s="601">
        <f>+(((('Balance de energía'!AB33*1000000000)/$AC$55)/1000)/1000)</f>
        <v>0</v>
      </c>
      <c r="AE36" s="376"/>
    </row>
    <row r="37" spans="2:31">
      <c r="B37" s="850"/>
      <c r="C37" s="589" t="s">
        <v>53</v>
      </c>
      <c r="D37" s="599">
        <f>+(((('Balance de energía'!C34*1000000000)/'Balance Energético (u.físicas)'!$D$55)/1000)/'Balance Energético (u.físicas)'!$D$56)/1000</f>
        <v>0</v>
      </c>
      <c r="E37" s="600">
        <f>+(('Balance de energía'!D34*1000000000)/$E$55)/1000000</f>
        <v>0</v>
      </c>
      <c r="F37" s="600">
        <f>+((('Balance de energía'!E34*1000000000)/$F$55)/1000)/1000</f>
        <v>0</v>
      </c>
      <c r="G37" s="600">
        <f>+((('Balance de energía'!F34*1000000000)/$G$55)/1000)/1000</f>
        <v>0</v>
      </c>
      <c r="H37" s="600">
        <f>+(('Balance de energía'!G34*1000000000)/$H$55)/1000000</f>
        <v>0</v>
      </c>
      <c r="I37" s="600">
        <f>+(('Balance de energía'!H34*1000000000)/$I$55)/1000000</f>
        <v>0</v>
      </c>
      <c r="J37" s="600">
        <f>+(('Balance de energía'!I34*1000000000)/$J$55)/1000000</f>
        <v>0</v>
      </c>
      <c r="K37" s="601">
        <f>+(('Balance de energía'!J34*1000000000)/$K$55)/1000000</f>
        <v>0</v>
      </c>
      <c r="L37" s="600">
        <f>+(((('Balance de energía'!K34*1000000000)/$L$55)/1000)/$L$56)/1000</f>
        <v>0</v>
      </c>
      <c r="M37" s="600">
        <f>+((('Balance de energía'!L34*1000000000)/$M$55)/1000)/1000</f>
        <v>0</v>
      </c>
      <c r="N37" s="600">
        <f>+(((('Balance de energía'!M34*1000000000)/$N$55)/1000)/'Balance Energético (u.físicas)'!$N$56)/1000</f>
        <v>0</v>
      </c>
      <c r="O37" s="600">
        <f>+(((('Balance de energía'!N34*1000000000)/$O$55)/1000)/'Balance Energético (u.físicas)'!$O$56)/1000</f>
        <v>0</v>
      </c>
      <c r="P37" s="600">
        <f>+(((('Balance de energía'!O34*1000000000)/$P$55)/1000)/1000)</f>
        <v>3.2372933163985702</v>
      </c>
      <c r="Q37" s="600">
        <f>+(((('Balance de energía'!P34*1000000000)/$Q$55)/1000)/'Balance Energético (u.físicas)'!$Q$56)/1000</f>
        <v>0</v>
      </c>
      <c r="R37" s="600">
        <f>+(((('Balance de energía'!Q34*1000000000)/$R$55)/1000)/'Balance Energético (u.físicas)'!$R$56)/1000</f>
        <v>0</v>
      </c>
      <c r="S37" s="600">
        <f>+((('Balance de energía'!R34*1000000000)/'Balance Energético (u.físicas)'!$S$55)/1000)/'Balance Energético (u.físicas)'!$S$56</f>
        <v>0</v>
      </c>
      <c r="T37" s="600">
        <f>+('Balance de energía'!S34*1000000000)/$T$55/1000</f>
        <v>0</v>
      </c>
      <c r="U37" s="600">
        <f>+(((('Balance de energía'!T34*1000000000)/$U$55)/1000)/1000)</f>
        <v>0</v>
      </c>
      <c r="V37" s="600">
        <f>+(('Balance de energía'!U34*1000000000)/'Balance Energético (u.físicas)'!$V$55)/1000000</f>
        <v>0</v>
      </c>
      <c r="W37" s="602">
        <f>+(('Balance de energía'!V34*1000000000)/$W$55)/1000000</f>
        <v>37.006</v>
      </c>
      <c r="X37" s="600">
        <f>+(((('Balance de energía'!W34*1000000000)/$X$55)/1000)/1000)</f>
        <v>0</v>
      </c>
      <c r="Y37" s="600">
        <f>+('Balance de energía'!X34*1000)/$Y$55</f>
        <v>0</v>
      </c>
      <c r="Z37" s="600">
        <f>+('Balance de energía'!Y34*1000)/$Z$55</f>
        <v>0</v>
      </c>
      <c r="AA37" s="600">
        <f>+('Balance de energía'!Z34*1000)/$AA$55</f>
        <v>0</v>
      </c>
      <c r="AB37" s="602">
        <f>+(('Balance de energía'!AA34*1000000000)/$AB$55)/1000000</f>
        <v>0</v>
      </c>
      <c r="AC37" s="601">
        <f>+(((('Balance de energía'!AB34*1000000000)/$AC$55)/1000)/1000)</f>
        <v>0</v>
      </c>
      <c r="AE37" s="376"/>
    </row>
    <row r="38" spans="2:31">
      <c r="B38" s="850"/>
      <c r="C38" s="589" t="s">
        <v>54</v>
      </c>
      <c r="D38" s="599">
        <f>+(((('Balance de energía'!C35*1000000000)/'Balance Energético (u.físicas)'!$D$55)/1000)/'Balance Energético (u.físicas)'!$D$56)/1000</f>
        <v>0</v>
      </c>
      <c r="E38" s="600">
        <f>+(('Balance de energía'!D35*1000000000)/$E$55)/1000000</f>
        <v>11.225585962852158</v>
      </c>
      <c r="F38" s="600">
        <f>+((('Balance de energía'!E35*1000000000)/$F$55)/1000)/1000</f>
        <v>0.99078571428571438</v>
      </c>
      <c r="G38" s="600">
        <f>+((('Balance de energía'!F35*1000000000)/$G$55)/1000)/1000</f>
        <v>40.703615972739364</v>
      </c>
      <c r="H38" s="600">
        <f>+(('Balance de energía'!G35*1000000000)/$H$55)/1000000</f>
        <v>0</v>
      </c>
      <c r="I38" s="600">
        <f>+(('Balance de energía'!H35*1000000000)/$I$55)/1000000</f>
        <v>0</v>
      </c>
      <c r="J38" s="600">
        <f>+(('Balance de energía'!I35*1000000000)/$J$55)/1000000</f>
        <v>0</v>
      </c>
      <c r="K38" s="601">
        <f>+(('Balance de energía'!J35*1000000000)/$K$55)/1000000</f>
        <v>0</v>
      </c>
      <c r="L38" s="600">
        <f>+(((('Balance de energía'!K35*1000000000)/$L$55)/1000)/$L$56)/1000</f>
        <v>6.5918508095238106</v>
      </c>
      <c r="M38" s="600">
        <f>+((('Balance de energía'!L35*1000000000)/$M$55)/1000)/1000</f>
        <v>0</v>
      </c>
      <c r="N38" s="600">
        <f>+(((('Balance de energía'!M35*1000000000)/$N$55)/1000)/'Balance Energético (u.físicas)'!$N$56)/1000</f>
        <v>0</v>
      </c>
      <c r="O38" s="600">
        <f>+(((('Balance de energía'!N35*1000000000)/$O$55)/1000)/'Balance Energético (u.físicas)'!$O$56)/1000</f>
        <v>6.9240000000000005E-3</v>
      </c>
      <c r="P38" s="600">
        <f>+(((('Balance de energía'!O35*1000000000)/$P$55)/1000)/1000)</f>
        <v>1.0175780000000001</v>
      </c>
      <c r="Q38" s="600">
        <f>+(((('Balance de energía'!P35*1000000000)/$Q$55)/1000)/'Balance Energético (u.físicas)'!$Q$56)/1000</f>
        <v>0</v>
      </c>
      <c r="R38" s="600">
        <f>+(((('Balance de energía'!Q35*1000000000)/$R$55)/1000)/'Balance Energético (u.físicas)'!$R$56)/1000</f>
        <v>0</v>
      </c>
      <c r="S38" s="600">
        <f>+((('Balance de energía'!R35*1000000000)/'Balance Energético (u.físicas)'!$S$55)/1000)/'Balance Energético (u.físicas)'!$S$56</f>
        <v>0</v>
      </c>
      <c r="T38" s="600">
        <f>+('Balance de energía'!S35*1000000000)/$T$55/1000</f>
        <v>0</v>
      </c>
      <c r="U38" s="600">
        <f>+(((('Balance de energía'!T35*1000000000)/$U$55)/1000)/1000)</f>
        <v>288.39449099999996</v>
      </c>
      <c r="V38" s="600">
        <f>+(('Balance de energía'!U35*1000000000)/'Balance Energético (u.físicas)'!$V$55)/1000000</f>
        <v>0</v>
      </c>
      <c r="W38" s="602">
        <f>+(('Balance de energía'!V35*1000000000)/$W$55)/1000000</f>
        <v>470.9209247482533</v>
      </c>
      <c r="X38" s="600">
        <f>+(((('Balance de energía'!W35*1000000000)/$X$55)/1000)/1000)</f>
        <v>0</v>
      </c>
      <c r="Y38" s="600">
        <f>+('Balance de energía'!X35*1000)/$Y$55</f>
        <v>0</v>
      </c>
      <c r="Z38" s="600">
        <f>+('Balance de energía'!Y35*1000)/$Z$55</f>
        <v>0</v>
      </c>
      <c r="AA38" s="600">
        <f>+('Balance de energía'!Z35*1000)/$AA$55</f>
        <v>0</v>
      </c>
      <c r="AB38" s="602">
        <f>+(('Balance de energía'!AA35*1000000000)/$AB$55)/1000000</f>
        <v>0</v>
      </c>
      <c r="AC38" s="601">
        <f>+(((('Balance de energía'!AB35*1000000000)/$AC$55)/1000)/1000)</f>
        <v>0</v>
      </c>
      <c r="AE38" s="376"/>
    </row>
    <row r="39" spans="2:31">
      <c r="B39" s="850"/>
      <c r="C39" s="589" t="s">
        <v>55</v>
      </c>
      <c r="D39" s="599">
        <f>+(((('Balance de energía'!C36*1000000000)/'Balance Energético (u.físicas)'!$D$55)/1000)/'Balance Energético (u.físicas)'!$D$56)/1000</f>
        <v>0</v>
      </c>
      <c r="E39" s="600">
        <f>+(('Balance de energía'!D36*1000000000)/$E$55)/1000000</f>
        <v>0.91222906499999989</v>
      </c>
      <c r="F39" s="600">
        <f>+((('Balance de energía'!E36*1000000000)/$F$55)/1000)/1000</f>
        <v>101.93061299999999</v>
      </c>
      <c r="G39" s="600">
        <f>+((('Balance de energía'!F36*1000000000)/$G$55)/1000)/1000</f>
        <v>0</v>
      </c>
      <c r="H39" s="600">
        <f>+(('Balance de energía'!G36*1000000000)/$H$55)/1000000</f>
        <v>0</v>
      </c>
      <c r="I39" s="600">
        <f>+(('Balance de energía'!H36*1000000000)/$I$55)/1000000</f>
        <v>0</v>
      </c>
      <c r="J39" s="600">
        <f>+(('Balance de energía'!I36*1000000000)/$J$55)/1000000</f>
        <v>0</v>
      </c>
      <c r="K39" s="601">
        <f>+(('Balance de energía'!J36*1000000000)/$K$55)/1000000</f>
        <v>0</v>
      </c>
      <c r="L39" s="600">
        <f>+(((('Balance de energía'!K36*1000000000)/$L$55)/1000)/$L$56)/1000</f>
        <v>0.45925490000000002</v>
      </c>
      <c r="M39" s="600">
        <f>+((('Balance de energía'!L36*1000000000)/$M$55)/1000)/1000</f>
        <v>0.57277099999999992</v>
      </c>
      <c r="N39" s="600">
        <f>+(((('Balance de energía'!M36*1000000000)/$N$55)/1000)/'Balance Energético (u.físicas)'!$N$56)/1000</f>
        <v>0</v>
      </c>
      <c r="O39" s="600">
        <f>+(((('Balance de energía'!N36*1000000000)/$O$55)/1000)/'Balance Energético (u.físicas)'!$O$56)/1000</f>
        <v>0</v>
      </c>
      <c r="P39" s="600">
        <f>+(((('Balance de energía'!O36*1000000000)/$P$55)/1000)/1000)</f>
        <v>0.27763395000000002</v>
      </c>
      <c r="Q39" s="600">
        <f>+(((('Balance de energía'!P36*1000000000)/$Q$55)/1000)/'Balance Energético (u.físicas)'!$Q$56)/1000</f>
        <v>0</v>
      </c>
      <c r="R39" s="600">
        <f>+(((('Balance de energía'!Q36*1000000000)/$R$55)/1000)/'Balance Energético (u.físicas)'!$R$56)/1000</f>
        <v>0</v>
      </c>
      <c r="S39" s="600">
        <f>+((('Balance de energía'!R36*1000000000)/'Balance Energético (u.físicas)'!$S$55)/1000)/'Balance Energético (u.físicas)'!$S$56</f>
        <v>0</v>
      </c>
      <c r="T39" s="600">
        <f>+('Balance de energía'!S36*1000000000)/$T$55/1000</f>
        <v>0</v>
      </c>
      <c r="U39" s="600">
        <f>+(((('Balance de energía'!T36*1000000000)/$U$55)/1000)/1000)</f>
        <v>0</v>
      </c>
      <c r="V39" s="600">
        <f>+(('Balance de energía'!U36*1000000000)/'Balance Energético (u.físicas)'!$V$55)/1000000</f>
        <v>0</v>
      </c>
      <c r="W39" s="602">
        <f>+(('Balance de energía'!V36*1000000000)/$W$55)/1000000</f>
        <v>18.545144000000004</v>
      </c>
      <c r="X39" s="600">
        <f>+(((('Balance de energía'!W36*1000000000)/$X$55)/1000)/1000)</f>
        <v>5.9428215</v>
      </c>
      <c r="Y39" s="600">
        <f>+('Balance de energía'!X36*1000)/$Y$55</f>
        <v>0</v>
      </c>
      <c r="Z39" s="600">
        <f>+('Balance de energía'!Y36*1000)/$Z$55</f>
        <v>0</v>
      </c>
      <c r="AA39" s="600">
        <f>+('Balance de energía'!Z36*1000)/$AA$55</f>
        <v>0</v>
      </c>
      <c r="AB39" s="602">
        <f>+(('Balance de energía'!AA36*1000000000)/$AB$55)/1000000</f>
        <v>4.5242608695652176E-5</v>
      </c>
      <c r="AC39" s="601">
        <f>+(((('Balance de energía'!AB36*1000000000)/$AC$55)/1000)/1000)</f>
        <v>0</v>
      </c>
      <c r="AE39" s="376"/>
    </row>
    <row r="40" spans="2:31">
      <c r="B40" s="850"/>
      <c r="C40" s="589" t="s">
        <v>56</v>
      </c>
      <c r="D40" s="599">
        <f>+(((('Balance de energía'!C37*1000000000)/'Balance Energético (u.físicas)'!$D$55)/1000)/'Balance Energético (u.físicas)'!$D$56)/1000</f>
        <v>0</v>
      </c>
      <c r="E40" s="600">
        <f>+(('Balance de energía'!D37*1000000000)/$E$55)/1000000</f>
        <v>4.6636586299999996</v>
      </c>
      <c r="F40" s="600">
        <f>+((('Balance de energía'!E37*1000000000)/$F$55)/1000)/1000</f>
        <v>0.30336414285714292</v>
      </c>
      <c r="G40" s="600">
        <f>+((('Balance de energía'!F37*1000000000)/$G$55)/1000)/1000</f>
        <v>0</v>
      </c>
      <c r="H40" s="600">
        <f>+(('Balance de energía'!G37*1000000000)/$H$55)/1000000</f>
        <v>0</v>
      </c>
      <c r="I40" s="600">
        <f>+(('Balance de energía'!H37*1000000000)/$I$55)/1000000</f>
        <v>0</v>
      </c>
      <c r="J40" s="600">
        <f>+(('Balance de energía'!I37*1000000000)/$J$55)/1000000</f>
        <v>0</v>
      </c>
      <c r="K40" s="601">
        <f>+(('Balance de energía'!J37*1000000000)/$K$55)/1000000</f>
        <v>0</v>
      </c>
      <c r="L40" s="600">
        <f>+(((('Balance de energía'!K37*1000000000)/$L$55)/1000)/$L$56)/1000</f>
        <v>157.60380483568801</v>
      </c>
      <c r="M40" s="600">
        <f>+((('Balance de energía'!L37*1000000000)/$M$55)/1000)/1000</f>
        <v>55.012000000000015</v>
      </c>
      <c r="N40" s="600">
        <f>+(((('Balance de energía'!M37*1000000000)/$N$55)/1000)/'Balance Energético (u.físicas)'!$N$56)/1000</f>
        <v>0</v>
      </c>
      <c r="O40" s="600">
        <f>+(((('Balance de energía'!N37*1000000000)/$O$55)/1000)/'Balance Energético (u.físicas)'!$O$56)/1000</f>
        <v>0</v>
      </c>
      <c r="P40" s="600">
        <f>+(((('Balance de energía'!O37*1000000000)/$P$55)/1000)/1000)</f>
        <v>8.2544957700000037</v>
      </c>
      <c r="Q40" s="600">
        <f>+(((('Balance de energía'!P37*1000000000)/$Q$55)/1000)/'Balance Energético (u.físicas)'!$Q$56)/1000</f>
        <v>0</v>
      </c>
      <c r="R40" s="600">
        <f>+(((('Balance de energía'!Q37*1000000000)/$R$55)/1000)/'Balance Energético (u.físicas)'!$R$56)/1000</f>
        <v>2.8000000000000004E-2</v>
      </c>
      <c r="S40" s="600">
        <f>+((('Balance de energía'!R37*1000000000)/'Balance Energético (u.físicas)'!$S$55)/1000)/'Balance Energético (u.físicas)'!$S$56</f>
        <v>0</v>
      </c>
      <c r="T40" s="600">
        <f>+('Balance de energía'!S37*1000000000)/$T$55/1000</f>
        <v>0</v>
      </c>
      <c r="U40" s="600">
        <f>+(((('Balance de energía'!T37*1000000000)/$U$55)/1000)/1000)</f>
        <v>0</v>
      </c>
      <c r="V40" s="600">
        <f>+(('Balance de energía'!U37*1000000000)/'Balance Energético (u.físicas)'!$V$55)/1000000</f>
        <v>0</v>
      </c>
      <c r="W40" s="602">
        <f>+(('Balance de energía'!V37*1000000000)/$W$55)/1000000</f>
        <v>104.27076</v>
      </c>
      <c r="X40" s="600">
        <f>+(((('Balance de energía'!W37*1000000000)/$X$55)/1000)/1000)</f>
        <v>0</v>
      </c>
      <c r="Y40" s="600">
        <f>+('Balance de energía'!X37*1000)/$Y$55</f>
        <v>0</v>
      </c>
      <c r="Z40" s="600">
        <f>+('Balance de energía'!Y37*1000)/$Z$55</f>
        <v>0</v>
      </c>
      <c r="AA40" s="600">
        <f>+('Balance de energía'!Z37*1000)/$AA$55</f>
        <v>0</v>
      </c>
      <c r="AB40" s="602">
        <f>+(('Balance de energía'!AA37*1000000000)/$AB$55)/1000000</f>
        <v>6.529565217391305E-5</v>
      </c>
      <c r="AC40" s="601">
        <f>+(((('Balance de energía'!AB37*1000000000)/$AC$55)/1000)/1000)</f>
        <v>0</v>
      </c>
      <c r="AE40" s="376"/>
    </row>
    <row r="41" spans="2:31">
      <c r="B41" s="850"/>
      <c r="C41" s="589" t="s">
        <v>57</v>
      </c>
      <c r="D41" s="599">
        <f>+(((('Balance de energía'!C38*1000000000)/'Balance Energético (u.físicas)'!$D$55)/1000)/'Balance Energético (u.físicas)'!$D$56)/1000</f>
        <v>0</v>
      </c>
      <c r="E41" s="600">
        <f>+(('Balance de energía'!D38*1000000000)/$E$55)/1000000</f>
        <v>478.60373977581833</v>
      </c>
      <c r="F41" s="600">
        <f>+((('Balance de energía'!E38*1000000000)/$F$55)/1000)/1000</f>
        <v>205.5481345331014</v>
      </c>
      <c r="G41" s="600">
        <f>+((('Balance de energía'!F38*1000000000)/$G$55)/1000)/1000</f>
        <v>1366.2154562227561</v>
      </c>
      <c r="H41" s="600">
        <f>+(('Balance de energía'!G38*1000000000)/$H$55)/1000000</f>
        <v>0</v>
      </c>
      <c r="I41" s="600">
        <f>+(('Balance de energía'!H38*1000000000)/$I$55)/1000000</f>
        <v>0</v>
      </c>
      <c r="J41" s="600">
        <f>+(('Balance de energía'!I38*1000000000)/$J$55)/1000000</f>
        <v>0</v>
      </c>
      <c r="K41" s="601">
        <f>+(('Balance de energía'!J38*1000000000)/$K$55)/1000000</f>
        <v>0</v>
      </c>
      <c r="L41" s="600">
        <f>+(((('Balance de energía'!K38*1000000000)/$L$55)/1000)/$L$56)/1000</f>
        <v>839.87913130954053</v>
      </c>
      <c r="M41" s="600">
        <f>+((('Balance de energía'!L38*1000000000)/$M$55)/1000)/1000</f>
        <v>141.80314861338621</v>
      </c>
      <c r="N41" s="600">
        <f>+(((('Balance de energía'!M38*1000000000)/$N$55)/1000)/'Balance Energético (u.físicas)'!$N$56)/1000</f>
        <v>0</v>
      </c>
      <c r="O41" s="600">
        <f>+(((('Balance de energía'!N38*1000000000)/$O$55)/1000)/'Balance Energético (u.físicas)'!$O$56)/1000</f>
        <v>8.3271704186553013</v>
      </c>
      <c r="P41" s="600">
        <f>+(((('Balance de energía'!O38*1000000000)/$P$55)/1000)/1000)</f>
        <v>237.62561669784992</v>
      </c>
      <c r="Q41" s="600">
        <f>+(((('Balance de energía'!P38*1000000000)/$Q$55)/1000)/'Balance Energético (u.físicas)'!$Q$56)/1000</f>
        <v>0.99499999999999988</v>
      </c>
      <c r="R41" s="600">
        <f>+(((('Balance de energía'!Q38*1000000000)/$R$55)/1000)/'Balance Energético (u.físicas)'!$R$56)/1000</f>
        <v>67.080027725498582</v>
      </c>
      <c r="S41" s="600">
        <f>+((('Balance de energía'!R38*1000000000)/'Balance Energético (u.físicas)'!$S$55)/1000)/'Balance Energético (u.físicas)'!$S$56</f>
        <v>0</v>
      </c>
      <c r="T41" s="600">
        <f>+('Balance de energía'!S38*1000000000)/$T$55/1000</f>
        <v>0</v>
      </c>
      <c r="U41" s="600">
        <f>+(((('Balance de energía'!T38*1000000000)/$U$55)/1000)/1000)</f>
        <v>14.106367000000001</v>
      </c>
      <c r="V41" s="600">
        <f>+(('Balance de energía'!U38*1000000000)/'Balance Energético (u.físicas)'!$V$55)/1000000</f>
        <v>0</v>
      </c>
      <c r="W41" s="602">
        <f>+(('Balance de energía'!V38*1000000000)/$W$55)/1000000</f>
        <v>11538.207405252409</v>
      </c>
      <c r="X41" s="600">
        <f>+(((('Balance de energía'!W38*1000000000)/$X$55)/1000)/1000)</f>
        <v>1.577655</v>
      </c>
      <c r="Y41" s="600">
        <f>+('Balance de energía'!X38*1000)/$Y$55</f>
        <v>0</v>
      </c>
      <c r="Z41" s="600">
        <f>+('Balance de energía'!Y38*1000)/$Z$55</f>
        <v>0</v>
      </c>
      <c r="AA41" s="600">
        <f>+('Balance de energía'!Z38*1000)/$AA$55</f>
        <v>0</v>
      </c>
      <c r="AB41" s="602">
        <f>+(('Balance de energía'!AA38*1000000000)/$AB$55)/1000000</f>
        <v>0.2489903947826087</v>
      </c>
      <c r="AC41" s="601">
        <f>+(((('Balance de energía'!AB38*1000000000)/$AC$55)/1000)/1000)</f>
        <v>0</v>
      </c>
      <c r="AE41" s="376"/>
    </row>
    <row r="42" spans="2:31">
      <c r="B42" s="850"/>
      <c r="C42" s="589" t="s">
        <v>58</v>
      </c>
      <c r="D42" s="599">
        <f>+(((('Balance de energía'!C39*1000000000)/'Balance Energético (u.físicas)'!$D$55)/1000)/'Balance Energético (u.físicas)'!$D$56)/1000</f>
        <v>0</v>
      </c>
      <c r="E42" s="600">
        <f>+(('Balance de energía'!D39*1000000000)/$E$55)/1000000</f>
        <v>87.957286454727623</v>
      </c>
      <c r="F42" s="600">
        <f>+((('Balance de energía'!E39*1000000000)/$F$55)/1000)/1000</f>
        <v>0</v>
      </c>
      <c r="G42" s="600">
        <f>+((('Balance de energía'!F39*1000000000)/$G$55)/1000)/1000</f>
        <v>2.7603038126688686</v>
      </c>
      <c r="H42" s="600">
        <f>+(('Balance de energía'!G39*1000000000)/$H$55)/1000000</f>
        <v>0</v>
      </c>
      <c r="I42" s="600">
        <f>+(('Balance de energía'!H39*1000000000)/$I$55)/1000000</f>
        <v>0</v>
      </c>
      <c r="J42" s="600">
        <f>+(('Balance de energía'!I39*1000000000)/$J$55)/1000000</f>
        <v>0</v>
      </c>
      <c r="K42" s="601">
        <f>+(('Balance de energía'!J39*1000000000)/$K$55)/1000000</f>
        <v>0</v>
      </c>
      <c r="L42" s="600">
        <f>+(((('Balance de energía'!K39*1000000000)/$L$55)/1000)/$L$56)/1000</f>
        <v>470.25904705248985</v>
      </c>
      <c r="M42" s="600">
        <f>+((('Balance de energía'!L39*1000000000)/$M$55)/1000)/1000</f>
        <v>15.483004999999995</v>
      </c>
      <c r="N42" s="600">
        <f>+(((('Balance de energía'!M39*1000000000)/$N$55)/1000)/'Balance Energético (u.físicas)'!$N$56)/1000</f>
        <v>0</v>
      </c>
      <c r="O42" s="600">
        <f>+(((('Balance de energía'!N39*1000000000)/$O$55)/1000)/'Balance Energético (u.físicas)'!$O$56)/1000</f>
        <v>1.3759999999999997</v>
      </c>
      <c r="P42" s="600">
        <f>+(((('Balance de energía'!O39*1000000000)/$P$55)/1000)/1000)</f>
        <v>0.88401249999999998</v>
      </c>
      <c r="Q42" s="600">
        <f>+(((('Balance de energía'!P39*1000000000)/$Q$55)/1000)/'Balance Energético (u.físicas)'!$Q$56)/1000</f>
        <v>0</v>
      </c>
      <c r="R42" s="600">
        <f>+(((('Balance de energía'!Q39*1000000000)/$R$55)/1000)/'Balance Energético (u.físicas)'!$R$56)/1000</f>
        <v>11.175000000000002</v>
      </c>
      <c r="S42" s="600">
        <f>+((('Balance de energía'!R39*1000000000)/'Balance Energético (u.físicas)'!$S$55)/1000)/'Balance Energético (u.físicas)'!$S$56</f>
        <v>0</v>
      </c>
      <c r="T42" s="600">
        <f>+('Balance de energía'!S39*1000000000)/$T$55/1000</f>
        <v>0</v>
      </c>
      <c r="U42" s="600">
        <f>+(((('Balance de energía'!T39*1000000000)/$U$55)/1000)/1000)</f>
        <v>0</v>
      </c>
      <c r="V42" s="600">
        <f>+(('Balance de energía'!U39*1000000000)/'Balance Energético (u.físicas)'!$V$55)/1000000</f>
        <v>0</v>
      </c>
      <c r="W42" s="602">
        <f>+(('Balance de energía'!V39*1000000000)/$W$55)/1000000</f>
        <v>910.80016611976725</v>
      </c>
      <c r="X42" s="600">
        <f>+(((('Balance de energía'!W39*1000000000)/$X$55)/1000)/1000)</f>
        <v>0</v>
      </c>
      <c r="Y42" s="600">
        <f>+('Balance de energía'!X39*1000)/$Y$55</f>
        <v>0</v>
      </c>
      <c r="Z42" s="600">
        <f>+('Balance de energía'!Y39*1000)/$Z$55</f>
        <v>0</v>
      </c>
      <c r="AA42" s="600">
        <f>+('Balance de energía'!Z39*1000)/$AA$55</f>
        <v>0</v>
      </c>
      <c r="AB42" s="602">
        <f>+(('Balance de energía'!AA39*1000000000)/$AB$55)/1000000</f>
        <v>0</v>
      </c>
      <c r="AC42" s="601">
        <f>+(((('Balance de energía'!AB39*1000000000)/$AC$55)/1000)/1000)</f>
        <v>0</v>
      </c>
      <c r="AE42" s="376"/>
    </row>
    <row r="43" spans="2:31">
      <c r="B43" s="850"/>
      <c r="C43" s="593" t="s">
        <v>285</v>
      </c>
      <c r="D43" s="607">
        <f>+(((('Balance de energía'!C40*1000000000)/'Balance Energético (u.físicas)'!$D$55)/1000)/'Balance Energético (u.físicas)'!$D$56)/1000</f>
        <v>0</v>
      </c>
      <c r="E43" s="608">
        <f>+(('Balance de energía'!D40*1000000000)/$E$55)/1000000</f>
        <v>31.76316839668986</v>
      </c>
      <c r="F43" s="608">
        <f>+((('Balance de energía'!E40*1000000000)/$F$55)/1000)/1000</f>
        <v>0</v>
      </c>
      <c r="G43" s="608">
        <f>+((('Balance de energía'!F40*1000000000)/$G$55)/1000)/1000</f>
        <v>0</v>
      </c>
      <c r="H43" s="608">
        <f>+(('Balance de energía'!G40*1000000000)/$H$55)/1000000</f>
        <v>0</v>
      </c>
      <c r="I43" s="608">
        <f>+(('Balance de energía'!H40*1000000000)/$I$55)/1000000</f>
        <v>0</v>
      </c>
      <c r="J43" s="608">
        <f>+(('Balance de energía'!I40*1000000000)/$J$55)/1000000</f>
        <v>0</v>
      </c>
      <c r="K43" s="609">
        <f>+(('Balance de energía'!J40*1000000000)/$K$55)/1000000</f>
        <v>0</v>
      </c>
      <c r="L43" s="608">
        <f>+(((('Balance de energía'!K40*1000000000)/$L$55)/1000)/$L$56)/1000</f>
        <v>4501.6448358762354</v>
      </c>
      <c r="M43" s="608">
        <f>+((('Balance de energía'!L40*1000000000)/$M$55)/1000)/1000</f>
        <v>343.0086352791667</v>
      </c>
      <c r="N43" s="608">
        <f>+(((('Balance de energía'!M40*1000000000)/$N$55)/1000)/'Balance Energético (u.físicas)'!$N$56)/1000</f>
        <v>4219.4448107420676</v>
      </c>
      <c r="O43" s="608">
        <f>+(((('Balance de energía'!N40*1000000000)/$O$55)/1000)/'Balance Energético (u.físicas)'!$O$56)/1000</f>
        <v>8.0914716334829198</v>
      </c>
      <c r="P43" s="608">
        <f>+(((('Balance de energía'!O40*1000000000)/$P$55)/1000)/1000)</f>
        <v>30.650443070000001</v>
      </c>
      <c r="Q43" s="608">
        <f>+(((('Balance de energía'!P40*1000000000)/$Q$55)/1000)/'Balance Energético (u.físicas)'!$Q$56)/1000</f>
        <v>7.6145609079999987</v>
      </c>
      <c r="R43" s="608">
        <f>+(((('Balance de energía'!Q40*1000000000)/$R$55)/1000)/'Balance Energético (u.físicas)'!$R$56)/1000</f>
        <v>1184.8714041982814</v>
      </c>
      <c r="S43" s="608">
        <f>+((('Balance de energía'!R40*1000000000)/'Balance Energético (u.físicas)'!$S$55)/1000)/'Balance Energético (u.físicas)'!$S$56</f>
        <v>0</v>
      </c>
      <c r="T43" s="608">
        <f>+('Balance de energía'!S40*1000000000)/$T$55/1000</f>
        <v>0</v>
      </c>
      <c r="U43" s="608">
        <f>+(((('Balance de energía'!T40*1000000000)/$U$55)/1000)/1000)</f>
        <v>0</v>
      </c>
      <c r="V43" s="608">
        <f>+(('Balance de energía'!U40*1000000000)/'Balance Energético (u.físicas)'!$V$55)/1000000</f>
        <v>0</v>
      </c>
      <c r="W43" s="610">
        <f>+(('Balance de energía'!V40*1000000000)/$W$55)/1000000</f>
        <v>1088.577274076292</v>
      </c>
      <c r="X43" s="608">
        <f>+(((('Balance de energía'!W40*1000000000)/$X$55)/1000)/1000)</f>
        <v>0</v>
      </c>
      <c r="Y43" s="608">
        <f>+('Balance de energía'!X40*1000)/$Y$55</f>
        <v>0</v>
      </c>
      <c r="Z43" s="608">
        <f>+('Balance de energía'!Y40*1000)/$Z$55</f>
        <v>0</v>
      </c>
      <c r="AA43" s="608">
        <f>+('Balance de energía'!Z40*1000)/$AA$55</f>
        <v>0</v>
      </c>
      <c r="AB43" s="610">
        <f>+(('Balance de energía'!AA40*1000000000)/$AB$55)/1000000</f>
        <v>0</v>
      </c>
      <c r="AC43" s="609">
        <f>+(((('Balance de energía'!AB40*1000000000)/$AC$55)/1000)/1000)</f>
        <v>0</v>
      </c>
      <c r="AE43" s="377"/>
    </row>
    <row r="44" spans="2:31">
      <c r="B44" s="850"/>
      <c r="C44" s="589" t="s">
        <v>333</v>
      </c>
      <c r="D44" s="599">
        <f>+(((('Balance de energía'!C41*1000000000)/'Balance Energético (u.físicas)'!$D$55)/1000)/'Balance Energético (u.físicas)'!$D$56)/1000</f>
        <v>0</v>
      </c>
      <c r="E44" s="600">
        <f>+(('Balance de energía'!D41*1000000000)/$E$55)/1000000</f>
        <v>31.74993521668986</v>
      </c>
      <c r="F44" s="600">
        <f>+((('Balance de energía'!E41*1000000000)/$F$55)/1000)/1000</f>
        <v>0</v>
      </c>
      <c r="G44" s="600">
        <f>+((('Balance de energía'!F41*1000000000)/$G$55)/1000)/1000</f>
        <v>0</v>
      </c>
      <c r="H44" s="600">
        <f>+(('Balance de energía'!G41*1000000000)/$H$55)/1000000</f>
        <v>0</v>
      </c>
      <c r="I44" s="600">
        <f>+(('Balance de energía'!H41*1000000000)/$I$55)/1000000</f>
        <v>0</v>
      </c>
      <c r="J44" s="600">
        <f>+(('Balance de energía'!I41*1000000000)/$J$55)/1000000</f>
        <v>0</v>
      </c>
      <c r="K44" s="601">
        <f>+(('Balance de energía'!J41*1000000000)/$K$55)/1000000</f>
        <v>0</v>
      </c>
      <c r="L44" s="600">
        <f>+(((('Balance de energía'!K41*1000000000)/$L$55)/1000)/$L$56)/1000</f>
        <v>4294.4393893408323</v>
      </c>
      <c r="M44" s="600">
        <f>+((('Balance de energía'!L41*1000000000)/$M$55)/1000)/1000</f>
        <v>2.7557399691666671</v>
      </c>
      <c r="N44" s="600">
        <f>+(((('Balance de energía'!M41*1000000000)/$N$55)/1000)/'Balance Energético (u.físicas)'!$N$56)/1000</f>
        <v>4216.7383107420683</v>
      </c>
      <c r="O44" s="600">
        <f>+(((('Balance de energía'!N41*1000000000)/$O$55)/1000)/'Balance Energético (u.físicas)'!$O$56)/1000</f>
        <v>8.0884716334829196</v>
      </c>
      <c r="P44" s="600">
        <f>+(((('Balance de energía'!O41*1000000000)/$P$55)/1000)/1000)</f>
        <v>30.621143070000002</v>
      </c>
      <c r="Q44" s="600">
        <f>+(((('Balance de energía'!P41*1000000000)/$Q$55)/1000)/'Balance Energético (u.físicas)'!$Q$56)/1000</f>
        <v>0.02</v>
      </c>
      <c r="R44" s="600">
        <f>+(((('Balance de energía'!Q41*1000000000)/$R$55)/1000)/'Balance Energético (u.físicas)'!$R$56)/1000</f>
        <v>0.17</v>
      </c>
      <c r="S44" s="600">
        <f>+((('Balance de energía'!R41*1000000000)/'Balance Energético (u.físicas)'!$S$55)/1000)/'Balance Energético (u.físicas)'!$S$56</f>
        <v>0</v>
      </c>
      <c r="T44" s="600">
        <f>+('Balance de energía'!S41*1000000000)/$T$55/1000</f>
        <v>0</v>
      </c>
      <c r="U44" s="600">
        <f>+(((('Balance de energía'!T41*1000000000)/$U$55)/1000)/1000)</f>
        <v>0</v>
      </c>
      <c r="V44" s="600">
        <f>+(('Balance de energía'!U41*1000000000)/'Balance Energético (u.físicas)'!$V$55)/1000000</f>
        <v>0</v>
      </c>
      <c r="W44" s="602">
        <f>+(('Balance de energía'!V41*1000000000)/$W$55)/1000000</f>
        <v>622.26670507629217</v>
      </c>
      <c r="X44" s="600">
        <f>+(((('Balance de energía'!W41*1000000000)/$X$55)/1000)/1000)</f>
        <v>0</v>
      </c>
      <c r="Y44" s="600">
        <f>+('Balance de energía'!X41*1000)/$Y$55</f>
        <v>0</v>
      </c>
      <c r="Z44" s="600">
        <f>+('Balance de energía'!Y41*1000)/$Z$55</f>
        <v>0</v>
      </c>
      <c r="AA44" s="600">
        <f>+('Balance de energía'!Z41*1000)/$AA$55</f>
        <v>0</v>
      </c>
      <c r="AB44" s="602">
        <f>+(('Balance de energía'!AA41*1000000000)/$AB$55)/1000000</f>
        <v>0</v>
      </c>
      <c r="AC44" s="601">
        <f>+(((('Balance de energía'!AB41*1000000000)/$AC$55)/1000)/1000)</f>
        <v>0</v>
      </c>
      <c r="AE44" s="376"/>
    </row>
    <row r="45" spans="2:31">
      <c r="B45" s="850"/>
      <c r="C45" s="589" t="s">
        <v>45</v>
      </c>
      <c r="D45" s="599">
        <f>+(((('Balance de energía'!C42*1000000000)/'Balance Energético (u.físicas)'!$D$55)/1000)/'Balance Energético (u.físicas)'!$D$56)/1000</f>
        <v>0</v>
      </c>
      <c r="E45" s="600">
        <f>+(('Balance de energía'!D42*1000000000)/$E$55)/1000000</f>
        <v>0</v>
      </c>
      <c r="F45" s="600">
        <f>+((('Balance de energía'!E42*1000000000)/$F$55)/1000)/1000</f>
        <v>0</v>
      </c>
      <c r="G45" s="600">
        <f>+((('Balance de energía'!F42*1000000000)/$G$55)/1000)/1000</f>
        <v>0</v>
      </c>
      <c r="H45" s="600">
        <f>+(('Balance de energía'!G42*1000000000)/$H$55)/1000000</f>
        <v>0</v>
      </c>
      <c r="I45" s="600">
        <f>+(('Balance de energía'!H42*1000000000)/$I$55)/1000000</f>
        <v>0</v>
      </c>
      <c r="J45" s="600">
        <f>+(('Balance de energía'!I42*1000000000)/$J$55)/1000000</f>
        <v>0</v>
      </c>
      <c r="K45" s="601">
        <f>+(('Balance de energía'!J42*1000000000)/$K$55)/1000000</f>
        <v>0</v>
      </c>
      <c r="L45" s="600">
        <f>+(((('Balance de energía'!K42*1000000000)/$L$55)/1000)/$L$56)/1000</f>
        <v>37.461857999999999</v>
      </c>
      <c r="M45" s="600">
        <f>+((('Balance de energía'!L42*1000000000)/$M$55)/1000)/1000</f>
        <v>0</v>
      </c>
      <c r="N45" s="600">
        <f>+(((('Balance de energía'!M42*1000000000)/$N$55)/1000)/'Balance Energético (u.físicas)'!$N$56)/1000</f>
        <v>0</v>
      </c>
      <c r="O45" s="600">
        <f>+(((('Balance de energía'!N42*1000000000)/$O$55)/1000)/'Balance Energético (u.físicas)'!$O$56)/1000</f>
        <v>0</v>
      </c>
      <c r="P45" s="600">
        <f>+(((('Balance de energía'!O42*1000000000)/$P$55)/1000)/1000)</f>
        <v>0</v>
      </c>
      <c r="Q45" s="600">
        <f>+(((('Balance de energía'!P42*1000000000)/$Q$55)/1000)/'Balance Energético (u.físicas)'!$Q$56)/1000</f>
        <v>0</v>
      </c>
      <c r="R45" s="600">
        <f>+(((('Balance de energía'!Q42*1000000000)/$R$55)/1000)/'Balance Energético (u.físicas)'!$R$56)/1000</f>
        <v>0</v>
      </c>
      <c r="S45" s="600">
        <f>+((('Balance de energía'!R42*1000000000)/'Balance Energético (u.físicas)'!$S$55)/1000)/'Balance Energético (u.físicas)'!$S$56</f>
        <v>0</v>
      </c>
      <c r="T45" s="600">
        <f>+('Balance de energía'!S42*1000000000)/$T$55/1000</f>
        <v>0</v>
      </c>
      <c r="U45" s="600">
        <f>+(((('Balance de energía'!T42*1000000000)/$U$55)/1000)/1000)</f>
        <v>0</v>
      </c>
      <c r="V45" s="600">
        <f>+(('Balance de energía'!U42*1000000000)/'Balance Energético (u.físicas)'!$V$55)/1000000</f>
        <v>0</v>
      </c>
      <c r="W45" s="602">
        <f>+(('Balance de energía'!V42*1000000000)/$W$55)/1000000</f>
        <v>466.31056899999999</v>
      </c>
      <c r="X45" s="600">
        <f>+(((('Balance de energía'!W42*1000000000)/$X$55)/1000)/1000)</f>
        <v>0</v>
      </c>
      <c r="Y45" s="600">
        <f>+('Balance de energía'!X42*1000)/$Y$55</f>
        <v>0</v>
      </c>
      <c r="Z45" s="600">
        <f>+('Balance de energía'!Y42*1000)/$Z$55</f>
        <v>0</v>
      </c>
      <c r="AA45" s="600">
        <f>+('Balance de energía'!Z42*1000)/$AA$55</f>
        <v>0</v>
      </c>
      <c r="AB45" s="602">
        <f>+(('Balance de energía'!AA42*1000000000)/$AB$55)/1000000</f>
        <v>0</v>
      </c>
      <c r="AC45" s="601">
        <f>+(((('Balance de energía'!AB42*1000000000)/$AC$55)/1000)/1000)</f>
        <v>0</v>
      </c>
      <c r="AE45" s="376"/>
    </row>
    <row r="46" spans="2:31">
      <c r="B46" s="850"/>
      <c r="C46" s="589" t="s">
        <v>46</v>
      </c>
      <c r="D46" s="599">
        <f>+(((('Balance de energía'!C43*1000000000)/'Balance Energético (u.físicas)'!$D$55)/1000)/'Balance Energético (u.físicas)'!$D$56)/1000</f>
        <v>0</v>
      </c>
      <c r="E46" s="600">
        <f>+(('Balance de energía'!D43*1000000000)/$E$55)/1000000</f>
        <v>1.3233180000000001E-2</v>
      </c>
      <c r="F46" s="600">
        <f>+((('Balance de energía'!E43*1000000000)/$F$55)/1000)/1000</f>
        <v>0</v>
      </c>
      <c r="G46" s="600">
        <f>+((('Balance de energía'!F43*1000000000)/$G$55)/1000)/1000</f>
        <v>0</v>
      </c>
      <c r="H46" s="600">
        <f>+(('Balance de energía'!G43*1000000000)/$H$55)/1000000</f>
        <v>0</v>
      </c>
      <c r="I46" s="600">
        <f>+(('Balance de energía'!H43*1000000000)/$I$55)/1000000</f>
        <v>0</v>
      </c>
      <c r="J46" s="600">
        <f>+(('Balance de energía'!I43*1000000000)/$J$55)/1000000</f>
        <v>0</v>
      </c>
      <c r="K46" s="601">
        <f>+(('Balance de energía'!J43*1000000000)/$K$55)/1000000</f>
        <v>0</v>
      </c>
      <c r="L46" s="600">
        <f>+(((('Balance de energía'!K43*1000000000)/$L$55)/1000)/$L$56)/1000</f>
        <v>96.27862208730977</v>
      </c>
      <c r="M46" s="600">
        <f>+((('Balance de energía'!L43*1000000000)/$M$55)/1000)/1000</f>
        <v>340.2528953100001</v>
      </c>
      <c r="N46" s="600">
        <f>+(((('Balance de energía'!M43*1000000000)/$N$55)/1000)/'Balance Energético (u.físicas)'!$N$56)/1000</f>
        <v>0.47250000000000009</v>
      </c>
      <c r="O46" s="600">
        <f>+(((('Balance de energía'!N43*1000000000)/$O$55)/1000)/'Balance Energético (u.físicas)'!$O$56)/1000</f>
        <v>0</v>
      </c>
      <c r="P46" s="600">
        <f>+(((('Balance de energía'!O43*1000000000)/$P$55)/1000)/1000)</f>
        <v>2.6899999999999993E-2</v>
      </c>
      <c r="Q46" s="600">
        <f>+(((('Balance de energía'!P43*1000000000)/$Q$55)/1000)/'Balance Energético (u.físicas)'!$Q$56)/1000</f>
        <v>0</v>
      </c>
      <c r="R46" s="600">
        <f>+(((('Balance de energía'!Q43*1000000000)/$R$55)/1000)/'Balance Energético (u.físicas)'!$R$56)/1000</f>
        <v>0</v>
      </c>
      <c r="S46" s="600">
        <f>+((('Balance de energía'!R43*1000000000)/'Balance Energético (u.físicas)'!$S$55)/1000)/'Balance Energético (u.físicas)'!$S$56</f>
        <v>0</v>
      </c>
      <c r="T46" s="600">
        <f>+('Balance de energía'!S43*1000000000)/$T$55/1000</f>
        <v>0</v>
      </c>
      <c r="U46" s="600">
        <f>+(((('Balance de energía'!T43*1000000000)/$U$55)/1000)/1000)</f>
        <v>0</v>
      </c>
      <c r="V46" s="600">
        <f>+(('Balance de energía'!U43*1000000000)/'Balance Energético (u.físicas)'!$V$55)/1000000</f>
        <v>0</v>
      </c>
      <c r="W46" s="602">
        <f>+(('Balance de energía'!V43*1000000000)/$W$55)/1000000</f>
        <v>0</v>
      </c>
      <c r="X46" s="600">
        <f>+(((('Balance de energía'!W43*1000000000)/$X$55)/1000)/1000)</f>
        <v>0</v>
      </c>
      <c r="Y46" s="600">
        <f>+('Balance de energía'!X43*1000)/$Y$55</f>
        <v>0</v>
      </c>
      <c r="Z46" s="600">
        <f>+('Balance de energía'!Y43*1000)/$Z$55</f>
        <v>0</v>
      </c>
      <c r="AA46" s="600">
        <f>+('Balance de energía'!Z43*1000)/$AA$55</f>
        <v>0</v>
      </c>
      <c r="AB46" s="602">
        <f>+(('Balance de energía'!AA43*1000000000)/$AB$55)/1000000</f>
        <v>0</v>
      </c>
      <c r="AC46" s="601">
        <f>+(((('Balance de energía'!AB43*1000000000)/$AC$55)/1000)/1000)</f>
        <v>0</v>
      </c>
      <c r="AE46" s="376"/>
    </row>
    <row r="47" spans="2:31">
      <c r="B47" s="850"/>
      <c r="C47" s="589" t="s">
        <v>47</v>
      </c>
      <c r="D47" s="599">
        <f>+(((('Balance de energía'!C44*1000000000)/'Balance Energético (u.físicas)'!$D$55)/1000)/'Balance Energético (u.físicas)'!$D$56)/1000</f>
        <v>0</v>
      </c>
      <c r="E47" s="600">
        <f>+(('Balance de energía'!D44*1000000000)/$E$55)/1000000</f>
        <v>0</v>
      </c>
      <c r="F47" s="600">
        <f>+((('Balance de energía'!E44*1000000000)/$F$55)/1000)/1000</f>
        <v>0</v>
      </c>
      <c r="G47" s="600">
        <f>+((('Balance de energía'!F44*1000000000)/$G$55)/1000)/1000</f>
        <v>0</v>
      </c>
      <c r="H47" s="600">
        <f>+(('Balance de energía'!G44*1000000000)/$H$55)/1000000</f>
        <v>0</v>
      </c>
      <c r="I47" s="600">
        <f>+(('Balance de energía'!H44*1000000000)/$I$55)/1000000</f>
        <v>0</v>
      </c>
      <c r="J47" s="600">
        <f>+(('Balance de energía'!I44*1000000000)/$J$55)/1000000</f>
        <v>0</v>
      </c>
      <c r="K47" s="601">
        <f>+(('Balance de energía'!J44*1000000000)/$K$55)/1000000</f>
        <v>0</v>
      </c>
      <c r="L47" s="600">
        <f>+(((('Balance de energía'!K44*1000000000)/$L$55)/1000)/$L$56)/1000</f>
        <v>73.464966448093548</v>
      </c>
      <c r="M47" s="600">
        <f>+((('Balance de energía'!L44*1000000000)/$M$55)/1000)/1000</f>
        <v>0</v>
      </c>
      <c r="N47" s="600">
        <f>+(((('Balance de energía'!M44*1000000000)/$N$55)/1000)/'Balance Energético (u.físicas)'!$N$56)/1000</f>
        <v>2.2339999999999995</v>
      </c>
      <c r="O47" s="600">
        <f>+(((('Balance de energía'!N44*1000000000)/$O$55)/1000)/'Balance Energético (u.físicas)'!$O$56)/1000</f>
        <v>3.0000000000000005E-3</v>
      </c>
      <c r="P47" s="600">
        <f>+(((('Balance de energía'!O44*1000000000)/$P$55)/1000)/1000)</f>
        <v>2.4000000000000002E-3</v>
      </c>
      <c r="Q47" s="600">
        <f>+(((('Balance de energía'!P44*1000000000)/$Q$55)/1000)/'Balance Energético (u.físicas)'!$Q$56)/1000</f>
        <v>7.5945609079999983</v>
      </c>
      <c r="R47" s="600">
        <f>+(((('Balance de energía'!Q44*1000000000)/$R$55)/1000)/'Balance Energético (u.físicas)'!$R$56)/1000</f>
        <v>1184.7014041982818</v>
      </c>
      <c r="S47" s="600">
        <f>+((('Balance de energía'!R44*1000000000)/'Balance Energético (u.físicas)'!$S$55)/1000)/'Balance Energético (u.físicas)'!$S$56</f>
        <v>0</v>
      </c>
      <c r="T47" s="600">
        <f>+('Balance de energía'!S44*1000000000)/$T$55/1000</f>
        <v>0</v>
      </c>
      <c r="U47" s="600">
        <f>+(((('Balance de energía'!T44*1000000000)/$U$55)/1000)/1000)</f>
        <v>0</v>
      </c>
      <c r="V47" s="600">
        <f>+(('Balance de energía'!U44*1000000000)/'Balance Energético (u.físicas)'!$V$55)/1000000</f>
        <v>0</v>
      </c>
      <c r="W47" s="602">
        <f>+(('Balance de energía'!V44*1000000000)/$W$55)/1000000</f>
        <v>0</v>
      </c>
      <c r="X47" s="600">
        <f>+(((('Balance de energía'!W44*1000000000)/$X$55)/1000)/1000)</f>
        <v>0</v>
      </c>
      <c r="Y47" s="600">
        <f>+('Balance de energía'!X44*1000)/$Y$55</f>
        <v>0</v>
      </c>
      <c r="Z47" s="600">
        <f>+('Balance de energía'!Y44*1000)/$Z$55</f>
        <v>0</v>
      </c>
      <c r="AA47" s="600">
        <f>+('Balance de energía'!Z44*1000)/$AA$55</f>
        <v>0</v>
      </c>
      <c r="AB47" s="602">
        <f>+(('Balance de energía'!AA44*1000000000)/$AB$55)/1000000</f>
        <v>0</v>
      </c>
      <c r="AC47" s="601">
        <f>+(((('Balance de energía'!AB44*1000000000)/$AC$55)/1000)/1000)</f>
        <v>0</v>
      </c>
      <c r="AE47" s="376"/>
    </row>
    <row r="48" spans="2:31" ht="24.75" customHeight="1">
      <c r="B48" s="850"/>
      <c r="C48" s="573" t="s">
        <v>286</v>
      </c>
      <c r="D48" s="607">
        <f>+(((('Balance de energía'!C45*1000000000)/'Balance Energético (u.físicas)'!$D$55)/1000)/'Balance Energético (u.físicas)'!$D$56)/1000</f>
        <v>0</v>
      </c>
      <c r="E48" s="608">
        <f>+(('Balance de energía'!D45*1000000000)/$E$55)/1000000</f>
        <v>700.56697665732906</v>
      </c>
      <c r="F48" s="608">
        <f>+((('Balance de energía'!E45*1000000000)/$F$55)/1000)/1000</f>
        <v>4.558219792513273</v>
      </c>
      <c r="G48" s="608">
        <f>+((('Balance de energía'!F45*1000000000)/$G$55)/1000)/1000</f>
        <v>5354.2530401146296</v>
      </c>
      <c r="H48" s="608">
        <f>+(('Balance de energía'!G45*1000000000)/$H$55)/1000000</f>
        <v>0</v>
      </c>
      <c r="I48" s="608">
        <f>+(('Balance de energía'!H45*1000000000)/$I$55)/1000000</f>
        <v>0</v>
      </c>
      <c r="J48" s="608">
        <f>+(('Balance de energía'!I45*1000000000)/$J$55)/1000000</f>
        <v>0</v>
      </c>
      <c r="K48" s="609">
        <f>+(('Balance de energía'!J45*1000000000)/$K$55)/1000000</f>
        <v>29.266479</v>
      </c>
      <c r="L48" s="608">
        <f>+(((('Balance de energía'!K45*1000000000)/$L$55)/1000)/$L$56)/1000</f>
        <v>277.84208286903919</v>
      </c>
      <c r="M48" s="608">
        <f>+((('Balance de energía'!L45*1000000000)/$M$55)/1000)/1000</f>
        <v>9.5449999999999999</v>
      </c>
      <c r="N48" s="608">
        <f>+(((('Balance de energía'!M45*1000000000)/$N$55)/1000)/'Balance Energético (u.físicas)'!$N$56)/1000</f>
        <v>0</v>
      </c>
      <c r="O48" s="608">
        <f>+(((('Balance de energía'!N45*1000000000)/$O$55)/1000)/'Balance Energético (u.físicas)'!$O$56)/1000</f>
        <v>151.35063669662347</v>
      </c>
      <c r="P48" s="608">
        <f>+(((('Balance de energía'!O45*1000000000)/$P$55)/1000)/1000)</f>
        <v>852.97299452289838</v>
      </c>
      <c r="Q48" s="608">
        <f>+(((('Balance de energía'!P45*1000000000)/$Q$55)/1000)/'Balance Energético (u.físicas)'!$Q$56)/1000</f>
        <v>0.22530651872399446</v>
      </c>
      <c r="R48" s="608">
        <f>+(((('Balance de energía'!Q45*1000000000)/$R$55)/1000)/'Balance Energético (u.físicas)'!$R$56)/1000</f>
        <v>44.853653999999999</v>
      </c>
      <c r="S48" s="608">
        <f>+((('Balance de energía'!R45*1000000000)/'Balance Energético (u.físicas)'!$S$55)/1000)/'Balance Energético (u.físicas)'!$S$56</f>
        <v>0</v>
      </c>
      <c r="T48" s="608">
        <f>+('Balance de energía'!S45*1000000000)/$T$55/1000</f>
        <v>0</v>
      </c>
      <c r="U48" s="608">
        <f>+(((('Balance de energía'!T45*1000000000)/$U$55)/1000)/1000)</f>
        <v>0</v>
      </c>
      <c r="V48" s="608">
        <f>+(('Balance de energía'!U45*1000000000)/'Balance Energético (u.físicas)'!$V$55)/1000000</f>
        <v>0</v>
      </c>
      <c r="W48" s="610">
        <f>+(('Balance de energía'!V45*1000000000)/$W$55)/1000000</f>
        <v>23548.61575457612</v>
      </c>
      <c r="X48" s="608">
        <f>+(((('Balance de energía'!W45*1000000000)/$X$55)/1000)/1000)</f>
        <v>0</v>
      </c>
      <c r="Y48" s="608">
        <f>+('Balance de energía'!X45*1000)/$Y$55</f>
        <v>0</v>
      </c>
      <c r="Z48" s="608">
        <f>+('Balance de energía'!Y45*1000)/$Z$55</f>
        <v>0</v>
      </c>
      <c r="AA48" s="608">
        <f>+('Balance de energía'!Z45*1000)/$AA$55</f>
        <v>0</v>
      </c>
      <c r="AB48" s="610">
        <f>+(('Balance de energía'!AA45*1000000000)/$AB$55)/1000000</f>
        <v>16.975317086956522</v>
      </c>
      <c r="AC48" s="609">
        <f>+(((('Balance de energía'!AB45*1000000000)/$AC$55)/1000)/1000)</f>
        <v>0</v>
      </c>
      <c r="AE48" s="377"/>
    </row>
    <row r="49" spans="2:31">
      <c r="B49" s="850"/>
      <c r="C49" s="589" t="s">
        <v>59</v>
      </c>
      <c r="D49" s="599">
        <f>+(((('Balance de energía'!C46*1000000000)/'Balance Energético (u.físicas)'!$D$55)/1000)/'Balance Energético (u.físicas)'!$D$56)/1000</f>
        <v>0</v>
      </c>
      <c r="E49" s="600">
        <f>+(('Balance de energía'!D46*1000000000)/$E$55)/1000000</f>
        <v>148.9919350583441</v>
      </c>
      <c r="F49" s="600">
        <f>+((('Balance de energía'!E46*1000000000)/$F$55)/1000)/1000</f>
        <v>0.13185714285714287</v>
      </c>
      <c r="G49" s="600">
        <f>+((('Balance de energía'!F46*1000000000)/$G$55)/1000)/1000</f>
        <v>16.148874252575514</v>
      </c>
      <c r="H49" s="600">
        <f>+(('Balance de energía'!G46*1000000000)/$H$55)/1000000</f>
        <v>0</v>
      </c>
      <c r="I49" s="600">
        <f>+(('Balance de energía'!H46*1000000000)/$I$55)/1000000</f>
        <v>0</v>
      </c>
      <c r="J49" s="600">
        <f>+(('Balance de energía'!I46*1000000000)/$J$55)/1000000</f>
        <v>0</v>
      </c>
      <c r="K49" s="601">
        <f>+(('Balance de energía'!J46*1000000000)/$K$55)/1000000</f>
        <v>29.266479</v>
      </c>
      <c r="L49" s="600">
        <f>+(((('Balance de energía'!K46*1000000000)/$L$55)/1000)/$L$56)/1000</f>
        <v>264.55580344865763</v>
      </c>
      <c r="M49" s="600">
        <f>+((('Balance de energía'!L46*1000000000)/$M$55)/1000)/1000</f>
        <v>6.3410000000000002</v>
      </c>
      <c r="N49" s="600">
        <f>+(((('Balance de energía'!M46*1000000000)/$N$55)/1000)/'Balance Energético (u.físicas)'!$N$56)/1000</f>
        <v>0</v>
      </c>
      <c r="O49" s="600">
        <f>+(((('Balance de energía'!N46*1000000000)/$O$55)/1000)/'Balance Energético (u.físicas)'!$O$56)/1000</f>
        <v>1.6520691187297272</v>
      </c>
      <c r="P49" s="600">
        <f>+(((('Balance de energía'!O46*1000000000)/$P$55)/1000)/1000)</f>
        <v>91.547434329999987</v>
      </c>
      <c r="Q49" s="600">
        <f>+(((('Balance de energía'!P46*1000000000)/$Q$55)/1000)/'Balance Energético (u.físicas)'!$Q$56)/1000</f>
        <v>0.22530651872399446</v>
      </c>
      <c r="R49" s="600">
        <f>+(((('Balance de energía'!Q46*1000000000)/$R$55)/1000)/'Balance Energético (u.físicas)'!$R$56)/1000</f>
        <v>7.7276539999999967</v>
      </c>
      <c r="S49" s="600">
        <f>+((('Balance de energía'!R46*1000000000)/'Balance Energético (u.físicas)'!$S$55)/1000)/'Balance Energético (u.físicas)'!$S$56</f>
        <v>0</v>
      </c>
      <c r="T49" s="600">
        <f>+('Balance de energía'!S46*1000000000)/$T$55/1000</f>
        <v>0</v>
      </c>
      <c r="U49" s="600">
        <f>+(((('Balance de energía'!T46*1000000000)/$U$55)/1000)/1000)</f>
        <v>0</v>
      </c>
      <c r="V49" s="600">
        <f>+(('Balance de energía'!U46*1000000000)/'Balance Energético (u.físicas)'!$V$55)/1000000</f>
        <v>0</v>
      </c>
      <c r="W49" s="602">
        <f>+(('Balance de energía'!V46*1000000000)/$W$55)/1000000</f>
        <v>9769.2803748671104</v>
      </c>
      <c r="X49" s="600">
        <f>+(((('Balance de energía'!W46*1000000000)/$X$55)/1000)/1000)</f>
        <v>0</v>
      </c>
      <c r="Y49" s="600">
        <f>+('Balance de energía'!X46*1000)/$Y$55</f>
        <v>0</v>
      </c>
      <c r="Z49" s="600">
        <f>+('Balance de energía'!Y46*1000)/$Z$55</f>
        <v>0</v>
      </c>
      <c r="AA49" s="600">
        <f>+('Balance de energía'!Z46*1000)/$AA$55</f>
        <v>0</v>
      </c>
      <c r="AB49" s="602">
        <f>+(('Balance de energía'!AA46*1000000000)/$AB$55)/1000000</f>
        <v>10.540729434782609</v>
      </c>
      <c r="AC49" s="601">
        <f>+(((('Balance de energía'!AB46*1000000000)/$AC$55)/1000)/1000)</f>
        <v>0</v>
      </c>
      <c r="AE49" s="376"/>
    </row>
    <row r="50" spans="2:31">
      <c r="B50" s="850"/>
      <c r="C50" s="589" t="s">
        <v>60</v>
      </c>
      <c r="D50" s="599">
        <f>+(((('Balance de energía'!C47*1000000000)/'Balance Energético (u.físicas)'!$D$55)/1000)/'Balance Energético (u.físicas)'!$D$56)/1000</f>
        <v>0</v>
      </c>
      <c r="E50" s="600">
        <f>+(('Balance de energía'!D47*1000000000)/$E$55)/1000000</f>
        <v>26.198229873381866</v>
      </c>
      <c r="F50" s="600">
        <f>+((('Balance de energía'!E47*1000000000)/$F$55)/1000)/1000</f>
        <v>4.4263626496561308</v>
      </c>
      <c r="G50" s="600">
        <f>+((('Balance de energía'!F47*1000000000)/$G$55)/1000)/1000</f>
        <v>20.1345249074508</v>
      </c>
      <c r="H50" s="600">
        <f>+(('Balance de energía'!G47*1000000000)/$H$55)/1000000</f>
        <v>0</v>
      </c>
      <c r="I50" s="600">
        <f>+(('Balance de energía'!H47*1000000000)/$I$55)/1000000</f>
        <v>0</v>
      </c>
      <c r="J50" s="600">
        <f>+(('Balance de energía'!I47*1000000000)/$J$55)/1000000</f>
        <v>0</v>
      </c>
      <c r="K50" s="601">
        <f>+(('Balance de energía'!J47*1000000000)/$K$55)/1000000</f>
        <v>0</v>
      </c>
      <c r="L50" s="600">
        <f>+(((('Balance de energía'!K47*1000000000)/$L$55)/1000)/$L$56)/1000</f>
        <v>13.286279420381581</v>
      </c>
      <c r="M50" s="600">
        <f>+((('Balance de energía'!L47*1000000000)/$M$55)/1000)/1000</f>
        <v>3.2040000000000006</v>
      </c>
      <c r="N50" s="600">
        <f>+(((('Balance de energía'!M47*1000000000)/$N$55)/1000)/'Balance Energético (u.físicas)'!$N$56)/1000</f>
        <v>0</v>
      </c>
      <c r="O50" s="600">
        <f>+(((('Balance de energía'!N47*1000000000)/$O$55)/1000)/'Balance Energético (u.físicas)'!$O$56)/1000</f>
        <v>1.1380460000000003</v>
      </c>
      <c r="P50" s="600">
        <f>+(((('Balance de energía'!O47*1000000000)/$P$55)/1000)/1000)</f>
        <v>18.023121999999997</v>
      </c>
      <c r="Q50" s="600">
        <f>+(((('Balance de energía'!P47*1000000000)/$Q$55)/1000)/'Balance Energético (u.físicas)'!$Q$56)/1000</f>
        <v>0</v>
      </c>
      <c r="R50" s="600">
        <f>+(((('Balance de energía'!Q47*1000000000)/$R$55)/1000)/'Balance Energético (u.físicas)'!$R$56)/1000</f>
        <v>37.125999999999998</v>
      </c>
      <c r="S50" s="600">
        <f>+((('Balance de energía'!R47*1000000000)/'Balance Energético (u.físicas)'!$S$55)/1000)/'Balance Energético (u.físicas)'!$S$56</f>
        <v>0</v>
      </c>
      <c r="T50" s="600">
        <f>+('Balance de energía'!S47*1000000000)/$T$55/1000</f>
        <v>0</v>
      </c>
      <c r="U50" s="600">
        <f>+(((('Balance de energía'!T47*1000000000)/$U$55)/1000)/1000)</f>
        <v>0</v>
      </c>
      <c r="V50" s="600">
        <f>+(('Balance de energía'!U47*1000000000)/'Balance Energético (u.físicas)'!$V$55)/1000000</f>
        <v>0</v>
      </c>
      <c r="W50" s="602">
        <f>+(('Balance de energía'!V47*1000000000)/$W$55)/1000000</f>
        <v>2024.3044025459999</v>
      </c>
      <c r="X50" s="600">
        <f>+(((('Balance de energía'!W47*1000000000)/$X$55)/1000)/1000)</f>
        <v>0</v>
      </c>
      <c r="Y50" s="600">
        <f>+('Balance de energía'!X47*1000)/$Y$55</f>
        <v>0</v>
      </c>
      <c r="Z50" s="600">
        <f>+('Balance de energía'!Y47*1000)/$Z$55</f>
        <v>0</v>
      </c>
      <c r="AA50" s="600">
        <f>+('Balance de energía'!Z47*1000)/$AA$55</f>
        <v>0</v>
      </c>
      <c r="AB50" s="602">
        <f>+(('Balance de energía'!AA47*1000000000)/$AB$55)/1000000</f>
        <v>0.78206299999999995</v>
      </c>
      <c r="AC50" s="601">
        <f>+(((('Balance de energía'!AB47*1000000000)/$AC$55)/1000)/1000)</f>
        <v>0</v>
      </c>
      <c r="AE50" s="376"/>
    </row>
    <row r="51" spans="2:31">
      <c r="B51" s="850"/>
      <c r="C51" s="589" t="s">
        <v>61</v>
      </c>
      <c r="D51" s="599">
        <f>+(((('Balance de energía'!C48*1000000000)/'Balance Energético (u.físicas)'!$D$55)/1000)/'Balance Energético (u.físicas)'!$D$56)/1000</f>
        <v>0</v>
      </c>
      <c r="E51" s="600">
        <f>+(('Balance de energía'!D48*1000000000)/$E$55)/1000000</f>
        <v>525.37681172560315</v>
      </c>
      <c r="F51" s="600">
        <f>+((('Balance de energía'!E48*1000000000)/$F$55)/1000)/1000</f>
        <v>0</v>
      </c>
      <c r="G51" s="600">
        <f>+((('Balance de energía'!F48*1000000000)/$G$55)/1000)/1000</f>
        <v>5317.9696409546041</v>
      </c>
      <c r="H51" s="600">
        <f>+(('Balance de energía'!G48*1000000000)/$H$55)/1000000</f>
        <v>0</v>
      </c>
      <c r="I51" s="600">
        <f>+(('Balance de energía'!H48*1000000000)/$I$55)/1000000</f>
        <v>0</v>
      </c>
      <c r="J51" s="600">
        <f>+(('Balance de energía'!I48*1000000000)/$J$55)/1000000</f>
        <v>0</v>
      </c>
      <c r="K51" s="601">
        <f>+(('Balance de energía'!J48*1000000000)/$K$55)/1000000</f>
        <v>0</v>
      </c>
      <c r="L51" s="600">
        <f>+(((('Balance de energía'!K48*1000000000)/$L$55)/1000)/$L$56)/1000</f>
        <v>0</v>
      </c>
      <c r="M51" s="600">
        <f>+((('Balance de energía'!L48*1000000000)/$M$55)/1000)/1000</f>
        <v>0</v>
      </c>
      <c r="N51" s="600">
        <f>+(((('Balance de energía'!M48*1000000000)/$N$55)/1000)/'Balance Energético (u.físicas)'!$N$56)/1000</f>
        <v>0</v>
      </c>
      <c r="O51" s="600">
        <f>+(((('Balance de energía'!N48*1000000000)/$O$55)/1000)/'Balance Energético (u.físicas)'!$O$56)/1000</f>
        <v>148.56052157789372</v>
      </c>
      <c r="P51" s="600">
        <f>+(((('Balance de energía'!O48*1000000000)/$P$55)/1000)/1000)</f>
        <v>743.40243819289844</v>
      </c>
      <c r="Q51" s="600">
        <f>+(((('Balance de energía'!P48*1000000000)/$Q$55)/1000)/'Balance Energético (u.físicas)'!$Q$56)/1000</f>
        <v>0</v>
      </c>
      <c r="R51" s="600">
        <f>+(((('Balance de energía'!Q48*1000000000)/$R$55)/1000)/'Balance Energético (u.físicas)'!$R$56)/1000</f>
        <v>0</v>
      </c>
      <c r="S51" s="600">
        <f>+((('Balance de energía'!R48*1000000000)/'Balance Energético (u.físicas)'!$S$55)/1000)/'Balance Energético (u.físicas)'!$S$56</f>
        <v>0</v>
      </c>
      <c r="T51" s="600">
        <f>+('Balance de energía'!S48*1000000000)/$T$55/1000</f>
        <v>0</v>
      </c>
      <c r="U51" s="600">
        <f>+(((('Balance de energía'!T48*1000000000)/$U$55)/1000)/1000)</f>
        <v>0</v>
      </c>
      <c r="V51" s="600">
        <f>+(('Balance de energía'!U48*1000000000)/'Balance Energético (u.físicas)'!$V$55)/1000000</f>
        <v>0</v>
      </c>
      <c r="W51" s="602">
        <f>+(('Balance de energía'!V48*1000000000)/$W$55)/1000000</f>
        <v>11755.030977163004</v>
      </c>
      <c r="X51" s="600">
        <f>+(((('Balance de energía'!W48*1000000000)/$X$55)/1000)/1000)</f>
        <v>0</v>
      </c>
      <c r="Y51" s="600">
        <f>+('Balance de energía'!X48*1000)/$Y$55</f>
        <v>0</v>
      </c>
      <c r="Z51" s="600">
        <f>+('Balance de energía'!Y48*1000)/$Z$55</f>
        <v>0</v>
      </c>
      <c r="AA51" s="600">
        <f>+('Balance de energía'!Z48*1000)/$AA$55</f>
        <v>0</v>
      </c>
      <c r="AB51" s="602">
        <f>+(('Balance de energía'!AA48*1000000000)/$AB$55)/1000000</f>
        <v>5.6525246521739128</v>
      </c>
      <c r="AC51" s="601">
        <f>+(((('Balance de energía'!AB48*1000000000)/$AC$55)/1000)/1000)</f>
        <v>0</v>
      </c>
      <c r="AE51" s="376"/>
    </row>
    <row r="52" spans="2:31" ht="13.5" thickBot="1">
      <c r="B52" s="851"/>
      <c r="C52" s="574" t="s">
        <v>287</v>
      </c>
      <c r="D52" s="611">
        <f>+(((('Balance de energía'!C49*1000000000)/'Balance Energético (u.físicas)'!$D$55)/1000)/'Balance Energético (u.físicas)'!$D$56)/1000</f>
        <v>0</v>
      </c>
      <c r="E52" s="612">
        <f>+(('Balance de energía'!D49*1000000000)/$E$55)/1000000</f>
        <v>0</v>
      </c>
      <c r="F52" s="612">
        <f>+((('Balance de energía'!E49*1000000000)/$F$55)/1000)/1000</f>
        <v>0</v>
      </c>
      <c r="G52" s="612">
        <f>+((('Balance de energía'!F49*1000000000)/$G$55)/1000)/1000</f>
        <v>0</v>
      </c>
      <c r="H52" s="612">
        <f>+(('Balance de energía'!G49*1000000000)/$H$55)/1000000</f>
        <v>0</v>
      </c>
      <c r="I52" s="612">
        <f>+(('Balance de energía'!H49*1000000000)/$I$55)/1000000</f>
        <v>0</v>
      </c>
      <c r="J52" s="612">
        <f>+(('Balance de energía'!I49*1000000000)/$J$55)/1000000</f>
        <v>0</v>
      </c>
      <c r="K52" s="613">
        <f>+(('Balance de energía'!J49*1000000000)/$K$55)/1000000</f>
        <v>0</v>
      </c>
      <c r="L52" s="612">
        <f>+(((('Balance de energía'!K49*1000000000)/$L$55)/1000)/$L$56)/1000</f>
        <v>0</v>
      </c>
      <c r="M52" s="612">
        <f>+((('Balance de energía'!L49*1000000000)/$M$55)/1000)/1000</f>
        <v>0</v>
      </c>
      <c r="N52" s="612">
        <f>+(((('Balance de energía'!M49*1000000000)/$N$55)/1000)/'Balance Energético (u.físicas)'!$N$56)/1000</f>
        <v>0</v>
      </c>
      <c r="O52" s="612">
        <f>+(((('Balance de energía'!N49*1000000000)/$O$55)/1000)/'Balance Energético (u.físicas)'!$O$56)/1000</f>
        <v>0</v>
      </c>
      <c r="P52" s="612">
        <f>+(((('Balance de energía'!O49*1000000000)/$P$55)/1000)/1000)</f>
        <v>0</v>
      </c>
      <c r="Q52" s="612">
        <f>+(((('Balance de energía'!P49*1000000000)/$Q$55)/1000)/'Balance Energético (u.físicas)'!$Q$56)/1000</f>
        <v>0</v>
      </c>
      <c r="R52" s="612">
        <f>+(((('Balance de energía'!Q49*1000000000)/$R$55)/1000)/'Balance Energético (u.físicas)'!$R$56)/1000</f>
        <v>0</v>
      </c>
      <c r="S52" s="612">
        <f>+((('Balance de energía'!R49*1000000000)/'Balance Energético (u.físicas)'!$S$55)/1000)/'Balance Energético (u.físicas)'!$S$56</f>
        <v>0</v>
      </c>
      <c r="T52" s="612">
        <f>+('Balance de energía'!S49*1000000000)/$T$55/1000</f>
        <v>0</v>
      </c>
      <c r="U52" s="612">
        <f>+(((('Balance de energía'!T49*1000000000)/$U$55)/1000)/1000)</f>
        <v>0</v>
      </c>
      <c r="V52" s="612">
        <f>+(('Balance de energía'!U49*1000000000)/'Balance Energético (u.físicas)'!$V$55)/1000000</f>
        <v>167.09657061530484</v>
      </c>
      <c r="W52" s="614">
        <f>+(('Balance de energía'!V49*1000000000)/$W$55)/1000000</f>
        <v>0</v>
      </c>
      <c r="X52" s="612">
        <f>+(((('Balance de energía'!W49*1000000000)/$X$55)/1000)/1000)</f>
        <v>0</v>
      </c>
      <c r="Y52" s="612">
        <f>+('Balance de energía'!X49*1000)/$Y$55</f>
        <v>0</v>
      </c>
      <c r="Z52" s="612">
        <f>+('Balance de energía'!Y49*1000)/$Z$55</f>
        <v>0</v>
      </c>
      <c r="AA52" s="612">
        <f>+('Balance de energía'!Z49*1000)/$AA$55</f>
        <v>0</v>
      </c>
      <c r="AB52" s="614">
        <f>+(('Balance de energía'!AA49*1000000000)/$AB$55)/1000000</f>
        <v>0</v>
      </c>
      <c r="AC52" s="613">
        <f>+(((('Balance de energía'!AB49*1000000000)/$AC$55)/1000)/1000)</f>
        <v>0</v>
      </c>
      <c r="AE52" s="377"/>
    </row>
    <row r="53" spans="2:31">
      <c r="D53" s="578"/>
    </row>
    <row r="54" spans="2:31" hidden="1">
      <c r="E54" s="379"/>
      <c r="F54" s="379"/>
      <c r="G54" s="379"/>
      <c r="J54" s="579"/>
      <c r="K54" s="579"/>
      <c r="L54" s="579"/>
      <c r="M54" s="579"/>
      <c r="N54" s="579"/>
      <c r="O54" s="579"/>
      <c r="P54" s="579"/>
    </row>
    <row r="55" spans="2:31" ht="15" hidden="1">
      <c r="C55" s="380" t="s">
        <v>455</v>
      </c>
      <c r="D55" s="379">
        <v>10862</v>
      </c>
      <c r="E55" s="381">
        <v>9341</v>
      </c>
      <c r="F55" s="382">
        <v>7000</v>
      </c>
      <c r="G55" s="379">
        <v>3331</v>
      </c>
      <c r="H55" s="383">
        <v>860</v>
      </c>
      <c r="I55" s="383">
        <v>860</v>
      </c>
      <c r="J55" s="383">
        <v>860</v>
      </c>
      <c r="K55" s="385">
        <v>5600</v>
      </c>
      <c r="L55" s="385">
        <v>10900</v>
      </c>
      <c r="M55" s="386">
        <v>10500</v>
      </c>
      <c r="N55" s="386">
        <v>11200</v>
      </c>
      <c r="O55" s="386">
        <v>11100</v>
      </c>
      <c r="P55" s="386">
        <v>12100</v>
      </c>
      <c r="Q55" s="386">
        <v>11400</v>
      </c>
      <c r="R55" s="386">
        <v>11100</v>
      </c>
      <c r="S55" s="388">
        <v>11500</v>
      </c>
      <c r="T55" s="580">
        <v>4260</v>
      </c>
      <c r="U55" s="390">
        <v>7000</v>
      </c>
      <c r="V55" s="581">
        <v>9644</v>
      </c>
      <c r="W55" s="383">
        <v>860</v>
      </c>
      <c r="X55" s="370">
        <v>7000</v>
      </c>
      <c r="Y55" s="391">
        <v>4.8554523300000003</v>
      </c>
      <c r="Z55" s="390">
        <v>10000</v>
      </c>
      <c r="AA55" s="582">
        <v>0.69835333333333305</v>
      </c>
      <c r="AB55" s="392">
        <v>4600</v>
      </c>
      <c r="AC55" s="388">
        <v>5413</v>
      </c>
    </row>
    <row r="56" spans="2:31" hidden="1">
      <c r="C56" s="380" t="s">
        <v>457</v>
      </c>
      <c r="D56" s="379">
        <v>0.84794000000000003</v>
      </c>
      <c r="E56" s="583"/>
      <c r="F56" s="583"/>
      <c r="G56" s="379">
        <v>0.58699999999999997</v>
      </c>
      <c r="H56" s="583"/>
      <c r="I56" s="583"/>
      <c r="J56" s="583"/>
      <c r="K56" s="583"/>
      <c r="L56" s="385">
        <v>0.84</v>
      </c>
      <c r="M56" s="583"/>
      <c r="N56" s="387">
        <v>0.73</v>
      </c>
      <c r="O56" s="387">
        <v>0.81</v>
      </c>
      <c r="P56" s="387">
        <v>0.55000000000000004</v>
      </c>
      <c r="Q56" s="387">
        <v>0.7</v>
      </c>
      <c r="R56" s="387">
        <v>0.81</v>
      </c>
      <c r="S56" s="389">
        <v>0.67</v>
      </c>
      <c r="U56" s="371">
        <v>1.111</v>
      </c>
    </row>
    <row r="57" spans="2:31" hidden="1">
      <c r="D57" s="379" t="s">
        <v>456</v>
      </c>
      <c r="E57" s="379" t="s">
        <v>468</v>
      </c>
      <c r="F57" s="379" t="s">
        <v>456</v>
      </c>
      <c r="G57" s="379" t="s">
        <v>456</v>
      </c>
      <c r="H57" s="379" t="s">
        <v>469</v>
      </c>
      <c r="I57" s="379" t="s">
        <v>469</v>
      </c>
      <c r="J57" s="379" t="s">
        <v>469</v>
      </c>
      <c r="K57" s="379" t="s">
        <v>468</v>
      </c>
      <c r="L57" s="379" t="s">
        <v>456</v>
      </c>
      <c r="M57" s="379" t="s">
        <v>456</v>
      </c>
      <c r="N57" s="379" t="s">
        <v>456</v>
      </c>
      <c r="O57" s="379" t="s">
        <v>456</v>
      </c>
      <c r="P57" s="379" t="s">
        <v>456</v>
      </c>
      <c r="Q57" s="379" t="s">
        <v>456</v>
      </c>
      <c r="R57" s="379" t="s">
        <v>456</v>
      </c>
      <c r="S57" s="379" t="s">
        <v>456</v>
      </c>
      <c r="T57" s="379" t="s">
        <v>468</v>
      </c>
      <c r="U57" s="379" t="s">
        <v>456</v>
      </c>
      <c r="V57" s="584" t="s">
        <v>456</v>
      </c>
      <c r="W57" s="379" t="s">
        <v>469</v>
      </c>
      <c r="X57" s="379" t="s">
        <v>456</v>
      </c>
      <c r="Y57" s="379" t="s">
        <v>467</v>
      </c>
      <c r="Z57" s="379" t="s">
        <v>467</v>
      </c>
      <c r="AA57" s="379" t="s">
        <v>467</v>
      </c>
      <c r="AB57" s="585" t="s">
        <v>470</v>
      </c>
      <c r="AC57" s="379" t="s">
        <v>456</v>
      </c>
    </row>
    <row r="58" spans="2:31" hidden="1">
      <c r="D58" s="379" t="s">
        <v>458</v>
      </c>
      <c r="F58" s="583"/>
      <c r="G58" s="384" t="s">
        <v>473</v>
      </c>
      <c r="H58" s="583"/>
      <c r="I58" s="583"/>
      <c r="J58" s="583"/>
      <c r="K58" s="583"/>
      <c r="L58" s="379" t="s">
        <v>212</v>
      </c>
      <c r="M58" s="583"/>
      <c r="N58" s="379" t="s">
        <v>212</v>
      </c>
      <c r="O58" s="379" t="s">
        <v>212</v>
      </c>
      <c r="P58" s="583"/>
      <c r="Q58" s="379" t="s">
        <v>212</v>
      </c>
      <c r="R58" s="379" t="s">
        <v>212</v>
      </c>
      <c r="S58" s="379" t="s">
        <v>212</v>
      </c>
      <c r="U58" s="379" t="s">
        <v>212</v>
      </c>
    </row>
    <row r="59" spans="2:31" hidden="1">
      <c r="D59" s="583"/>
      <c r="E59" s="583"/>
      <c r="F59" s="583"/>
      <c r="G59" s="583"/>
      <c r="H59" s="583"/>
      <c r="I59" s="583"/>
      <c r="J59" s="583"/>
      <c r="K59" s="583"/>
      <c r="L59" s="583"/>
      <c r="M59" s="583"/>
      <c r="N59" s="583"/>
      <c r="O59" s="583"/>
      <c r="P59" s="583"/>
    </row>
    <row r="60" spans="2:31" hidden="1">
      <c r="D60" s="586"/>
      <c r="E60" s="586"/>
      <c r="F60" s="586"/>
      <c r="G60" s="586"/>
      <c r="H60" s="586"/>
      <c r="I60" s="586"/>
      <c r="J60" s="586"/>
      <c r="K60" s="586"/>
      <c r="L60" s="586"/>
      <c r="M60" s="586"/>
      <c r="N60" s="586"/>
      <c r="O60" s="586"/>
      <c r="P60" s="586"/>
    </row>
    <row r="61" spans="2:31" ht="15.75" customHeight="1">
      <c r="D61" s="586"/>
      <c r="E61" s="586"/>
      <c r="F61" s="586"/>
      <c r="G61" s="586"/>
      <c r="H61" s="586"/>
      <c r="I61" s="586"/>
      <c r="J61" s="586"/>
      <c r="K61" s="586"/>
      <c r="L61" s="586"/>
      <c r="M61" s="586"/>
      <c r="N61" s="586"/>
      <c r="O61" s="586"/>
      <c r="P61" s="586"/>
      <c r="V61" s="584"/>
    </row>
    <row r="62" spans="2:31">
      <c r="D62" s="587"/>
      <c r="E62" s="587"/>
      <c r="F62" s="587"/>
      <c r="G62" s="587"/>
      <c r="H62" s="587"/>
      <c r="I62" s="587"/>
      <c r="J62" s="587"/>
      <c r="K62" s="587"/>
      <c r="L62" s="587"/>
      <c r="M62" s="587"/>
      <c r="N62" s="587"/>
      <c r="O62" s="587"/>
      <c r="P62" s="587"/>
    </row>
    <row r="63" spans="2:31">
      <c r="D63" s="587"/>
      <c r="E63" s="587"/>
      <c r="F63" s="587"/>
      <c r="G63" s="587"/>
      <c r="H63" s="587"/>
      <c r="I63" s="587"/>
      <c r="J63" s="587"/>
      <c r="K63" s="587"/>
      <c r="L63" s="587"/>
      <c r="M63" s="587"/>
      <c r="N63" s="587"/>
      <c r="O63" s="587"/>
      <c r="P63" s="587"/>
    </row>
    <row r="64" spans="2:31">
      <c r="D64" s="583"/>
      <c r="E64" s="583"/>
      <c r="F64" s="583"/>
      <c r="G64" s="583"/>
      <c r="H64" s="583"/>
      <c r="I64" s="583"/>
      <c r="J64" s="583"/>
      <c r="K64" s="583"/>
      <c r="L64" s="583"/>
      <c r="M64" s="583"/>
      <c r="N64" s="583"/>
      <c r="O64" s="583"/>
      <c r="P64" s="583"/>
    </row>
    <row r="65" spans="4:16">
      <c r="D65" s="588"/>
      <c r="E65" s="588"/>
      <c r="F65" s="588"/>
      <c r="G65" s="588"/>
      <c r="H65" s="588"/>
      <c r="I65" s="588"/>
      <c r="J65" s="588"/>
      <c r="K65" s="588"/>
      <c r="L65" s="588"/>
      <c r="M65" s="588"/>
      <c r="N65" s="588"/>
      <c r="O65" s="588"/>
      <c r="P65" s="588"/>
    </row>
  </sheetData>
  <mergeCells count="12">
    <mergeCell ref="G2:J2"/>
    <mergeCell ref="AC4:AC5"/>
    <mergeCell ref="AD4:AD5"/>
    <mergeCell ref="B23:B52"/>
    <mergeCell ref="C4:C5"/>
    <mergeCell ref="D4:K4"/>
    <mergeCell ref="W4:W5"/>
    <mergeCell ref="X4:AA4"/>
    <mergeCell ref="AB4:AB5"/>
    <mergeCell ref="B14:B21"/>
    <mergeCell ref="L4:S4"/>
    <mergeCell ref="T4:V4"/>
  </mergeCells>
  <hyperlinks>
    <hyperlink ref="M2" location="Índice!A1" display="VOLVER A INDICE"/>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8" tint="0.59999389629810485"/>
    <pageSetUpPr fitToPage="1"/>
  </sheetPr>
  <dimension ref="B1:H32"/>
  <sheetViews>
    <sheetView workbookViewId="0"/>
  </sheetViews>
  <sheetFormatPr baseColWidth="10" defaultRowHeight="12.75"/>
  <cols>
    <col min="1" max="1" width="2.7109375" style="2" customWidth="1"/>
    <col min="2" max="5" width="11.42578125" style="2"/>
    <col min="6" max="6" width="18.85546875" style="2" customWidth="1"/>
    <col min="7" max="16384" width="11.42578125" style="2"/>
  </cols>
  <sheetData>
    <row r="1" spans="2:8" ht="20.25" customHeight="1"/>
    <row r="2" spans="2:8" ht="12" customHeight="1">
      <c r="B2" s="805" t="s">
        <v>429</v>
      </c>
      <c r="C2" s="805"/>
      <c r="D2" s="805"/>
      <c r="E2" s="805"/>
      <c r="F2" s="805"/>
      <c r="H2" s="285" t="s">
        <v>430</v>
      </c>
    </row>
    <row r="3" spans="2:8" ht="20.25" customHeight="1">
      <c r="B3" s="805"/>
      <c r="C3" s="805"/>
      <c r="D3" s="805"/>
      <c r="E3" s="805"/>
      <c r="F3" s="805"/>
    </row>
    <row r="4" spans="2:8">
      <c r="B4" s="805"/>
      <c r="C4" s="805"/>
      <c r="D4" s="805"/>
      <c r="E4" s="805"/>
      <c r="F4" s="805"/>
    </row>
    <row r="6" spans="2:8">
      <c r="B6" s="803" t="s">
        <v>620</v>
      </c>
      <c r="C6" s="804"/>
      <c r="D6" s="804"/>
      <c r="E6" s="804"/>
      <c r="F6" s="804"/>
    </row>
    <row r="7" spans="2:8">
      <c r="B7" s="804"/>
      <c r="C7" s="804"/>
      <c r="D7" s="804"/>
      <c r="E7" s="804"/>
      <c r="F7" s="804"/>
    </row>
    <row r="8" spans="2:8">
      <c r="B8" s="804"/>
      <c r="C8" s="804"/>
      <c r="D8" s="804"/>
      <c r="E8" s="804"/>
      <c r="F8" s="804"/>
    </row>
    <row r="9" spans="2:8">
      <c r="B9" s="804"/>
      <c r="C9" s="804"/>
      <c r="D9" s="804"/>
      <c r="E9" s="804"/>
      <c r="F9" s="804"/>
    </row>
    <row r="10" spans="2:8" ht="12.75" customHeight="1">
      <c r="B10" s="804"/>
      <c r="C10" s="804"/>
      <c r="D10" s="804"/>
      <c r="E10" s="804"/>
      <c r="F10" s="804"/>
    </row>
    <row r="11" spans="2:8" ht="12.75" customHeight="1">
      <c r="B11" s="804"/>
      <c r="C11" s="804"/>
      <c r="D11" s="804"/>
      <c r="E11" s="804"/>
      <c r="F11" s="804"/>
    </row>
    <row r="12" spans="2:8" ht="12.75" customHeight="1">
      <c r="B12" s="804"/>
      <c r="C12" s="804"/>
      <c r="D12" s="804"/>
      <c r="E12" s="804"/>
      <c r="F12" s="804"/>
    </row>
    <row r="13" spans="2:8" ht="12.75" customHeight="1">
      <c r="B13" s="804"/>
      <c r="C13" s="804"/>
      <c r="D13" s="804"/>
      <c r="E13" s="804"/>
      <c r="F13" s="804"/>
    </row>
    <row r="14" spans="2:8">
      <c r="B14" s="804"/>
      <c r="C14" s="804"/>
      <c r="D14" s="804"/>
      <c r="E14" s="804"/>
      <c r="F14" s="804"/>
    </row>
    <row r="15" spans="2:8">
      <c r="B15" s="804"/>
      <c r="C15" s="804"/>
      <c r="D15" s="804"/>
      <c r="E15" s="804"/>
      <c r="F15" s="804"/>
    </row>
    <row r="16" spans="2:8">
      <c r="B16" s="804"/>
      <c r="C16" s="804"/>
      <c r="D16" s="804"/>
      <c r="E16" s="804"/>
      <c r="F16" s="804"/>
    </row>
    <row r="17" spans="2:6">
      <c r="B17" s="804"/>
      <c r="C17" s="804"/>
      <c r="D17" s="804"/>
      <c r="E17" s="804"/>
      <c r="F17" s="804"/>
    </row>
    <row r="18" spans="2:6">
      <c r="B18" s="804"/>
      <c r="C18" s="804"/>
      <c r="D18" s="804"/>
      <c r="E18" s="804"/>
      <c r="F18" s="804"/>
    </row>
    <row r="19" spans="2:6">
      <c r="B19" s="804"/>
      <c r="C19" s="804"/>
      <c r="D19" s="804"/>
      <c r="E19" s="804"/>
      <c r="F19" s="804"/>
    </row>
    <row r="20" spans="2:6">
      <c r="B20" s="804"/>
      <c r="C20" s="804"/>
      <c r="D20" s="804"/>
      <c r="E20" s="804"/>
      <c r="F20" s="804"/>
    </row>
    <row r="21" spans="2:6">
      <c r="B21" s="804"/>
      <c r="C21" s="804"/>
      <c r="D21" s="804"/>
      <c r="E21" s="804"/>
      <c r="F21" s="804"/>
    </row>
    <row r="22" spans="2:6">
      <c r="B22" s="804"/>
      <c r="C22" s="804"/>
      <c r="D22" s="804"/>
      <c r="E22" s="804"/>
      <c r="F22" s="804"/>
    </row>
    <row r="23" spans="2:6">
      <c r="B23" s="804"/>
      <c r="C23" s="804"/>
      <c r="D23" s="804"/>
      <c r="E23" s="804"/>
      <c r="F23" s="804"/>
    </row>
    <row r="24" spans="2:6">
      <c r="B24" s="804"/>
      <c r="C24" s="804"/>
      <c r="D24" s="804"/>
      <c r="E24" s="804"/>
      <c r="F24" s="804"/>
    </row>
    <row r="25" spans="2:6">
      <c r="B25" s="804"/>
      <c r="C25" s="804"/>
      <c r="D25" s="804"/>
      <c r="E25" s="804"/>
      <c r="F25" s="804"/>
    </row>
    <row r="26" spans="2:6">
      <c r="B26" s="804"/>
      <c r="C26" s="804"/>
      <c r="D26" s="804"/>
      <c r="E26" s="804"/>
      <c r="F26" s="804"/>
    </row>
    <row r="27" spans="2:6">
      <c r="B27" s="804"/>
      <c r="C27" s="804"/>
      <c r="D27" s="804"/>
      <c r="E27" s="804"/>
      <c r="F27" s="804"/>
    </row>
    <row r="28" spans="2:6">
      <c r="B28" s="804"/>
      <c r="C28" s="804"/>
      <c r="D28" s="804"/>
      <c r="E28" s="804"/>
      <c r="F28" s="804"/>
    </row>
    <row r="29" spans="2:6">
      <c r="B29" s="804"/>
      <c r="C29" s="804"/>
      <c r="D29" s="804"/>
      <c r="E29" s="804"/>
      <c r="F29" s="804"/>
    </row>
    <row r="30" spans="2:6">
      <c r="B30" s="804"/>
      <c r="C30" s="804"/>
      <c r="D30" s="804"/>
      <c r="E30" s="804"/>
      <c r="F30" s="804"/>
    </row>
    <row r="31" spans="2:6">
      <c r="B31" s="804"/>
      <c r="C31" s="804"/>
      <c r="D31" s="804"/>
      <c r="E31" s="804"/>
      <c r="F31" s="804"/>
    </row>
    <row r="32" spans="2:6">
      <c r="B32" s="804"/>
      <c r="C32" s="804"/>
      <c r="D32" s="804"/>
      <c r="E32" s="804"/>
      <c r="F32" s="804"/>
    </row>
  </sheetData>
  <mergeCells count="2">
    <mergeCell ref="B6:F32"/>
    <mergeCell ref="B2:F4"/>
  </mergeCells>
  <phoneticPr fontId="0" type="noConversion"/>
  <hyperlinks>
    <hyperlink ref="H2" location="Índice!A1" display="IR A ÍNDICE"/>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tabColor theme="6" tint="0.39997558519241921"/>
  </sheetPr>
  <dimension ref="A2:AG63"/>
  <sheetViews>
    <sheetView workbookViewId="0"/>
  </sheetViews>
  <sheetFormatPr baseColWidth="10" defaultRowHeight="12.75"/>
  <cols>
    <col min="1" max="1" width="5.28515625" style="360" customWidth="1"/>
    <col min="2" max="2" width="4.140625" style="360" customWidth="1"/>
    <col min="3" max="3" width="32.140625" style="360" customWidth="1"/>
    <col min="4" max="4" width="10.5703125" style="360" customWidth="1"/>
    <col min="5" max="10" width="11.42578125" style="360" customWidth="1"/>
    <col min="11" max="11" width="10.28515625" style="360" customWidth="1"/>
    <col min="12" max="12" width="15.140625" style="360" customWidth="1"/>
    <col min="13" max="13" width="12.140625" style="360" customWidth="1"/>
    <col min="14" max="14" width="9.85546875" style="360" customWidth="1"/>
    <col min="15" max="16" width="11.42578125" style="360"/>
    <col min="17" max="17" width="10.28515625" style="360" customWidth="1"/>
    <col min="18" max="18" width="9.7109375" style="360" customWidth="1"/>
    <col min="19" max="19" width="12.85546875" style="360" customWidth="1"/>
    <col min="20" max="20" width="10.5703125" style="360" customWidth="1"/>
    <col min="21" max="22" width="10.140625" style="360" customWidth="1"/>
    <col min="23" max="23" width="11.42578125" style="360"/>
    <col min="24" max="24" width="10.140625" style="360" customWidth="1"/>
    <col min="25" max="26" width="11.42578125" style="360"/>
    <col min="27" max="27" width="14.28515625" style="360" customWidth="1"/>
    <col min="28" max="28" width="13" style="360" customWidth="1"/>
    <col min="29" max="29" width="9.7109375" style="360" customWidth="1"/>
    <col min="30" max="30" width="11.42578125" style="598"/>
    <col min="31" max="16384" width="11.42578125" style="360"/>
  </cols>
  <sheetData>
    <row r="2" spans="2:33" ht="15.75">
      <c r="C2" s="367" t="s">
        <v>472</v>
      </c>
      <c r="D2" s="363"/>
      <c r="F2" s="363"/>
      <c r="G2" s="363"/>
      <c r="H2" s="843" t="s">
        <v>609</v>
      </c>
      <c r="I2" s="843"/>
      <c r="J2" s="843"/>
      <c r="K2" s="843"/>
      <c r="L2" s="843"/>
      <c r="M2" s="843"/>
      <c r="N2" s="843"/>
      <c r="O2" s="747"/>
      <c r="P2" s="696" t="s">
        <v>229</v>
      </c>
      <c r="Q2" s="373"/>
      <c r="R2" s="363"/>
      <c r="S2" s="363"/>
      <c r="T2" s="363"/>
      <c r="U2" s="363"/>
      <c r="V2" s="363"/>
      <c r="W2" s="363"/>
      <c r="X2" s="363"/>
      <c r="Y2" s="363"/>
      <c r="Z2" s="363"/>
      <c r="AA2" s="363"/>
      <c r="AB2" s="363"/>
      <c r="AC2" s="363"/>
    </row>
    <row r="3" spans="2:33" ht="15.75">
      <c r="C3" s="362"/>
      <c r="D3" s="363"/>
      <c r="F3" s="363"/>
      <c r="G3" s="363"/>
      <c r="H3" s="364"/>
      <c r="I3" s="363"/>
      <c r="J3" s="363"/>
      <c r="K3" s="363"/>
      <c r="L3" s="363"/>
      <c r="M3" s="365"/>
      <c r="N3" s="363"/>
      <c r="O3" s="363"/>
      <c r="P3" s="363"/>
      <c r="Q3" s="363"/>
      <c r="R3" s="363"/>
      <c r="S3" s="363"/>
      <c r="T3" s="363"/>
      <c r="U3" s="363"/>
      <c r="V3" s="363"/>
      <c r="W3" s="363"/>
      <c r="X3" s="363"/>
      <c r="Y3" s="363"/>
      <c r="Z3" s="363"/>
      <c r="AA3" s="363"/>
      <c r="AB3" s="363"/>
      <c r="AC3" s="363"/>
    </row>
    <row r="4" spans="2:33" ht="15.75" customHeight="1">
      <c r="B4" s="368"/>
      <c r="C4" s="859" t="s">
        <v>266</v>
      </c>
      <c r="D4" s="852" t="s">
        <v>10</v>
      </c>
      <c r="E4" s="853"/>
      <c r="F4" s="853"/>
      <c r="G4" s="853"/>
      <c r="H4" s="853"/>
      <c r="I4" s="853"/>
      <c r="J4" s="853"/>
      <c r="K4" s="854"/>
      <c r="L4" s="853" t="s">
        <v>11</v>
      </c>
      <c r="M4" s="853"/>
      <c r="N4" s="853"/>
      <c r="O4" s="853"/>
      <c r="P4" s="853"/>
      <c r="Q4" s="853"/>
      <c r="R4" s="853"/>
      <c r="S4" s="853"/>
      <c r="T4" s="853"/>
      <c r="U4" s="853"/>
      <c r="V4" s="853"/>
      <c r="W4" s="855" t="s">
        <v>465</v>
      </c>
      <c r="X4" s="853" t="s">
        <v>12</v>
      </c>
      <c r="Y4" s="853"/>
      <c r="Z4" s="853"/>
      <c r="AA4" s="577"/>
      <c r="AB4" s="855" t="s">
        <v>512</v>
      </c>
      <c r="AC4" s="845" t="s">
        <v>513</v>
      </c>
    </row>
    <row r="5" spans="2:33" s="361" customFormat="1" ht="38.25" customHeight="1">
      <c r="B5" s="368"/>
      <c r="C5" s="860"/>
      <c r="D5" s="591" t="s">
        <v>466</v>
      </c>
      <c r="E5" s="568" t="s">
        <v>462</v>
      </c>
      <c r="F5" s="568" t="s">
        <v>463</v>
      </c>
      <c r="G5" s="568" t="s">
        <v>517</v>
      </c>
      <c r="H5" s="568" t="s">
        <v>459</v>
      </c>
      <c r="I5" s="568" t="s">
        <v>460</v>
      </c>
      <c r="J5" s="568" t="s">
        <v>461</v>
      </c>
      <c r="K5" s="571" t="s">
        <v>464</v>
      </c>
      <c r="L5" s="568" t="s">
        <v>498</v>
      </c>
      <c r="M5" s="568" t="s">
        <v>499</v>
      </c>
      <c r="N5" s="568" t="s">
        <v>500</v>
      </c>
      <c r="O5" s="568" t="s">
        <v>501</v>
      </c>
      <c r="P5" s="568" t="s">
        <v>502</v>
      </c>
      <c r="Q5" s="568" t="s">
        <v>503</v>
      </c>
      <c r="R5" s="568" t="s">
        <v>504</v>
      </c>
      <c r="S5" s="568" t="s">
        <v>505</v>
      </c>
      <c r="T5" s="568" t="s">
        <v>506</v>
      </c>
      <c r="U5" s="568" t="s">
        <v>507</v>
      </c>
      <c r="V5" s="568" t="s">
        <v>508</v>
      </c>
      <c r="W5" s="856"/>
      <c r="X5" s="568" t="s">
        <v>509</v>
      </c>
      <c r="Y5" s="568" t="s">
        <v>510</v>
      </c>
      <c r="Z5" s="568" t="s">
        <v>511</v>
      </c>
      <c r="AA5" s="568" t="s">
        <v>528</v>
      </c>
      <c r="AB5" s="856"/>
      <c r="AC5" s="846"/>
      <c r="AD5" s="598"/>
    </row>
    <row r="6" spans="2:33" s="361" customFormat="1">
      <c r="B6" s="368"/>
      <c r="C6" s="592" t="s">
        <v>194</v>
      </c>
      <c r="D6" s="728">
        <f>-D8+D17</f>
        <v>-10026.7803592</v>
      </c>
      <c r="E6" s="729">
        <f>E8+E17</f>
        <v>4356.7161357029581</v>
      </c>
      <c r="F6" s="729">
        <f>F8+F17</f>
        <v>10794.588107900323</v>
      </c>
      <c r="G6" s="729">
        <f>G8+G17</f>
        <v>21903.007884015729</v>
      </c>
      <c r="H6" s="729">
        <f t="shared" ref="H6:V6" si="0">-H8+H17</f>
        <v>-23617.253634000004</v>
      </c>
      <c r="I6" s="729">
        <f t="shared" si="0"/>
        <v>-2114.2670289999992</v>
      </c>
      <c r="J6" s="729">
        <f t="shared" si="0"/>
        <v>-1260.8661688799998</v>
      </c>
      <c r="K6" s="730">
        <f t="shared" ref="K6:U6" si="1">K8+K17</f>
        <v>150.45434222948245</v>
      </c>
      <c r="L6" s="729">
        <f t="shared" si="1"/>
        <v>8935.3386917830339</v>
      </c>
      <c r="M6" s="729">
        <f t="shared" si="1"/>
        <v>1046.3552538130302</v>
      </c>
      <c r="N6" s="729">
        <f t="shared" si="1"/>
        <v>4561.6908107420686</v>
      </c>
      <c r="O6" s="729">
        <f t="shared" si="1"/>
        <v>183.55735574876167</v>
      </c>
      <c r="P6" s="729">
        <f t="shared" si="1"/>
        <v>1165.1931447871468</v>
      </c>
      <c r="Q6" s="729">
        <f t="shared" si="1"/>
        <v>8.8348674267239922</v>
      </c>
      <c r="R6" s="729">
        <f t="shared" si="1"/>
        <v>1308.2310859237805</v>
      </c>
      <c r="S6" s="729">
        <f t="shared" si="1"/>
        <v>228.48397132381567</v>
      </c>
      <c r="T6" s="729">
        <f t="shared" si="1"/>
        <v>346.50899547228465</v>
      </c>
      <c r="U6" s="729">
        <f t="shared" si="1"/>
        <v>504.52756799999997</v>
      </c>
      <c r="V6" s="729">
        <f t="shared" si="0"/>
        <v>236.73200552908997</v>
      </c>
      <c r="W6" s="731">
        <f t="shared" ref="W6:AC6" si="2">W8+W17</f>
        <v>70311.097611990495</v>
      </c>
      <c r="X6" s="729">
        <f t="shared" si="2"/>
        <v>372.59369503714288</v>
      </c>
      <c r="Y6" s="729">
        <f t="shared" si="2"/>
        <v>168067.34873247123</v>
      </c>
      <c r="Z6" s="729">
        <f t="shared" si="2"/>
        <v>19.545100000000001</v>
      </c>
      <c r="AA6" s="729">
        <f t="shared" si="2"/>
        <v>1020521.7591381635</v>
      </c>
      <c r="AB6" s="731">
        <f t="shared" si="2"/>
        <v>17.280872955420001</v>
      </c>
      <c r="AC6" s="730">
        <f t="shared" si="2"/>
        <v>0</v>
      </c>
      <c r="AD6" s="598"/>
    </row>
    <row r="7" spans="2:33" s="361" customFormat="1">
      <c r="B7" s="368"/>
      <c r="C7" s="575"/>
      <c r="D7" s="756"/>
      <c r="E7" s="756"/>
      <c r="F7" s="756"/>
      <c r="G7" s="756"/>
      <c r="H7" s="756"/>
      <c r="I7" s="756"/>
      <c r="J7" s="756"/>
      <c r="K7" s="756"/>
      <c r="L7" s="756"/>
      <c r="M7" s="756"/>
      <c r="N7" s="756"/>
      <c r="O7" s="756"/>
      <c r="P7" s="756"/>
      <c r="Q7" s="756"/>
      <c r="R7" s="756"/>
      <c r="S7" s="756"/>
      <c r="T7" s="756"/>
      <c r="U7" s="756"/>
      <c r="V7" s="756"/>
      <c r="W7" s="758"/>
      <c r="X7" s="756"/>
      <c r="Y7" s="756"/>
      <c r="Z7" s="756"/>
      <c r="AA7" s="756"/>
      <c r="AB7" s="758"/>
      <c r="AC7" s="757"/>
      <c r="AD7" s="598"/>
    </row>
    <row r="8" spans="2:33" ht="13.5" thickBot="1">
      <c r="B8" s="368"/>
      <c r="C8" s="734" t="s">
        <v>454</v>
      </c>
      <c r="D8" s="729">
        <f>SUM(D9:D16)</f>
        <v>10026.7803592</v>
      </c>
      <c r="E8" s="729">
        <f t="shared" ref="E8:AC8" si="3">SUM(E9:E16)</f>
        <v>2470.6130729483612</v>
      </c>
      <c r="F8" s="729">
        <f t="shared" si="3"/>
        <v>10408.365997517565</v>
      </c>
      <c r="G8" s="729">
        <f t="shared" si="3"/>
        <v>10716.009803013443</v>
      </c>
      <c r="H8" s="729">
        <f t="shared" si="3"/>
        <v>23617.253634000004</v>
      </c>
      <c r="I8" s="729">
        <f t="shared" si="3"/>
        <v>2114.2670289999992</v>
      </c>
      <c r="J8" s="729">
        <f t="shared" si="3"/>
        <v>1260.8661688799998</v>
      </c>
      <c r="K8" s="729">
        <f t="shared" si="3"/>
        <v>121.18786322948245</v>
      </c>
      <c r="L8" s="728">
        <f t="shared" si="3"/>
        <v>729.14164186756739</v>
      </c>
      <c r="M8" s="729">
        <f t="shared" si="3"/>
        <v>150.56165869190411</v>
      </c>
      <c r="N8" s="729">
        <f t="shared" si="3"/>
        <v>342.24599999999992</v>
      </c>
      <c r="O8" s="729">
        <f t="shared" si="3"/>
        <v>6.4910000000000014</v>
      </c>
      <c r="P8" s="729">
        <f t="shared" si="3"/>
        <v>7.2095017551872163</v>
      </c>
      <c r="Q8" s="729">
        <f t="shared" si="3"/>
        <v>0</v>
      </c>
      <c r="R8" s="729">
        <f t="shared" si="3"/>
        <v>0.2001</v>
      </c>
      <c r="S8" s="729">
        <f t="shared" si="3"/>
        <v>54.039299999999997</v>
      </c>
      <c r="T8" s="729">
        <f t="shared" si="3"/>
        <v>0</v>
      </c>
      <c r="U8" s="729">
        <f t="shared" si="3"/>
        <v>200.74700000000001</v>
      </c>
      <c r="V8" s="729">
        <f t="shared" si="3"/>
        <v>0</v>
      </c>
      <c r="W8" s="731">
        <f t="shared" si="3"/>
        <v>0</v>
      </c>
      <c r="X8" s="729">
        <f t="shared" si="3"/>
        <v>359.73236139428576</v>
      </c>
      <c r="Y8" s="729">
        <f>SUM(Y9:Y15)</f>
        <v>0</v>
      </c>
      <c r="Z8" s="729">
        <f t="shared" si="3"/>
        <v>0</v>
      </c>
      <c r="AA8" s="729">
        <f t="shared" si="3"/>
        <v>13195</v>
      </c>
      <c r="AB8" s="731">
        <f t="shared" si="3"/>
        <v>0</v>
      </c>
      <c r="AC8" s="729">
        <f t="shared" si="3"/>
        <v>0</v>
      </c>
      <c r="AE8" s="433"/>
      <c r="AF8" s="433"/>
      <c r="AG8" s="433"/>
    </row>
    <row r="9" spans="2:33" ht="12.75" customHeight="1">
      <c r="B9" s="849" t="s">
        <v>14</v>
      </c>
      <c r="C9" s="733" t="s">
        <v>63</v>
      </c>
      <c r="D9" s="631">
        <v>0</v>
      </c>
      <c r="E9" s="631">
        <v>0</v>
      </c>
      <c r="F9" s="631">
        <v>0</v>
      </c>
      <c r="G9" s="631">
        <v>0</v>
      </c>
      <c r="H9" s="631" t="s">
        <v>44</v>
      </c>
      <c r="I9" s="631" t="s">
        <v>44</v>
      </c>
      <c r="J9" s="631" t="s">
        <v>44</v>
      </c>
      <c r="K9" s="632">
        <v>0</v>
      </c>
      <c r="L9" s="631">
        <v>0</v>
      </c>
      <c r="M9" s="631">
        <v>0</v>
      </c>
      <c r="N9" s="631">
        <v>0</v>
      </c>
      <c r="O9" s="631">
        <v>0</v>
      </c>
      <c r="P9" s="631">
        <v>0</v>
      </c>
      <c r="Q9" s="631">
        <v>0</v>
      </c>
      <c r="R9" s="631">
        <v>0</v>
      </c>
      <c r="S9" s="631">
        <v>0</v>
      </c>
      <c r="T9" s="631">
        <v>0</v>
      </c>
      <c r="U9" s="631">
        <v>0</v>
      </c>
      <c r="V9" s="631">
        <v>0</v>
      </c>
      <c r="W9" s="633">
        <v>0</v>
      </c>
      <c r="X9" s="631">
        <v>0</v>
      </c>
      <c r="Y9" s="631">
        <v>0</v>
      </c>
      <c r="Z9" s="631">
        <v>0</v>
      </c>
      <c r="AA9" s="631">
        <v>0</v>
      </c>
      <c r="AB9" s="633">
        <v>0</v>
      </c>
      <c r="AC9" s="632">
        <v>0</v>
      </c>
      <c r="AE9" s="358"/>
      <c r="AF9" s="358"/>
      <c r="AG9" s="438"/>
    </row>
    <row r="10" spans="2:33">
      <c r="B10" s="850"/>
      <c r="C10" s="733" t="s">
        <v>448</v>
      </c>
      <c r="D10" s="631">
        <v>0</v>
      </c>
      <c r="E10" s="631">
        <v>2261.7299998078274</v>
      </c>
      <c r="F10" s="631">
        <v>9858.9945361461359</v>
      </c>
      <c r="G10" s="631">
        <v>2584.5563030020562</v>
      </c>
      <c r="H10" s="631">
        <f>-'Balance Energético (u.físicas)'!H15</f>
        <v>23572.914534000003</v>
      </c>
      <c r="I10" s="631">
        <f>-'Balance Energético (u.físicas)'!I15</f>
        <v>2111.7502289999993</v>
      </c>
      <c r="J10" s="631">
        <f>-'Balance Energético (u.físicas)'!J15</f>
        <v>1260.7877689999998</v>
      </c>
      <c r="K10" s="632">
        <v>119.18786322948245</v>
      </c>
      <c r="L10" s="631">
        <v>545.13959135518644</v>
      </c>
      <c r="M10" s="631">
        <v>12.317000000000002</v>
      </c>
      <c r="N10" s="631">
        <v>0</v>
      </c>
      <c r="O10" s="631">
        <v>0</v>
      </c>
      <c r="P10" s="631">
        <v>0.32647000000000009</v>
      </c>
      <c r="Q10" s="631">
        <v>0</v>
      </c>
      <c r="R10" s="631">
        <v>0.19500000000000001</v>
      </c>
      <c r="S10" s="631">
        <v>0</v>
      </c>
      <c r="T10" s="631">
        <v>0</v>
      </c>
      <c r="U10" s="631">
        <v>0</v>
      </c>
      <c r="V10" s="631">
        <v>0</v>
      </c>
      <c r="W10" s="633">
        <v>0</v>
      </c>
      <c r="X10" s="631">
        <v>0</v>
      </c>
      <c r="Y10" s="631">
        <v>0</v>
      </c>
      <c r="Z10" s="631">
        <v>0</v>
      </c>
      <c r="AA10" s="631">
        <v>0</v>
      </c>
      <c r="AB10" s="633">
        <v>0</v>
      </c>
      <c r="AC10" s="632">
        <v>0</v>
      </c>
      <c r="AE10" s="358"/>
      <c r="AF10" s="358"/>
      <c r="AG10" s="438"/>
    </row>
    <row r="11" spans="2:33">
      <c r="B11" s="850"/>
      <c r="C11" s="733" t="s">
        <v>449</v>
      </c>
      <c r="D11" s="631">
        <v>0</v>
      </c>
      <c r="E11" s="631">
        <v>46.370111059386616</v>
      </c>
      <c r="F11" s="631">
        <v>0</v>
      </c>
      <c r="G11" s="631">
        <v>8131.4535000113865</v>
      </c>
      <c r="H11" s="631">
        <f>-'Balance Energético (u.físicas)'!H16</f>
        <v>44.339100000000002</v>
      </c>
      <c r="I11" s="631">
        <f>-'Balance Energético (u.físicas)'!I16</f>
        <v>2.5167999999999999</v>
      </c>
      <c r="J11" s="631">
        <f>-'Balance Energético (u.físicas)'!J16</f>
        <v>7.8399879999999991E-2</v>
      </c>
      <c r="K11" s="632">
        <v>0</v>
      </c>
      <c r="L11" s="631">
        <v>52.711050512380922</v>
      </c>
      <c r="M11" s="631">
        <v>77.273658691904103</v>
      </c>
      <c r="N11" s="631">
        <v>0</v>
      </c>
      <c r="O11" s="631">
        <v>0</v>
      </c>
      <c r="P11" s="631">
        <v>1.294481755187215</v>
      </c>
      <c r="Q11" s="631">
        <v>0</v>
      </c>
      <c r="R11" s="631">
        <v>5.0999999999999995E-3</v>
      </c>
      <c r="S11" s="631">
        <v>0</v>
      </c>
      <c r="T11" s="631">
        <v>0</v>
      </c>
      <c r="U11" s="631">
        <v>200.74700000000001</v>
      </c>
      <c r="V11" s="631">
        <v>0</v>
      </c>
      <c r="W11" s="633">
        <v>0</v>
      </c>
      <c r="X11" s="631">
        <v>0</v>
      </c>
      <c r="Y11" s="631">
        <v>0</v>
      </c>
      <c r="Z11" s="631">
        <v>0</v>
      </c>
      <c r="AA11" s="631">
        <v>0</v>
      </c>
      <c r="AB11" s="633">
        <v>0</v>
      </c>
      <c r="AC11" s="632">
        <v>0</v>
      </c>
      <c r="AE11" s="358"/>
      <c r="AF11" s="358"/>
      <c r="AG11" s="438"/>
    </row>
    <row r="12" spans="2:33">
      <c r="B12" s="850"/>
      <c r="C12" s="733" t="s">
        <v>450</v>
      </c>
      <c r="D12" s="631">
        <v>0</v>
      </c>
      <c r="E12" s="631">
        <v>0</v>
      </c>
      <c r="F12" s="631">
        <v>549.37146137142861</v>
      </c>
      <c r="G12" s="631">
        <v>0</v>
      </c>
      <c r="H12" s="631" t="s">
        <v>44</v>
      </c>
      <c r="I12" s="631" t="s">
        <v>44</v>
      </c>
      <c r="J12" s="631" t="s">
        <v>44</v>
      </c>
      <c r="K12" s="632">
        <v>0</v>
      </c>
      <c r="L12" s="631">
        <v>0</v>
      </c>
      <c r="M12" s="631">
        <v>0</v>
      </c>
      <c r="N12" s="631">
        <v>0</v>
      </c>
      <c r="O12" s="631">
        <v>0</v>
      </c>
      <c r="P12" s="631">
        <v>0</v>
      </c>
      <c r="Q12" s="631">
        <v>0</v>
      </c>
      <c r="R12" s="631">
        <v>0</v>
      </c>
      <c r="S12" s="631">
        <v>0</v>
      </c>
      <c r="T12" s="631">
        <v>0</v>
      </c>
      <c r="U12" s="631">
        <v>0</v>
      </c>
      <c r="V12" s="631">
        <v>0</v>
      </c>
      <c r="W12" s="633">
        <v>0</v>
      </c>
      <c r="X12" s="631">
        <v>0</v>
      </c>
      <c r="Y12" s="631">
        <v>0</v>
      </c>
      <c r="Z12" s="631">
        <v>0</v>
      </c>
      <c r="AA12" s="631">
        <v>0</v>
      </c>
      <c r="AB12" s="633">
        <v>0</v>
      </c>
      <c r="AC12" s="632">
        <v>0</v>
      </c>
      <c r="AE12" s="358"/>
      <c r="AF12" s="358"/>
      <c r="AG12" s="438"/>
    </row>
    <row r="13" spans="2:33">
      <c r="B13" s="850"/>
      <c r="C13" s="733" t="s">
        <v>451</v>
      </c>
      <c r="D13" s="631">
        <v>0</v>
      </c>
      <c r="E13" s="631">
        <v>0</v>
      </c>
      <c r="F13" s="631">
        <v>0</v>
      </c>
      <c r="G13" s="631">
        <v>0</v>
      </c>
      <c r="H13" s="631" t="s">
        <v>44</v>
      </c>
      <c r="I13" s="631" t="s">
        <v>44</v>
      </c>
      <c r="J13" s="631" t="s">
        <v>44</v>
      </c>
      <c r="K13" s="632">
        <v>0</v>
      </c>
      <c r="L13" s="631">
        <v>0</v>
      </c>
      <c r="M13" s="631">
        <v>0</v>
      </c>
      <c r="N13" s="631">
        <v>0</v>
      </c>
      <c r="O13" s="631">
        <v>0</v>
      </c>
      <c r="P13" s="631">
        <v>0</v>
      </c>
      <c r="Q13" s="631">
        <v>0</v>
      </c>
      <c r="R13" s="631">
        <v>0</v>
      </c>
      <c r="S13" s="631">
        <v>0</v>
      </c>
      <c r="T13" s="631">
        <v>0</v>
      </c>
      <c r="U13" s="631">
        <v>0</v>
      </c>
      <c r="V13" s="631">
        <v>0</v>
      </c>
      <c r="W13" s="633">
        <v>0</v>
      </c>
      <c r="X13" s="631">
        <v>359.73236139428576</v>
      </c>
      <c r="Y13" s="631">
        <v>0</v>
      </c>
      <c r="Z13" s="631">
        <v>0</v>
      </c>
      <c r="AA13" s="631">
        <v>13195</v>
      </c>
      <c r="AB13" s="633">
        <v>0</v>
      </c>
      <c r="AC13" s="632">
        <v>0</v>
      </c>
      <c r="AE13" s="358"/>
      <c r="AF13" s="358"/>
      <c r="AG13" s="438"/>
    </row>
    <row r="14" spans="2:33">
      <c r="B14" s="850"/>
      <c r="C14" s="733" t="s">
        <v>282</v>
      </c>
      <c r="D14" s="631">
        <v>0</v>
      </c>
      <c r="E14" s="631">
        <v>8.3405240231238622</v>
      </c>
      <c r="F14" s="631">
        <v>0</v>
      </c>
      <c r="G14" s="631">
        <v>0</v>
      </c>
      <c r="H14" s="631" t="s">
        <v>44</v>
      </c>
      <c r="I14" s="631" t="s">
        <v>44</v>
      </c>
      <c r="J14" s="631" t="s">
        <v>44</v>
      </c>
      <c r="K14" s="632">
        <v>2</v>
      </c>
      <c r="L14" s="631">
        <v>0</v>
      </c>
      <c r="M14" s="631">
        <v>0</v>
      </c>
      <c r="N14" s="631">
        <v>0</v>
      </c>
      <c r="O14" s="631">
        <v>0</v>
      </c>
      <c r="P14" s="631">
        <v>0</v>
      </c>
      <c r="Q14" s="631">
        <v>0</v>
      </c>
      <c r="R14" s="631">
        <v>0</v>
      </c>
      <c r="S14" s="631">
        <v>0</v>
      </c>
      <c r="T14" s="631">
        <v>0</v>
      </c>
      <c r="U14" s="631">
        <v>0</v>
      </c>
      <c r="V14" s="631">
        <v>0</v>
      </c>
      <c r="W14" s="633">
        <v>0</v>
      </c>
      <c r="X14" s="631">
        <v>0</v>
      </c>
      <c r="Y14" s="631">
        <v>0</v>
      </c>
      <c r="Z14" s="631">
        <v>0</v>
      </c>
      <c r="AA14" s="631">
        <v>0</v>
      </c>
      <c r="AB14" s="633">
        <v>0</v>
      </c>
      <c r="AC14" s="632">
        <v>0</v>
      </c>
      <c r="AE14" s="358"/>
      <c r="AF14" s="358"/>
      <c r="AG14" s="438"/>
    </row>
    <row r="15" spans="2:33">
      <c r="B15" s="850"/>
      <c r="C15" s="733" t="s">
        <v>452</v>
      </c>
      <c r="D15" s="631">
        <v>10026.7803592</v>
      </c>
      <c r="E15" s="631">
        <v>0</v>
      </c>
      <c r="F15" s="631">
        <v>0</v>
      </c>
      <c r="G15" s="631">
        <v>0</v>
      </c>
      <c r="H15" s="631" t="s">
        <v>44</v>
      </c>
      <c r="I15" s="631" t="s">
        <v>44</v>
      </c>
      <c r="J15" s="631" t="s">
        <v>44</v>
      </c>
      <c r="K15" s="632">
        <v>0</v>
      </c>
      <c r="L15" s="631">
        <v>131.291</v>
      </c>
      <c r="M15" s="631">
        <v>60.970999999999997</v>
      </c>
      <c r="N15" s="631">
        <v>342.24599999999992</v>
      </c>
      <c r="O15" s="631">
        <v>6.4910000000000014</v>
      </c>
      <c r="P15" s="631">
        <v>5.5885500000000015</v>
      </c>
      <c r="Q15" s="631">
        <v>0</v>
      </c>
      <c r="R15" s="631">
        <v>0</v>
      </c>
      <c r="S15" s="631">
        <v>54.039299999999997</v>
      </c>
      <c r="T15" s="631">
        <v>0</v>
      </c>
      <c r="U15" s="631">
        <v>0</v>
      </c>
      <c r="V15" s="631">
        <v>0</v>
      </c>
      <c r="W15" s="633">
        <v>0</v>
      </c>
      <c r="X15" s="631">
        <v>0</v>
      </c>
      <c r="Y15" s="631">
        <v>0</v>
      </c>
      <c r="Z15" s="631">
        <v>0</v>
      </c>
      <c r="AA15" s="631">
        <v>0</v>
      </c>
      <c r="AB15" s="633">
        <v>0</v>
      </c>
      <c r="AC15" s="632">
        <v>0</v>
      </c>
      <c r="AE15" s="358"/>
      <c r="AF15" s="358"/>
      <c r="AG15" s="438"/>
    </row>
    <row r="16" spans="2:33" ht="13.5" thickBot="1">
      <c r="B16" s="851"/>
      <c r="C16" s="733" t="s">
        <v>453</v>
      </c>
      <c r="D16" s="631">
        <v>0</v>
      </c>
      <c r="E16" s="631">
        <v>154.17243805802377</v>
      </c>
      <c r="F16" s="631">
        <v>0</v>
      </c>
      <c r="G16" s="631">
        <v>0</v>
      </c>
      <c r="H16" s="631" t="s">
        <v>44</v>
      </c>
      <c r="I16" s="631" t="s">
        <v>44</v>
      </c>
      <c r="J16" s="631" t="s">
        <v>44</v>
      </c>
      <c r="K16" s="632">
        <v>0</v>
      </c>
      <c r="L16" s="631">
        <v>0</v>
      </c>
      <c r="M16" s="631">
        <v>0</v>
      </c>
      <c r="N16" s="631">
        <v>0</v>
      </c>
      <c r="O16" s="631">
        <v>0</v>
      </c>
      <c r="P16" s="631">
        <v>0</v>
      </c>
      <c r="Q16" s="631">
        <v>0</v>
      </c>
      <c r="R16" s="631">
        <v>0</v>
      </c>
      <c r="S16" s="631">
        <v>0</v>
      </c>
      <c r="T16" s="631">
        <v>0</v>
      </c>
      <c r="U16" s="631">
        <v>0</v>
      </c>
      <c r="V16" s="631">
        <v>0</v>
      </c>
      <c r="W16" s="633">
        <v>0</v>
      </c>
      <c r="X16" s="631">
        <v>0</v>
      </c>
      <c r="Y16" s="631">
        <v>0</v>
      </c>
      <c r="Z16" s="631">
        <v>0</v>
      </c>
      <c r="AA16" s="631">
        <v>0</v>
      </c>
      <c r="AB16" s="633">
        <v>0</v>
      </c>
      <c r="AC16" s="632">
        <v>0</v>
      </c>
      <c r="AE16" s="358"/>
      <c r="AF16" s="358"/>
      <c r="AG16" s="438"/>
    </row>
    <row r="17" spans="1:29" ht="13.5" thickBot="1">
      <c r="B17" s="594"/>
      <c r="C17" s="734" t="s">
        <v>62</v>
      </c>
      <c r="D17" s="729">
        <f>+D18+D26+D38+D43+D47</f>
        <v>0</v>
      </c>
      <c r="E17" s="729">
        <f t="shared" ref="E17:AC17" si="4">+E18+E26+E38+E43+E47</f>
        <v>1886.1030627545974</v>
      </c>
      <c r="F17" s="729">
        <f t="shared" si="4"/>
        <v>386.22211038275753</v>
      </c>
      <c r="G17" s="729">
        <f t="shared" si="4"/>
        <v>11186.998081002284</v>
      </c>
      <c r="H17" s="729">
        <f t="shared" si="4"/>
        <v>0</v>
      </c>
      <c r="I17" s="729">
        <f t="shared" si="4"/>
        <v>0</v>
      </c>
      <c r="J17" s="729">
        <f t="shared" si="4"/>
        <v>0</v>
      </c>
      <c r="K17" s="730">
        <f t="shared" si="4"/>
        <v>29.266479</v>
      </c>
      <c r="L17" s="729">
        <f t="shared" si="4"/>
        <v>8206.1970499154668</v>
      </c>
      <c r="M17" s="729">
        <f t="shared" si="4"/>
        <v>895.79359512112603</v>
      </c>
      <c r="N17" s="729">
        <f t="shared" si="4"/>
        <v>4219.4448107420685</v>
      </c>
      <c r="O17" s="729">
        <f t="shared" si="4"/>
        <v>177.06635574876165</v>
      </c>
      <c r="P17" s="729">
        <f t="shared" si="4"/>
        <v>1157.9836430319597</v>
      </c>
      <c r="Q17" s="729">
        <f t="shared" si="4"/>
        <v>8.8348674267239922</v>
      </c>
      <c r="R17" s="729">
        <f t="shared" si="4"/>
        <v>1308.0309859237805</v>
      </c>
      <c r="S17" s="729">
        <f t="shared" si="4"/>
        <v>174.44467132381567</v>
      </c>
      <c r="T17" s="729">
        <f t="shared" si="4"/>
        <v>346.50899547228465</v>
      </c>
      <c r="U17" s="729">
        <f t="shared" si="4"/>
        <v>303.78056799999996</v>
      </c>
      <c r="V17" s="729">
        <f t="shared" si="4"/>
        <v>236.73200552908997</v>
      </c>
      <c r="W17" s="731">
        <f t="shared" si="4"/>
        <v>70311.097611990495</v>
      </c>
      <c r="X17" s="729">
        <f t="shared" si="4"/>
        <v>12.861333642857142</v>
      </c>
      <c r="Y17" s="729">
        <f t="shared" si="4"/>
        <v>168067.34873247123</v>
      </c>
      <c r="Z17" s="729">
        <f t="shared" si="4"/>
        <v>19.545100000000001</v>
      </c>
      <c r="AA17" s="729">
        <f t="shared" si="4"/>
        <v>1007326.7591381635</v>
      </c>
      <c r="AB17" s="731">
        <f t="shared" si="4"/>
        <v>17.280872955420001</v>
      </c>
      <c r="AC17" s="730">
        <f t="shared" si="4"/>
        <v>0</v>
      </c>
    </row>
    <row r="18" spans="1:29" ht="12.75" customHeight="1">
      <c r="A18" s="350"/>
      <c r="B18" s="849" t="s">
        <v>13</v>
      </c>
      <c r="C18" s="572" t="s">
        <v>615</v>
      </c>
      <c r="D18" s="628">
        <f>SUM(D19:D25)</f>
        <v>0</v>
      </c>
      <c r="E18" s="628">
        <f t="shared" ref="E18:AC18" si="5">SUM(E19:E25)</f>
        <v>305.5350090649618</v>
      </c>
      <c r="F18" s="628">
        <f t="shared" si="5"/>
        <v>0</v>
      </c>
      <c r="G18" s="628">
        <f t="shared" si="5"/>
        <v>0</v>
      </c>
      <c r="H18" s="628">
        <f t="shared" si="5"/>
        <v>0</v>
      </c>
      <c r="I18" s="628">
        <f t="shared" si="5"/>
        <v>0</v>
      </c>
      <c r="J18" s="628">
        <f t="shared" si="5"/>
        <v>0</v>
      </c>
      <c r="K18" s="629">
        <f t="shared" si="5"/>
        <v>0</v>
      </c>
      <c r="L18" s="628">
        <f t="shared" si="5"/>
        <v>9.2574000000000004E-2</v>
      </c>
      <c r="M18" s="628">
        <f t="shared" si="5"/>
        <v>3.2391129999999997</v>
      </c>
      <c r="N18" s="628">
        <f t="shared" si="5"/>
        <v>0</v>
      </c>
      <c r="O18" s="628">
        <f t="shared" si="5"/>
        <v>5.669999999999999E-4</v>
      </c>
      <c r="P18" s="628">
        <f t="shared" si="5"/>
        <v>12.684631</v>
      </c>
      <c r="Q18" s="628">
        <f t="shared" si="5"/>
        <v>0</v>
      </c>
      <c r="R18" s="628">
        <f t="shared" si="5"/>
        <v>2.29E-2</v>
      </c>
      <c r="S18" s="628">
        <f t="shared" si="5"/>
        <v>174.44467132381567</v>
      </c>
      <c r="T18" s="628">
        <f t="shared" si="5"/>
        <v>346.50899547228465</v>
      </c>
      <c r="U18" s="628">
        <f t="shared" si="5"/>
        <v>0</v>
      </c>
      <c r="V18" s="628">
        <f t="shared" si="5"/>
        <v>69.635434913785147</v>
      </c>
      <c r="W18" s="630">
        <f t="shared" si="5"/>
        <v>3832.1806380064504</v>
      </c>
      <c r="X18" s="628">
        <f t="shared" si="5"/>
        <v>0</v>
      </c>
      <c r="Y18" s="628">
        <f t="shared" si="5"/>
        <v>48377.161186134021</v>
      </c>
      <c r="Z18" s="628">
        <f t="shared" si="5"/>
        <v>19.545100000000001</v>
      </c>
      <c r="AA18" s="628">
        <f t="shared" si="5"/>
        <v>791103.8347350437</v>
      </c>
      <c r="AB18" s="630">
        <f t="shared" si="5"/>
        <v>5.6454935420000012E-2</v>
      </c>
      <c r="AC18" s="629">
        <f t="shared" si="5"/>
        <v>0</v>
      </c>
    </row>
    <row r="19" spans="1:29">
      <c r="A19" s="350"/>
      <c r="B19" s="850"/>
      <c r="C19" s="733" t="s">
        <v>63</v>
      </c>
      <c r="D19" s="631">
        <f>+'Balance Energético (u.físicas)'!D24</f>
        <v>0</v>
      </c>
      <c r="E19" s="631">
        <f>+'Balance Energético (u.físicas)'!E24</f>
        <v>0</v>
      </c>
      <c r="F19" s="631">
        <f>+'Balance Energético (u.físicas)'!F24</f>
        <v>0</v>
      </c>
      <c r="G19" s="631">
        <f>+'Balance Energético (u.físicas)'!G24</f>
        <v>0</v>
      </c>
      <c r="H19" s="631">
        <f>+'Balance Energético (u.físicas)'!H24</f>
        <v>0</v>
      </c>
      <c r="I19" s="631">
        <f>+'Balance Energético (u.físicas)'!I24</f>
        <v>0</v>
      </c>
      <c r="J19" s="631">
        <f>+'Balance Energético (u.físicas)'!J24</f>
        <v>0</v>
      </c>
      <c r="K19" s="632">
        <f>+'Balance Energético (u.físicas)'!K24</f>
        <v>0</v>
      </c>
      <c r="L19" s="631">
        <f>+'Balance Energético (u.físicas)'!L24</f>
        <v>9.2574000000000004E-2</v>
      </c>
      <c r="M19" s="631">
        <f>+'Balance Energético (u.físicas)'!M24</f>
        <v>0</v>
      </c>
      <c r="N19" s="631">
        <f>+'Balance Energético (u.físicas)'!N24</f>
        <v>0</v>
      </c>
      <c r="O19" s="631">
        <f>+'Balance Energético (u.físicas)'!O24</f>
        <v>0</v>
      </c>
      <c r="P19" s="631">
        <f>+'Balance Energético (u.físicas)'!P24</f>
        <v>0.337113</v>
      </c>
      <c r="Q19" s="631">
        <f>+'Balance Energético (u.físicas)'!Q24</f>
        <v>0</v>
      </c>
      <c r="R19" s="631">
        <f>+'Balance Energético (u.físicas)'!R24</f>
        <v>0</v>
      </c>
      <c r="S19" s="631">
        <f>+'Balance Energético (u.físicas)'!S24</f>
        <v>0</v>
      </c>
      <c r="T19" s="631">
        <f>+'Balance Energético (u.físicas)'!T24</f>
        <v>0</v>
      </c>
      <c r="U19" s="631">
        <f>+'Balance Energético (u.físicas)'!U24</f>
        <v>0</v>
      </c>
      <c r="V19" s="631">
        <f>+'Balance Energético (u.físicas)'!V24</f>
        <v>0</v>
      </c>
      <c r="W19" s="633">
        <f>+'Balance Energético (u.físicas)'!W24</f>
        <v>2.8376670000000002</v>
      </c>
      <c r="X19" s="631">
        <f>+'Balance Energético (u.físicas)'!X24</f>
        <v>0</v>
      </c>
      <c r="Y19" s="631">
        <f>+'Balance Energético (u.físicas)'!Y24</f>
        <v>0</v>
      </c>
      <c r="Z19" s="631">
        <f>+'Balance Energético (u.físicas)'!Z24</f>
        <v>0</v>
      </c>
      <c r="AA19" s="631">
        <f>+'Balance Energético (u.físicas)'!AA24</f>
        <v>0</v>
      </c>
      <c r="AB19" s="633">
        <f>+'Balance Energético (u.físicas)'!AB24</f>
        <v>0</v>
      </c>
      <c r="AC19" s="632">
        <f>+'Balance Energético (u.físicas)'!AC24</f>
        <v>0</v>
      </c>
    </row>
    <row r="20" spans="1:29">
      <c r="A20" s="350"/>
      <c r="B20" s="850"/>
      <c r="C20" s="733" t="s">
        <v>126</v>
      </c>
      <c r="D20" s="631">
        <f>+'Balance Energético (u.físicas)'!D25</f>
        <v>0</v>
      </c>
      <c r="E20" s="631">
        <f>+'Balance Energético (u.físicas)'!E25</f>
        <v>0</v>
      </c>
      <c r="F20" s="631">
        <f>+'Balance Energético (u.físicas)'!F25</f>
        <v>0</v>
      </c>
      <c r="G20" s="631">
        <f>+'Balance Energético (u.físicas)'!G25</f>
        <v>0</v>
      </c>
      <c r="H20" s="631">
        <f>+'Balance Energético (u.físicas)'!H25</f>
        <v>0</v>
      </c>
      <c r="I20" s="631">
        <f>+'Balance Energético (u.físicas)'!I25</f>
        <v>0</v>
      </c>
      <c r="J20" s="631">
        <f>+'Balance Energético (u.físicas)'!J25</f>
        <v>0</v>
      </c>
      <c r="K20" s="632">
        <f>+'Balance Energético (u.físicas)'!K25</f>
        <v>0</v>
      </c>
      <c r="L20" s="631">
        <f>+'Balance Energético (u.físicas)'!L25</f>
        <v>0</v>
      </c>
      <c r="M20" s="631">
        <f>+'Balance Energético (u.físicas)'!M25</f>
        <v>0</v>
      </c>
      <c r="N20" s="631">
        <f>+'Balance Energético (u.físicas)'!N25</f>
        <v>0</v>
      </c>
      <c r="O20" s="631">
        <f>+'Balance Energético (u.físicas)'!O25</f>
        <v>0</v>
      </c>
      <c r="P20" s="631">
        <f>+'Balance Energético (u.físicas)'!P25</f>
        <v>0</v>
      </c>
      <c r="Q20" s="631">
        <f>+'Balance Energético (u.físicas)'!Q25</f>
        <v>0</v>
      </c>
      <c r="R20" s="631">
        <f>+'Balance Energético (u.físicas)'!R25</f>
        <v>0</v>
      </c>
      <c r="S20" s="631">
        <f>+'Balance Energético (u.físicas)'!S25</f>
        <v>0</v>
      </c>
      <c r="T20" s="631">
        <f>+'Balance Energético (u.físicas)'!T25</f>
        <v>0</v>
      </c>
      <c r="U20" s="631">
        <f>+'Balance Energético (u.físicas)'!U25</f>
        <v>0</v>
      </c>
      <c r="V20" s="631">
        <f>+'Balance Energético (u.físicas)'!V25</f>
        <v>0</v>
      </c>
      <c r="W20" s="633">
        <f>+'Balance Energético (u.físicas)'!W25</f>
        <v>3189.0839973066832</v>
      </c>
      <c r="X20" s="631">
        <f>+'Balance Energético (u.físicas)'!X25</f>
        <v>0</v>
      </c>
      <c r="Y20" s="631">
        <f>+'Balance Energético (u.físicas)'!Y25</f>
        <v>0</v>
      </c>
      <c r="Z20" s="631">
        <f>+'Balance Energético (u.físicas)'!Z25</f>
        <v>0</v>
      </c>
      <c r="AA20" s="631">
        <f>+'Balance Energético (u.físicas)'!AA25</f>
        <v>0</v>
      </c>
      <c r="AB20" s="633">
        <f>+'Balance Energético (u.físicas)'!AB25</f>
        <v>0</v>
      </c>
      <c r="AC20" s="632">
        <f>+'Balance Energético (u.físicas)'!AC25</f>
        <v>0</v>
      </c>
    </row>
    <row r="21" spans="1:29">
      <c r="A21" s="350"/>
      <c r="B21" s="850"/>
      <c r="C21" s="733" t="s">
        <v>450</v>
      </c>
      <c r="D21" s="631">
        <f>+'Balance Energético (u.físicas)'!D26</f>
        <v>0</v>
      </c>
      <c r="E21" s="631">
        <f>+'Balance Energético (u.físicas)'!E26</f>
        <v>0</v>
      </c>
      <c r="F21" s="631">
        <f>+'Balance Energético (u.físicas)'!F26</f>
        <v>0</v>
      </c>
      <c r="G21" s="631">
        <f>+'Balance Energético (u.físicas)'!G26</f>
        <v>0</v>
      </c>
      <c r="H21" s="631">
        <f>+'Balance Energético (u.físicas)'!H26</f>
        <v>0</v>
      </c>
      <c r="I21" s="631">
        <f>+'Balance Energético (u.físicas)'!I26</f>
        <v>0</v>
      </c>
      <c r="J21" s="631">
        <f>+'Balance Energético (u.físicas)'!J26</f>
        <v>0</v>
      </c>
      <c r="K21" s="632">
        <f>+'Balance Energético (u.físicas)'!K26</f>
        <v>0</v>
      </c>
      <c r="L21" s="631">
        <f>+'Balance Energético (u.físicas)'!L26</f>
        <v>0</v>
      </c>
      <c r="M21" s="631">
        <f>+'Balance Energético (u.físicas)'!M26</f>
        <v>0</v>
      </c>
      <c r="N21" s="631">
        <f>+'Balance Energético (u.físicas)'!N26</f>
        <v>0</v>
      </c>
      <c r="O21" s="631">
        <f>+'Balance Energético (u.físicas)'!O26</f>
        <v>0</v>
      </c>
      <c r="P21" s="631">
        <f>+'Balance Energético (u.físicas)'!P26</f>
        <v>0</v>
      </c>
      <c r="Q21" s="631">
        <f>+'Balance Energético (u.físicas)'!Q26</f>
        <v>0</v>
      </c>
      <c r="R21" s="631">
        <f>+'Balance Energético (u.físicas)'!R26</f>
        <v>0</v>
      </c>
      <c r="S21" s="631">
        <f>+'Balance Energético (u.físicas)'!S26</f>
        <v>0</v>
      </c>
      <c r="T21" s="631">
        <f>+'Balance Energético (u.físicas)'!T26</f>
        <v>0</v>
      </c>
      <c r="U21" s="631">
        <f>+'Balance Energético (u.físicas)'!U26</f>
        <v>0</v>
      </c>
      <c r="V21" s="631">
        <f>+'Balance Energético (u.físicas)'!V26</f>
        <v>0</v>
      </c>
      <c r="W21" s="633">
        <f>+'Balance Energético (u.físicas)'!W26</f>
        <v>0</v>
      </c>
      <c r="X21" s="631">
        <f>+'Balance Energético (u.físicas)'!X26</f>
        <v>0</v>
      </c>
      <c r="Y21" s="631">
        <f>+'Balance Energético (u.físicas)'!Y26</f>
        <v>23221.111512796993</v>
      </c>
      <c r="Z21" s="631">
        <f>+'Balance Energético (u.físicas)'!Z26</f>
        <v>0</v>
      </c>
      <c r="AA21" s="631">
        <f>+'Balance Energético (u.físicas)'!AA26</f>
        <v>415481.65684992331</v>
      </c>
      <c r="AB21" s="633">
        <f>+'Balance Energético (u.físicas)'!AB26</f>
        <v>0</v>
      </c>
      <c r="AC21" s="632">
        <f>+'Balance Energético (u.físicas)'!AC26</f>
        <v>0</v>
      </c>
    </row>
    <row r="22" spans="1:29">
      <c r="A22" s="350"/>
      <c r="B22" s="850"/>
      <c r="C22" s="733" t="s">
        <v>451</v>
      </c>
      <c r="D22" s="631">
        <f>+'Balance Energético (u.físicas)'!D27</f>
        <v>0</v>
      </c>
      <c r="E22" s="631">
        <f>+'Balance Energético (u.físicas)'!E27</f>
        <v>2.4887057060271922</v>
      </c>
      <c r="F22" s="631">
        <f>+'Balance Energético (u.físicas)'!F27</f>
        <v>0</v>
      </c>
      <c r="G22" s="631">
        <f>+'Balance Energético (u.físicas)'!G27</f>
        <v>0</v>
      </c>
      <c r="H22" s="631">
        <f>+'Balance Energético (u.físicas)'!H27</f>
        <v>0</v>
      </c>
      <c r="I22" s="631">
        <f>+'Balance Energético (u.físicas)'!I27</f>
        <v>0</v>
      </c>
      <c r="J22" s="631">
        <f>+'Balance Energético (u.físicas)'!J27</f>
        <v>0</v>
      </c>
      <c r="K22" s="632">
        <f>+'Balance Energético (u.físicas)'!K27</f>
        <v>0</v>
      </c>
      <c r="L22" s="631">
        <f>+'Balance Energético (u.físicas)'!L27</f>
        <v>0</v>
      </c>
      <c r="M22" s="631">
        <f>+'Balance Energético (u.físicas)'!M27</f>
        <v>3.2391129999999997</v>
      </c>
      <c r="N22" s="631">
        <f>+'Balance Energético (u.físicas)'!N27</f>
        <v>0</v>
      </c>
      <c r="O22" s="631">
        <f>+'Balance Energético (u.físicas)'!O27</f>
        <v>5.669999999999999E-4</v>
      </c>
      <c r="P22" s="631">
        <f>+'Balance Energético (u.físicas)'!P27</f>
        <v>0.15130500000000002</v>
      </c>
      <c r="Q22" s="631">
        <f>+'Balance Energético (u.físicas)'!Q27</f>
        <v>0</v>
      </c>
      <c r="R22" s="631">
        <f>+'Balance Energético (u.físicas)'!R27</f>
        <v>0</v>
      </c>
      <c r="S22" s="631">
        <f>+'Balance Energético (u.físicas)'!S27</f>
        <v>0</v>
      </c>
      <c r="T22" s="631">
        <f>+'Balance Energético (u.físicas)'!T27</f>
        <v>0</v>
      </c>
      <c r="U22" s="631">
        <f>+'Balance Energético (u.físicas)'!U27</f>
        <v>0</v>
      </c>
      <c r="V22" s="631">
        <f>+'Balance Energético (u.físicas)'!V27</f>
        <v>0</v>
      </c>
      <c r="W22" s="633">
        <f>+'Balance Energético (u.físicas)'!W27</f>
        <v>0</v>
      </c>
      <c r="X22" s="631">
        <f>+'Balance Energético (u.físicas)'!X27</f>
        <v>0</v>
      </c>
      <c r="Y22" s="631">
        <f>+'Balance Energético (u.físicas)'!Y27</f>
        <v>25156.049673337024</v>
      </c>
      <c r="Z22" s="631">
        <f>+'Balance Energético (u.físicas)'!Z27</f>
        <v>19.545100000000001</v>
      </c>
      <c r="AA22" s="631">
        <f>+'Balance Energético (u.físicas)'!AA27</f>
        <v>375622.17788512039</v>
      </c>
      <c r="AB22" s="633">
        <f>+'Balance Energético (u.físicas)'!AB27</f>
        <v>0</v>
      </c>
      <c r="AC22" s="632">
        <f>+'Balance Energético (u.físicas)'!AC27</f>
        <v>0</v>
      </c>
    </row>
    <row r="23" spans="1:29">
      <c r="A23" s="350"/>
      <c r="B23" s="850"/>
      <c r="C23" s="733" t="s">
        <v>282</v>
      </c>
      <c r="D23" s="631">
        <f>+'Balance Energético (u.físicas)'!D28</f>
        <v>0</v>
      </c>
      <c r="E23" s="631">
        <f>+'Balance Energético (u.físicas)'!E28</f>
        <v>0</v>
      </c>
      <c r="F23" s="631">
        <f>+'Balance Energético (u.físicas)'!F28</f>
        <v>0</v>
      </c>
      <c r="G23" s="631">
        <f>+'Balance Energético (u.físicas)'!G28</f>
        <v>0</v>
      </c>
      <c r="H23" s="631">
        <f>+'Balance Energético (u.físicas)'!H28</f>
        <v>0</v>
      </c>
      <c r="I23" s="631">
        <f>+'Balance Energético (u.físicas)'!I28</f>
        <v>0</v>
      </c>
      <c r="J23" s="631">
        <f>+'Balance Energético (u.físicas)'!J28</f>
        <v>0</v>
      </c>
      <c r="K23" s="632">
        <f>+'Balance Energético (u.físicas)'!K28</f>
        <v>0</v>
      </c>
      <c r="L23" s="631">
        <f>+'Balance Energético (u.físicas)'!L28</f>
        <v>0</v>
      </c>
      <c r="M23" s="631">
        <f>+'Balance Energético (u.físicas)'!M28</f>
        <v>0</v>
      </c>
      <c r="N23" s="631">
        <f>+'Balance Energético (u.físicas)'!N28</f>
        <v>0</v>
      </c>
      <c r="O23" s="631">
        <f>+'Balance Energético (u.físicas)'!O28</f>
        <v>0</v>
      </c>
      <c r="P23" s="631">
        <f>+'Balance Energético (u.físicas)'!P28</f>
        <v>5.13E-4</v>
      </c>
      <c r="Q23" s="631">
        <f>+'Balance Energético (u.físicas)'!Q28</f>
        <v>0</v>
      </c>
      <c r="R23" s="631">
        <f>+'Balance Energético (u.físicas)'!R28</f>
        <v>0</v>
      </c>
      <c r="S23" s="631">
        <f>+'Balance Energético (u.físicas)'!S28</f>
        <v>0</v>
      </c>
      <c r="T23" s="631">
        <f>+'Balance Energético (u.físicas)'!T28</f>
        <v>0</v>
      </c>
      <c r="U23" s="631">
        <f>+'Balance Energético (u.físicas)'!U28</f>
        <v>0</v>
      </c>
      <c r="V23" s="631">
        <f>+'Balance Energético (u.físicas)'!V28</f>
        <v>0</v>
      </c>
      <c r="W23" s="633">
        <f>+'Balance Energético (u.físicas)'!W28</f>
        <v>0</v>
      </c>
      <c r="X23" s="631">
        <f>+'Balance Energético (u.físicas)'!X28</f>
        <v>0</v>
      </c>
      <c r="Y23" s="631">
        <f>+'Balance Energético (u.físicas)'!Y28</f>
        <v>0</v>
      </c>
      <c r="Z23" s="631">
        <f>+'Balance Energético (u.físicas)'!Z28</f>
        <v>0</v>
      </c>
      <c r="AA23" s="631">
        <f>+'Balance Energético (u.físicas)'!AA28</f>
        <v>0</v>
      </c>
      <c r="AB23" s="633">
        <f>+'Balance Energético (u.físicas)'!AB28</f>
        <v>5.6454935420000012E-2</v>
      </c>
      <c r="AC23" s="632">
        <f>+'Balance Energético (u.físicas)'!AC28</f>
        <v>0</v>
      </c>
    </row>
    <row r="24" spans="1:29">
      <c r="A24" s="350"/>
      <c r="B24" s="850"/>
      <c r="C24" s="733" t="s">
        <v>452</v>
      </c>
      <c r="D24" s="631">
        <f>+'Balance Energético (u.físicas)'!D29</f>
        <v>0</v>
      </c>
      <c r="E24" s="631">
        <f>+'Balance Energético (u.físicas)'!E29</f>
        <v>229.75951963128233</v>
      </c>
      <c r="F24" s="631">
        <f>+'Balance Energético (u.físicas)'!F29</f>
        <v>0</v>
      </c>
      <c r="G24" s="631">
        <f>+'Balance Energético (u.físicas)'!G29</f>
        <v>0</v>
      </c>
      <c r="H24" s="631">
        <f>+'Balance Energético (u.físicas)'!H29</f>
        <v>0</v>
      </c>
      <c r="I24" s="631">
        <f>+'Balance Energético (u.físicas)'!I29</f>
        <v>0</v>
      </c>
      <c r="J24" s="631">
        <f>+'Balance Energético (u.físicas)'!J29</f>
        <v>0</v>
      </c>
      <c r="K24" s="632">
        <f>+'Balance Energético (u.físicas)'!K29</f>
        <v>0</v>
      </c>
      <c r="L24" s="631">
        <f>+'Balance Energético (u.físicas)'!L29</f>
        <v>0</v>
      </c>
      <c r="M24" s="631">
        <f>+'Balance Energético (u.físicas)'!M29</f>
        <v>0</v>
      </c>
      <c r="N24" s="631">
        <f>+'Balance Energético (u.físicas)'!N29</f>
        <v>0</v>
      </c>
      <c r="O24" s="631">
        <f>+'Balance Energético (u.físicas)'!O29</f>
        <v>0</v>
      </c>
      <c r="P24" s="631">
        <f>+'Balance Energético (u.físicas)'!P29</f>
        <v>12.1957</v>
      </c>
      <c r="Q24" s="631">
        <f>+'Balance Energético (u.físicas)'!Q29</f>
        <v>0</v>
      </c>
      <c r="R24" s="631">
        <f>+'Balance Energético (u.físicas)'!R29</f>
        <v>2.29E-2</v>
      </c>
      <c r="S24" s="631">
        <f>+'Balance Energético (u.físicas)'!S29</f>
        <v>174.44467132381567</v>
      </c>
      <c r="T24" s="631">
        <f>+'Balance Energético (u.físicas)'!T29</f>
        <v>346.50899547228465</v>
      </c>
      <c r="U24" s="631">
        <f>+'Balance Energético (u.físicas)'!U29</f>
        <v>0</v>
      </c>
      <c r="V24" s="631">
        <f>+'Balance Energético (u.físicas)'!V29</f>
        <v>69.635434913785147</v>
      </c>
      <c r="W24" s="633">
        <f>+'Balance Energético (u.físicas)'!W29</f>
        <v>625.22297369976752</v>
      </c>
      <c r="X24" s="631">
        <f>+'Balance Energético (u.físicas)'!X29</f>
        <v>0</v>
      </c>
      <c r="Y24" s="631">
        <f>+'Balance Energético (u.físicas)'!Y29</f>
        <v>0</v>
      </c>
      <c r="Z24" s="631">
        <f>+'Balance Energético (u.físicas)'!Z29</f>
        <v>0</v>
      </c>
      <c r="AA24" s="631">
        <f>+'Balance Energético (u.físicas)'!AA29</f>
        <v>0</v>
      </c>
      <c r="AB24" s="633">
        <f>+'Balance Energético (u.físicas)'!AB29</f>
        <v>0</v>
      </c>
      <c r="AC24" s="632">
        <f>+'Balance Energético (u.físicas)'!AC29</f>
        <v>0</v>
      </c>
    </row>
    <row r="25" spans="1:29">
      <c r="A25" s="350"/>
      <c r="B25" s="850"/>
      <c r="C25" s="733" t="s">
        <v>453</v>
      </c>
      <c r="D25" s="631">
        <f>+'Balance Energético (u.físicas)'!D30</f>
        <v>0</v>
      </c>
      <c r="E25" s="631">
        <f>+'Balance Energético (u.físicas)'!E30</f>
        <v>73.286783727652278</v>
      </c>
      <c r="F25" s="631">
        <f>+'Balance Energético (u.físicas)'!F30</f>
        <v>0</v>
      </c>
      <c r="G25" s="631">
        <f>+'Balance Energético (u.físicas)'!G30</f>
        <v>0</v>
      </c>
      <c r="H25" s="631">
        <f>+'Balance Energético (u.físicas)'!H30</f>
        <v>0</v>
      </c>
      <c r="I25" s="631">
        <f>+'Balance Energético (u.físicas)'!I30</f>
        <v>0</v>
      </c>
      <c r="J25" s="631">
        <f>+'Balance Energético (u.físicas)'!J30</f>
        <v>0</v>
      </c>
      <c r="K25" s="632">
        <f>+'Balance Energético (u.físicas)'!K30</f>
        <v>0</v>
      </c>
      <c r="L25" s="631">
        <f>+'Balance Energético (u.físicas)'!L30</f>
        <v>0</v>
      </c>
      <c r="M25" s="631">
        <f>+'Balance Energético (u.físicas)'!M30</f>
        <v>0</v>
      </c>
      <c r="N25" s="631">
        <f>+'Balance Energético (u.físicas)'!N30</f>
        <v>0</v>
      </c>
      <c r="O25" s="631">
        <f>+'Balance Energético (u.físicas)'!O30</f>
        <v>0</v>
      </c>
      <c r="P25" s="631">
        <f>+'Balance Energético (u.físicas)'!P30</f>
        <v>0</v>
      </c>
      <c r="Q25" s="631">
        <f>+'Balance Energético (u.físicas)'!Q30</f>
        <v>0</v>
      </c>
      <c r="R25" s="631">
        <f>+'Balance Energético (u.físicas)'!R30</f>
        <v>0</v>
      </c>
      <c r="S25" s="631">
        <f>+'Balance Energético (u.físicas)'!S30</f>
        <v>0</v>
      </c>
      <c r="T25" s="631">
        <f>+'Balance Energético (u.físicas)'!T30</f>
        <v>0</v>
      </c>
      <c r="U25" s="631">
        <f>+'Balance Energético (u.físicas)'!U30</f>
        <v>0</v>
      </c>
      <c r="V25" s="631">
        <f>+'Balance Energético (u.físicas)'!V30</f>
        <v>0</v>
      </c>
      <c r="W25" s="633">
        <f>+'Balance Energético (u.físicas)'!W30</f>
        <v>15.036</v>
      </c>
      <c r="X25" s="631">
        <f>+'Balance Energético (u.físicas)'!X30</f>
        <v>0</v>
      </c>
      <c r="Y25" s="631">
        <f>+'Balance Energético (u.físicas)'!Y30</f>
        <v>0</v>
      </c>
      <c r="Z25" s="631">
        <f>+'Balance Energético (u.físicas)'!Z30</f>
        <v>0</v>
      </c>
      <c r="AA25" s="631">
        <f>+'Balance Energético (u.físicas)'!AA30</f>
        <v>0</v>
      </c>
      <c r="AB25" s="633">
        <f>+'Balance Energético (u.físicas)'!AB30</f>
        <v>0</v>
      </c>
      <c r="AC25" s="632">
        <f>+'Balance Energético (u.físicas)'!AC30</f>
        <v>0</v>
      </c>
    </row>
    <row r="26" spans="1:29">
      <c r="A26" s="350"/>
      <c r="B26" s="850"/>
      <c r="C26" s="732" t="s">
        <v>284</v>
      </c>
      <c r="D26" s="628">
        <f>SUM(D27:D37)</f>
        <v>0</v>
      </c>
      <c r="E26" s="628">
        <f t="shared" ref="E26:AC26" si="6">SUM(E27:E37)</f>
        <v>848.23790863561658</v>
      </c>
      <c r="F26" s="628">
        <f t="shared" si="6"/>
        <v>381.66389059024425</v>
      </c>
      <c r="G26" s="628">
        <f t="shared" si="6"/>
        <v>5832.7450408876539</v>
      </c>
      <c r="H26" s="628">
        <f t="shared" si="6"/>
        <v>0</v>
      </c>
      <c r="I26" s="628">
        <f t="shared" si="6"/>
        <v>0</v>
      </c>
      <c r="J26" s="628">
        <f t="shared" si="6"/>
        <v>0</v>
      </c>
      <c r="K26" s="629">
        <f t="shared" si="6"/>
        <v>0</v>
      </c>
      <c r="L26" s="628">
        <f t="shared" si="6"/>
        <v>3426.6175571701929</v>
      </c>
      <c r="M26" s="628">
        <f t="shared" si="6"/>
        <v>540.0008468419594</v>
      </c>
      <c r="N26" s="628">
        <f t="shared" si="6"/>
        <v>0</v>
      </c>
      <c r="O26" s="628">
        <f t="shared" si="6"/>
        <v>17.623680418655301</v>
      </c>
      <c r="P26" s="628">
        <f t="shared" si="6"/>
        <v>261.67557443906122</v>
      </c>
      <c r="Q26" s="628">
        <f t="shared" si="6"/>
        <v>0.99499999999999988</v>
      </c>
      <c r="R26" s="628">
        <f t="shared" si="6"/>
        <v>78.283027725498584</v>
      </c>
      <c r="S26" s="628">
        <f t="shared" si="6"/>
        <v>0</v>
      </c>
      <c r="T26" s="628">
        <f t="shared" si="6"/>
        <v>0</v>
      </c>
      <c r="U26" s="628">
        <f t="shared" si="6"/>
        <v>303.78056799999996</v>
      </c>
      <c r="V26" s="628">
        <f t="shared" si="6"/>
        <v>0</v>
      </c>
      <c r="W26" s="630">
        <f t="shared" si="6"/>
        <v>41841.723945331643</v>
      </c>
      <c r="X26" s="628">
        <f t="shared" si="6"/>
        <v>12.861333642857142</v>
      </c>
      <c r="Y26" s="628">
        <f t="shared" si="6"/>
        <v>119690.1875463372</v>
      </c>
      <c r="Z26" s="628">
        <f t="shared" si="6"/>
        <v>0</v>
      </c>
      <c r="AA26" s="628">
        <f t="shared" si="6"/>
        <v>216222.9244031198</v>
      </c>
      <c r="AB26" s="630">
        <f t="shared" si="6"/>
        <v>0.24910093304347827</v>
      </c>
      <c r="AC26" s="629">
        <f t="shared" si="6"/>
        <v>0</v>
      </c>
    </row>
    <row r="27" spans="1:29">
      <c r="A27" s="350"/>
      <c r="B27" s="850"/>
      <c r="C27" s="733" t="s">
        <v>48</v>
      </c>
      <c r="D27" s="631">
        <f>+'Balance Energético (u.físicas)'!D32</f>
        <v>0</v>
      </c>
      <c r="E27" s="631">
        <f>+'Balance Energético (u.físicas)'!E32</f>
        <v>101.39997882121017</v>
      </c>
      <c r="F27" s="631">
        <f>+'Balance Energético (u.físicas)'!F32</f>
        <v>1.6460000000000002E-2</v>
      </c>
      <c r="G27" s="631">
        <f>+'Balance Energético (u.físicas)'!G32</f>
        <v>0</v>
      </c>
      <c r="H27" s="631">
        <f>+'Balance Energético (u.físicas)'!H32</f>
        <v>0</v>
      </c>
      <c r="I27" s="631">
        <f>+'Balance Energético (u.físicas)'!I32</f>
        <v>0</v>
      </c>
      <c r="J27" s="631">
        <f>+'Balance Energético (u.físicas)'!J32</f>
        <v>0</v>
      </c>
      <c r="K27" s="632">
        <f>+'Balance Energético (u.físicas)'!K32</f>
        <v>0</v>
      </c>
      <c r="L27" s="631">
        <f>+'Balance Energético (u.físicas)'!L32</f>
        <v>1786.8934193221814</v>
      </c>
      <c r="M27" s="631">
        <f>+'Balance Energético (u.físicas)'!M32</f>
        <v>104.284474</v>
      </c>
      <c r="N27" s="631">
        <f>+'Balance Energético (u.físicas)'!N32</f>
        <v>0</v>
      </c>
      <c r="O27" s="631">
        <f>+'Balance Energético (u.físicas)'!O32</f>
        <v>7.9088860000000007</v>
      </c>
      <c r="P27" s="631">
        <f>+'Balance Energético (u.físicas)'!P32</f>
        <v>2.8069994600000001</v>
      </c>
      <c r="Q27" s="631">
        <f>+'Balance Energético (u.físicas)'!Q32</f>
        <v>0</v>
      </c>
      <c r="R27" s="631">
        <f>+'Balance Energético (u.físicas)'!R32</f>
        <v>0</v>
      </c>
      <c r="S27" s="631">
        <f>+'Balance Energético (u.físicas)'!S32</f>
        <v>0</v>
      </c>
      <c r="T27" s="631">
        <f>+'Balance Energético (u.físicas)'!T32</f>
        <v>0</v>
      </c>
      <c r="U27" s="631">
        <f>+'Balance Energético (u.físicas)'!U32</f>
        <v>1.2797100000000001</v>
      </c>
      <c r="V27" s="631">
        <f>+'Balance Energético (u.físicas)'!V32</f>
        <v>0</v>
      </c>
      <c r="W27" s="633">
        <f>+'Balance Energético (u.físicas)'!W32</f>
        <v>22469.575712102229</v>
      </c>
      <c r="X27" s="631">
        <f>+'Balance Energético (u.físicas)'!X32</f>
        <v>5.3408571428571419</v>
      </c>
      <c r="Y27" s="631">
        <f>+'Balance Energético (u.físicas)'!Y32</f>
        <v>0</v>
      </c>
      <c r="Z27" s="631">
        <f>+'Balance Energético (u.físicas)'!Z32</f>
        <v>0</v>
      </c>
      <c r="AA27" s="631">
        <f>+'Balance Energético (u.físicas)'!AA32</f>
        <v>0</v>
      </c>
      <c r="AB27" s="633">
        <f>+'Balance Energético (u.físicas)'!AB32</f>
        <v>0</v>
      </c>
      <c r="AC27" s="632">
        <f>+'Balance Energético (u.físicas)'!AC32</f>
        <v>0</v>
      </c>
    </row>
    <row r="28" spans="1:29">
      <c r="A28" s="350"/>
      <c r="B28" s="850"/>
      <c r="C28" s="733" t="s">
        <v>49</v>
      </c>
      <c r="D28" s="631">
        <f>+'Balance Energético (u.físicas)'!D33</f>
        <v>0</v>
      </c>
      <c r="E28" s="631">
        <f>+'Balance Energético (u.físicas)'!E33</f>
        <v>17.480557999999995</v>
      </c>
      <c r="F28" s="631">
        <f>+'Balance Energético (u.físicas)'!F33</f>
        <v>0</v>
      </c>
      <c r="G28" s="631">
        <f>+'Balance Energético (u.físicas)'!G33</f>
        <v>0</v>
      </c>
      <c r="H28" s="631">
        <f>+'Balance Energético (u.físicas)'!H33</f>
        <v>0</v>
      </c>
      <c r="I28" s="631">
        <f>+'Balance Energético (u.físicas)'!I33</f>
        <v>0</v>
      </c>
      <c r="J28" s="631">
        <f>+'Balance Energético (u.físicas)'!J33</f>
        <v>0</v>
      </c>
      <c r="K28" s="632">
        <f>+'Balance Energético (u.físicas)'!K33</f>
        <v>0</v>
      </c>
      <c r="L28" s="631">
        <f>+'Balance Energético (u.físicas)'!L33</f>
        <v>83.244404000000003</v>
      </c>
      <c r="M28" s="631">
        <f>+'Balance Energético (u.físicas)'!M33</f>
        <v>35.683321000000007</v>
      </c>
      <c r="N28" s="631">
        <f>+'Balance Energético (u.físicas)'!N33</f>
        <v>0</v>
      </c>
      <c r="O28" s="631">
        <f>+'Balance Energético (u.físicas)'!O33</f>
        <v>0</v>
      </c>
      <c r="P28" s="631">
        <f>+'Balance Energético (u.físicas)'!P33</f>
        <v>0</v>
      </c>
      <c r="Q28" s="631">
        <f>+'Balance Energético (u.físicas)'!Q33</f>
        <v>0</v>
      </c>
      <c r="R28" s="631">
        <f>+'Balance Energético (u.físicas)'!R33</f>
        <v>0</v>
      </c>
      <c r="S28" s="631">
        <f>+'Balance Energético (u.físicas)'!S33</f>
        <v>0</v>
      </c>
      <c r="T28" s="631">
        <f>+'Balance Energético (u.físicas)'!T33</f>
        <v>0</v>
      </c>
      <c r="U28" s="631">
        <f>+'Balance Energético (u.físicas)'!U33</f>
        <v>0</v>
      </c>
      <c r="V28" s="631">
        <f>+'Balance Energético (u.físicas)'!V33</f>
        <v>0</v>
      </c>
      <c r="W28" s="633">
        <f>+'Balance Energético (u.físicas)'!W33</f>
        <v>371.86028099999999</v>
      </c>
      <c r="X28" s="631">
        <f>+'Balance Energético (u.físicas)'!X33</f>
        <v>0</v>
      </c>
      <c r="Y28" s="631">
        <f>+'Balance Energético (u.físicas)'!Y33</f>
        <v>0</v>
      </c>
      <c r="Z28" s="631">
        <f>+'Balance Energético (u.físicas)'!Z33</f>
        <v>0</v>
      </c>
      <c r="AA28" s="631">
        <f>+'Balance Energético (u.físicas)'!AA33</f>
        <v>0</v>
      </c>
      <c r="AB28" s="633">
        <f>+'Balance Energético (u.físicas)'!AB33</f>
        <v>0</v>
      </c>
      <c r="AC28" s="632">
        <f>+'Balance Energético (u.físicas)'!AC33</f>
        <v>0</v>
      </c>
    </row>
    <row r="29" spans="1:29">
      <c r="A29" s="350"/>
      <c r="B29" s="850"/>
      <c r="C29" s="733" t="s">
        <v>50</v>
      </c>
      <c r="D29" s="631">
        <f>+'Balance Energético (u.físicas)'!D34</f>
        <v>0</v>
      </c>
      <c r="E29" s="631">
        <f>+'Balance Energético (u.físicas)'!E34</f>
        <v>0</v>
      </c>
      <c r="F29" s="631">
        <f>+'Balance Energético (u.físicas)'!F34</f>
        <v>72.874533200000002</v>
      </c>
      <c r="G29" s="631">
        <f>+'Balance Energético (u.físicas)'!G34</f>
        <v>0</v>
      </c>
      <c r="H29" s="631">
        <f>+'Balance Energético (u.físicas)'!H34</f>
        <v>0</v>
      </c>
      <c r="I29" s="631">
        <f>+'Balance Energético (u.físicas)'!I34</f>
        <v>0</v>
      </c>
      <c r="J29" s="631">
        <f>+'Balance Energético (u.físicas)'!J34</f>
        <v>0</v>
      </c>
      <c r="K29" s="632">
        <f>+'Balance Energético (u.físicas)'!K34</f>
        <v>0</v>
      </c>
      <c r="L29" s="631">
        <f>+'Balance Energético (u.físicas)'!L34</f>
        <v>79.641673999999981</v>
      </c>
      <c r="M29" s="631">
        <f>+'Balance Energético (u.físicas)'!M34</f>
        <v>4.2451999999999996</v>
      </c>
      <c r="N29" s="631">
        <f>+'Balance Energético (u.físicas)'!N34</f>
        <v>0</v>
      </c>
      <c r="O29" s="631">
        <f>+'Balance Energético (u.físicas)'!O34</f>
        <v>0</v>
      </c>
      <c r="P29" s="631">
        <f>+'Balance Energético (u.físicas)'!P34</f>
        <v>0</v>
      </c>
      <c r="Q29" s="631">
        <f>+'Balance Energético (u.físicas)'!Q34</f>
        <v>0</v>
      </c>
      <c r="R29" s="631">
        <f>+'Balance Energético (u.físicas)'!R34</f>
        <v>0</v>
      </c>
      <c r="S29" s="631">
        <f>+'Balance Energético (u.físicas)'!S34</f>
        <v>0</v>
      </c>
      <c r="T29" s="631">
        <f>+'Balance Energético (u.físicas)'!T34</f>
        <v>0</v>
      </c>
      <c r="U29" s="631">
        <f>+'Balance Energético (u.físicas)'!U34</f>
        <v>0</v>
      </c>
      <c r="V29" s="631">
        <f>+'Balance Energético (u.físicas)'!V34</f>
        <v>0</v>
      </c>
      <c r="W29" s="633">
        <f>+'Balance Energético (u.físicas)'!W34</f>
        <v>750.87300000000016</v>
      </c>
      <c r="X29" s="631">
        <f>+'Balance Energético (u.físicas)'!X34</f>
        <v>0</v>
      </c>
      <c r="Y29" s="631">
        <f>+'Balance Energético (u.físicas)'!Y34</f>
        <v>0</v>
      </c>
      <c r="Z29" s="631">
        <f>+'Balance Energético (u.físicas)'!Z34</f>
        <v>0</v>
      </c>
      <c r="AA29" s="631">
        <f>+'Balance Energético (u.físicas)'!AA34</f>
        <v>0</v>
      </c>
      <c r="AB29" s="633">
        <f>+'Balance Energético (u.físicas)'!AB34</f>
        <v>0</v>
      </c>
      <c r="AC29" s="632">
        <f>+'Balance Energético (u.físicas)'!AC34</f>
        <v>0</v>
      </c>
    </row>
    <row r="30" spans="1:29">
      <c r="A30" s="350"/>
      <c r="B30" s="850"/>
      <c r="C30" s="733" t="s">
        <v>51</v>
      </c>
      <c r="D30" s="631">
        <f>+'Balance Energético (u.físicas)'!D35</f>
        <v>0</v>
      </c>
      <c r="E30" s="631">
        <f>+'Balance Energético (u.físicas)'!E35</f>
        <v>108.99487192600834</v>
      </c>
      <c r="F30" s="631">
        <f>+'Balance Energético (u.físicas)'!F35</f>
        <v>0</v>
      </c>
      <c r="G30" s="631">
        <f>+'Balance Energético (u.físicas)'!G35</f>
        <v>4423.0656648794893</v>
      </c>
      <c r="H30" s="631">
        <f>+'Balance Energético (u.físicas)'!H35</f>
        <v>0</v>
      </c>
      <c r="I30" s="631">
        <f>+'Balance Energético (u.físicas)'!I35</f>
        <v>0</v>
      </c>
      <c r="J30" s="631">
        <f>+'Balance Energético (u.físicas)'!J35</f>
        <v>0</v>
      </c>
      <c r="K30" s="632">
        <f>+'Balance Energético (u.físicas)'!K35</f>
        <v>0</v>
      </c>
      <c r="L30" s="631">
        <f>+'Balance Energético (u.físicas)'!L35</f>
        <v>1.9649709407697138</v>
      </c>
      <c r="M30" s="631">
        <f>+'Balance Energético (u.físicas)'!M35</f>
        <v>182.91692722857312</v>
      </c>
      <c r="N30" s="631">
        <f>+'Balance Energético (u.físicas)'!N35</f>
        <v>0</v>
      </c>
      <c r="O30" s="631">
        <f>+'Balance Energético (u.físicas)'!O35</f>
        <v>4.7000000000000002E-3</v>
      </c>
      <c r="P30" s="631">
        <f>+'Balance Energético (u.físicas)'!P35</f>
        <v>5.2196447448127303</v>
      </c>
      <c r="Q30" s="631">
        <f>+'Balance Energético (u.físicas)'!Q35</f>
        <v>0</v>
      </c>
      <c r="R30" s="631">
        <f>+'Balance Energético (u.físicas)'!R35</f>
        <v>0</v>
      </c>
      <c r="S30" s="631">
        <f>+'Balance Energético (u.físicas)'!S35</f>
        <v>0</v>
      </c>
      <c r="T30" s="631">
        <f>+'Balance Energético (u.físicas)'!T35</f>
        <v>0</v>
      </c>
      <c r="U30" s="631">
        <f>+'Balance Energético (u.físicas)'!U35</f>
        <v>0</v>
      </c>
      <c r="V30" s="631">
        <f>+'Balance Energético (u.físicas)'!V35</f>
        <v>0</v>
      </c>
      <c r="W30" s="633">
        <f>+'Balance Energético (u.físicas)'!W35</f>
        <v>4795.3417431089774</v>
      </c>
      <c r="X30" s="631">
        <f>+'Balance Energético (u.físicas)'!X35</f>
        <v>0</v>
      </c>
      <c r="Y30" s="631">
        <f>+'Balance Energético (u.físicas)'!Y35</f>
        <v>0</v>
      </c>
      <c r="Z30" s="631">
        <f>+'Balance Energético (u.físicas)'!Z35</f>
        <v>0</v>
      </c>
      <c r="AA30" s="631">
        <f>+'Balance Energético (u.físicas)'!AA35</f>
        <v>0</v>
      </c>
      <c r="AB30" s="633">
        <f>+'Balance Energético (u.físicas)'!AB35</f>
        <v>0</v>
      </c>
      <c r="AC30" s="632">
        <f>+'Balance Energético (u.físicas)'!AC35</f>
        <v>0</v>
      </c>
    </row>
    <row r="31" spans="1:29">
      <c r="A31" s="350"/>
      <c r="B31" s="850"/>
      <c r="C31" s="733" t="s">
        <v>52</v>
      </c>
      <c r="D31" s="631">
        <f>+'Balance Energético (u.físicas)'!D36</f>
        <v>0</v>
      </c>
      <c r="E31" s="631">
        <f>+'Balance Energético (u.físicas)'!E36</f>
        <v>37</v>
      </c>
      <c r="F31" s="631">
        <f>+'Balance Energético (u.físicas)'!F36</f>
        <v>0</v>
      </c>
      <c r="G31" s="631">
        <f>+'Balance Energético (u.físicas)'!G36</f>
        <v>0</v>
      </c>
      <c r="H31" s="631">
        <f>+'Balance Energético (u.físicas)'!H36</f>
        <v>0</v>
      </c>
      <c r="I31" s="631">
        <f>+'Balance Energético (u.físicas)'!I36</f>
        <v>0</v>
      </c>
      <c r="J31" s="631">
        <f>+'Balance Energético (u.físicas)'!J36</f>
        <v>0</v>
      </c>
      <c r="K31" s="632">
        <f>+'Balance Energético (u.físicas)'!K36</f>
        <v>0</v>
      </c>
      <c r="L31" s="631">
        <f>+'Balance Energético (u.físicas)'!L36</f>
        <v>0.08</v>
      </c>
      <c r="M31" s="631">
        <f>+'Balance Energético (u.físicas)'!M36</f>
        <v>0</v>
      </c>
      <c r="N31" s="631">
        <f>+'Balance Energético (u.físicas)'!N36</f>
        <v>0</v>
      </c>
      <c r="O31" s="631">
        <f>+'Balance Energético (u.físicas)'!O36</f>
        <v>0</v>
      </c>
      <c r="P31" s="631">
        <f>+'Balance Energético (u.físicas)'!P36</f>
        <v>2.3523000000000005</v>
      </c>
      <c r="Q31" s="631">
        <f>+'Balance Energético (u.físicas)'!Q36</f>
        <v>0</v>
      </c>
      <c r="R31" s="631">
        <f>+'Balance Energético (u.físicas)'!R36</f>
        <v>0</v>
      </c>
      <c r="S31" s="631">
        <f>+'Balance Energético (u.físicas)'!S36</f>
        <v>0</v>
      </c>
      <c r="T31" s="631">
        <f>+'Balance Energético (u.físicas)'!T36</f>
        <v>0</v>
      </c>
      <c r="U31" s="631">
        <f>+'Balance Energético (u.físicas)'!U36</f>
        <v>0</v>
      </c>
      <c r="V31" s="631">
        <f>+'Balance Energético (u.físicas)'!V36</f>
        <v>0</v>
      </c>
      <c r="W31" s="633">
        <f>+'Balance Energético (u.físicas)'!W36</f>
        <v>374.32280900000001</v>
      </c>
      <c r="X31" s="631">
        <f>+'Balance Energético (u.físicas)'!X36</f>
        <v>0</v>
      </c>
      <c r="Y31" s="631">
        <f>+'Balance Energético (u.físicas)'!Y36</f>
        <v>119690.1875463372</v>
      </c>
      <c r="Z31" s="631">
        <f>+'Balance Energético (u.físicas)'!Z36</f>
        <v>0</v>
      </c>
      <c r="AA31" s="631">
        <f>+'Balance Energético (u.físicas)'!AA36</f>
        <v>216222.9244031198</v>
      </c>
      <c r="AB31" s="633">
        <f>+'Balance Energético (u.físicas)'!AB36</f>
        <v>0</v>
      </c>
      <c r="AC31" s="632">
        <f>+'Balance Energético (u.físicas)'!AC36</f>
        <v>0</v>
      </c>
    </row>
    <row r="32" spans="1:29">
      <c r="A32" s="350"/>
      <c r="B32" s="850"/>
      <c r="C32" s="733" t="s">
        <v>53</v>
      </c>
      <c r="D32" s="631">
        <f>+'Balance Energético (u.físicas)'!D37</f>
        <v>0</v>
      </c>
      <c r="E32" s="631">
        <f>+'Balance Energético (u.físicas)'!E37</f>
        <v>0</v>
      </c>
      <c r="F32" s="631">
        <f>+'Balance Energético (u.físicas)'!F37</f>
        <v>0</v>
      </c>
      <c r="G32" s="631">
        <f>+'Balance Energético (u.físicas)'!G37</f>
        <v>0</v>
      </c>
      <c r="H32" s="631">
        <f>+'Balance Energético (u.físicas)'!H37</f>
        <v>0</v>
      </c>
      <c r="I32" s="631">
        <f>+'Balance Energético (u.físicas)'!I37</f>
        <v>0</v>
      </c>
      <c r="J32" s="631">
        <f>+'Balance Energético (u.físicas)'!J37</f>
        <v>0</v>
      </c>
      <c r="K32" s="632">
        <f>+'Balance Energético (u.físicas)'!K37</f>
        <v>0</v>
      </c>
      <c r="L32" s="631">
        <f>+'Balance Energético (u.físicas)'!L37</f>
        <v>0</v>
      </c>
      <c r="M32" s="631">
        <f>+'Balance Energético (u.físicas)'!M37</f>
        <v>0</v>
      </c>
      <c r="N32" s="631">
        <f>+'Balance Energético (u.físicas)'!N37</f>
        <v>0</v>
      </c>
      <c r="O32" s="631">
        <f>+'Balance Energético (u.físicas)'!O37</f>
        <v>0</v>
      </c>
      <c r="P32" s="631">
        <f>+'Balance Energético (u.físicas)'!P37</f>
        <v>3.2372933163985702</v>
      </c>
      <c r="Q32" s="631">
        <f>+'Balance Energético (u.físicas)'!Q37</f>
        <v>0</v>
      </c>
      <c r="R32" s="631">
        <f>+'Balance Energético (u.físicas)'!R37</f>
        <v>0</v>
      </c>
      <c r="S32" s="631">
        <f>+'Balance Energético (u.físicas)'!S37</f>
        <v>0</v>
      </c>
      <c r="T32" s="631">
        <f>+'Balance Energético (u.físicas)'!T37</f>
        <v>0</v>
      </c>
      <c r="U32" s="631">
        <f>+'Balance Energético (u.físicas)'!U37</f>
        <v>0</v>
      </c>
      <c r="V32" s="631">
        <f>+'Balance Energético (u.físicas)'!V37</f>
        <v>0</v>
      </c>
      <c r="W32" s="633">
        <f>+'Balance Energético (u.físicas)'!W37</f>
        <v>37.006</v>
      </c>
      <c r="X32" s="631">
        <f>+'Balance Energético (u.físicas)'!X37</f>
        <v>0</v>
      </c>
      <c r="Y32" s="631">
        <f>+'Balance Energético (u.físicas)'!Y37</f>
        <v>0</v>
      </c>
      <c r="Z32" s="631">
        <f>+'Balance Energético (u.físicas)'!Z37</f>
        <v>0</v>
      </c>
      <c r="AA32" s="631">
        <f>+'Balance Energético (u.físicas)'!AA37</f>
        <v>0</v>
      </c>
      <c r="AB32" s="633">
        <f>+'Balance Energético (u.físicas)'!AB37</f>
        <v>0</v>
      </c>
      <c r="AC32" s="632">
        <f>+'Balance Energético (u.físicas)'!AC37</f>
        <v>0</v>
      </c>
    </row>
    <row r="33" spans="1:29">
      <c r="A33" s="350"/>
      <c r="B33" s="850"/>
      <c r="C33" s="733" t="s">
        <v>54</v>
      </c>
      <c r="D33" s="631">
        <f>+'Balance Energético (u.físicas)'!D38</f>
        <v>0</v>
      </c>
      <c r="E33" s="631">
        <f>+'Balance Energético (u.físicas)'!E38</f>
        <v>11.225585962852158</v>
      </c>
      <c r="F33" s="631">
        <f>+'Balance Energético (u.físicas)'!F38</f>
        <v>0.99078571428571438</v>
      </c>
      <c r="G33" s="631">
        <f>+'Balance Energético (u.físicas)'!G38</f>
        <v>40.703615972739364</v>
      </c>
      <c r="H33" s="631">
        <f>+'Balance Energético (u.físicas)'!H38</f>
        <v>0</v>
      </c>
      <c r="I33" s="631">
        <f>+'Balance Energético (u.físicas)'!I38</f>
        <v>0</v>
      </c>
      <c r="J33" s="631">
        <f>+'Balance Energético (u.físicas)'!J38</f>
        <v>0</v>
      </c>
      <c r="K33" s="632">
        <f>+'Balance Energético (u.físicas)'!K38</f>
        <v>0</v>
      </c>
      <c r="L33" s="631">
        <f>+'Balance Energético (u.físicas)'!L38</f>
        <v>6.5918508095238106</v>
      </c>
      <c r="M33" s="631">
        <f>+'Balance Energético (u.físicas)'!M38</f>
        <v>0</v>
      </c>
      <c r="N33" s="631">
        <f>+'Balance Energético (u.físicas)'!N38</f>
        <v>0</v>
      </c>
      <c r="O33" s="631">
        <f>+'Balance Energético (u.físicas)'!O38</f>
        <v>6.9240000000000005E-3</v>
      </c>
      <c r="P33" s="631">
        <f>+'Balance Energético (u.físicas)'!P38</f>
        <v>1.0175780000000001</v>
      </c>
      <c r="Q33" s="631">
        <f>+'Balance Energético (u.físicas)'!Q38</f>
        <v>0</v>
      </c>
      <c r="R33" s="631">
        <f>+'Balance Energético (u.físicas)'!R38</f>
        <v>0</v>
      </c>
      <c r="S33" s="631">
        <f>+'Balance Energético (u.físicas)'!S38</f>
        <v>0</v>
      </c>
      <c r="T33" s="631">
        <f>+'Balance Energético (u.físicas)'!T38</f>
        <v>0</v>
      </c>
      <c r="U33" s="631">
        <f>+'Balance Energético (u.físicas)'!U38</f>
        <v>288.39449099999996</v>
      </c>
      <c r="V33" s="631">
        <f>+'Balance Energético (u.físicas)'!V38</f>
        <v>0</v>
      </c>
      <c r="W33" s="633">
        <f>+'Balance Energético (u.físicas)'!W38</f>
        <v>470.9209247482533</v>
      </c>
      <c r="X33" s="631">
        <f>+'Balance Energético (u.físicas)'!X38</f>
        <v>0</v>
      </c>
      <c r="Y33" s="631">
        <f>+'Balance Energético (u.físicas)'!Y38</f>
        <v>0</v>
      </c>
      <c r="Z33" s="631">
        <f>+'Balance Energético (u.físicas)'!Z38</f>
        <v>0</v>
      </c>
      <c r="AA33" s="631">
        <f>+'Balance Energético (u.físicas)'!AA38</f>
        <v>0</v>
      </c>
      <c r="AB33" s="633">
        <f>+'Balance Energético (u.físicas)'!AB38</f>
        <v>0</v>
      </c>
      <c r="AC33" s="632">
        <f>+'Balance Energético (u.físicas)'!AC38</f>
        <v>0</v>
      </c>
    </row>
    <row r="34" spans="1:29">
      <c r="A34" s="350"/>
      <c r="B34" s="850"/>
      <c r="C34" s="733" t="s">
        <v>55</v>
      </c>
      <c r="D34" s="631">
        <f>+'Balance Energético (u.físicas)'!D39</f>
        <v>0</v>
      </c>
      <c r="E34" s="631">
        <f>+'Balance Energético (u.físicas)'!E39</f>
        <v>0.91222906499999989</v>
      </c>
      <c r="F34" s="631">
        <f>+'Balance Energético (u.físicas)'!F39</f>
        <v>101.93061299999999</v>
      </c>
      <c r="G34" s="631">
        <f>+'Balance Energético (u.físicas)'!G39</f>
        <v>0</v>
      </c>
      <c r="H34" s="631">
        <f>+'Balance Energético (u.físicas)'!H39</f>
        <v>0</v>
      </c>
      <c r="I34" s="631">
        <f>+'Balance Energético (u.físicas)'!I39</f>
        <v>0</v>
      </c>
      <c r="J34" s="631">
        <f>+'Balance Energético (u.físicas)'!J39</f>
        <v>0</v>
      </c>
      <c r="K34" s="632">
        <f>+'Balance Energético (u.físicas)'!K39</f>
        <v>0</v>
      </c>
      <c r="L34" s="631">
        <f>+'Balance Energético (u.físicas)'!L39</f>
        <v>0.45925490000000002</v>
      </c>
      <c r="M34" s="631">
        <f>+'Balance Energético (u.físicas)'!M39</f>
        <v>0.57277099999999992</v>
      </c>
      <c r="N34" s="631">
        <f>+'Balance Energético (u.físicas)'!N39</f>
        <v>0</v>
      </c>
      <c r="O34" s="631">
        <f>+'Balance Energético (u.físicas)'!O39</f>
        <v>0</v>
      </c>
      <c r="P34" s="631">
        <f>+'Balance Energético (u.físicas)'!P39</f>
        <v>0.27763395000000002</v>
      </c>
      <c r="Q34" s="631">
        <f>+'Balance Energético (u.físicas)'!Q39</f>
        <v>0</v>
      </c>
      <c r="R34" s="631">
        <f>+'Balance Energético (u.físicas)'!R39</f>
        <v>0</v>
      </c>
      <c r="S34" s="631">
        <f>+'Balance Energético (u.físicas)'!S39</f>
        <v>0</v>
      </c>
      <c r="T34" s="631">
        <f>+'Balance Energético (u.físicas)'!T39</f>
        <v>0</v>
      </c>
      <c r="U34" s="631">
        <f>+'Balance Energético (u.físicas)'!U39</f>
        <v>0</v>
      </c>
      <c r="V34" s="631">
        <f>+'Balance Energético (u.físicas)'!V39</f>
        <v>0</v>
      </c>
      <c r="W34" s="633">
        <f>+'Balance Energético (u.físicas)'!W39</f>
        <v>18.545144000000004</v>
      </c>
      <c r="X34" s="631">
        <f>+'Balance Energético (u.físicas)'!X39</f>
        <v>5.9428215</v>
      </c>
      <c r="Y34" s="631">
        <f>+'Balance Energético (u.físicas)'!Y39</f>
        <v>0</v>
      </c>
      <c r="Z34" s="631">
        <f>+'Balance Energético (u.físicas)'!Z39</f>
        <v>0</v>
      </c>
      <c r="AA34" s="631">
        <f>+'Balance Energético (u.físicas)'!AA39</f>
        <v>0</v>
      </c>
      <c r="AB34" s="633">
        <f>+'Balance Energético (u.físicas)'!AB39</f>
        <v>4.5242608695652176E-5</v>
      </c>
      <c r="AC34" s="632">
        <f>+'Balance Energético (u.físicas)'!AC39</f>
        <v>0</v>
      </c>
    </row>
    <row r="35" spans="1:29">
      <c r="A35" s="350"/>
      <c r="B35" s="850"/>
      <c r="C35" s="733" t="s">
        <v>56</v>
      </c>
      <c r="D35" s="631">
        <f>+'Balance Energético (u.físicas)'!D40</f>
        <v>0</v>
      </c>
      <c r="E35" s="631">
        <f>+'Balance Energético (u.físicas)'!E40</f>
        <v>4.6636586299999996</v>
      </c>
      <c r="F35" s="631">
        <f>+'Balance Energético (u.físicas)'!F40</f>
        <v>0.30336414285714292</v>
      </c>
      <c r="G35" s="631">
        <f>+'Balance Energético (u.físicas)'!G40</f>
        <v>0</v>
      </c>
      <c r="H35" s="631">
        <f>+'Balance Energético (u.físicas)'!H40</f>
        <v>0</v>
      </c>
      <c r="I35" s="631">
        <f>+'Balance Energético (u.físicas)'!I40</f>
        <v>0</v>
      </c>
      <c r="J35" s="631">
        <f>+'Balance Energético (u.físicas)'!J40</f>
        <v>0</v>
      </c>
      <c r="K35" s="632">
        <f>+'Balance Energético (u.físicas)'!K40</f>
        <v>0</v>
      </c>
      <c r="L35" s="631">
        <f>+'Balance Energético (u.físicas)'!L40</f>
        <v>157.60380483568801</v>
      </c>
      <c r="M35" s="631">
        <f>+'Balance Energético (u.físicas)'!M40</f>
        <v>55.012000000000015</v>
      </c>
      <c r="N35" s="631">
        <f>+'Balance Energético (u.físicas)'!N40</f>
        <v>0</v>
      </c>
      <c r="O35" s="631">
        <f>+'Balance Energético (u.físicas)'!O40</f>
        <v>0</v>
      </c>
      <c r="P35" s="631">
        <f>+'Balance Energético (u.físicas)'!P40</f>
        <v>8.2544957700000037</v>
      </c>
      <c r="Q35" s="631">
        <f>+'Balance Energético (u.físicas)'!Q40</f>
        <v>0</v>
      </c>
      <c r="R35" s="631">
        <f>+'Balance Energético (u.físicas)'!R40</f>
        <v>2.8000000000000004E-2</v>
      </c>
      <c r="S35" s="631">
        <f>+'Balance Energético (u.físicas)'!S40</f>
        <v>0</v>
      </c>
      <c r="T35" s="631">
        <f>+'Balance Energético (u.físicas)'!T40</f>
        <v>0</v>
      </c>
      <c r="U35" s="631">
        <f>+'Balance Energético (u.físicas)'!U40</f>
        <v>0</v>
      </c>
      <c r="V35" s="631">
        <f>+'Balance Energético (u.físicas)'!V40</f>
        <v>0</v>
      </c>
      <c r="W35" s="633">
        <f>+'Balance Energético (u.físicas)'!W40</f>
        <v>104.27076</v>
      </c>
      <c r="X35" s="631">
        <f>+'Balance Energético (u.físicas)'!X40</f>
        <v>0</v>
      </c>
      <c r="Y35" s="631">
        <f>+'Balance Energético (u.físicas)'!Y40</f>
        <v>0</v>
      </c>
      <c r="Z35" s="631">
        <f>+'Balance Energético (u.físicas)'!Z40</f>
        <v>0</v>
      </c>
      <c r="AA35" s="631">
        <f>+'Balance Energético (u.físicas)'!AA40</f>
        <v>0</v>
      </c>
      <c r="AB35" s="633">
        <f>+'Balance Energético (u.físicas)'!AB40</f>
        <v>6.529565217391305E-5</v>
      </c>
      <c r="AC35" s="632">
        <f>+'Balance Energético (u.físicas)'!AC40</f>
        <v>0</v>
      </c>
    </row>
    <row r="36" spans="1:29">
      <c r="A36" s="350"/>
      <c r="B36" s="850"/>
      <c r="C36" s="733" t="s">
        <v>57</v>
      </c>
      <c r="D36" s="631">
        <f>+'Balance Energético (u.físicas)'!D41</f>
        <v>0</v>
      </c>
      <c r="E36" s="631">
        <f>+'Balance Energético (u.físicas)'!E41</f>
        <v>478.60373977581833</v>
      </c>
      <c r="F36" s="631">
        <f>+'Balance Energético (u.físicas)'!F41</f>
        <v>205.5481345331014</v>
      </c>
      <c r="G36" s="631">
        <f>+'Balance Energético (u.físicas)'!G41</f>
        <v>1366.2154562227561</v>
      </c>
      <c r="H36" s="631">
        <f>+'Balance Energético (u.físicas)'!H41</f>
        <v>0</v>
      </c>
      <c r="I36" s="631">
        <f>+'Balance Energético (u.físicas)'!I41</f>
        <v>0</v>
      </c>
      <c r="J36" s="631">
        <f>+'Balance Energético (u.físicas)'!J41</f>
        <v>0</v>
      </c>
      <c r="K36" s="632">
        <f>+'Balance Energético (u.físicas)'!K41</f>
        <v>0</v>
      </c>
      <c r="L36" s="631">
        <f>+'Balance Energético (u.físicas)'!L41</f>
        <v>839.87913130954053</v>
      </c>
      <c r="M36" s="631">
        <f>+'Balance Energético (u.físicas)'!M41</f>
        <v>141.80314861338621</v>
      </c>
      <c r="N36" s="631">
        <f>+'Balance Energético (u.físicas)'!N41</f>
        <v>0</v>
      </c>
      <c r="O36" s="631">
        <f>+'Balance Energético (u.físicas)'!O41</f>
        <v>8.3271704186553013</v>
      </c>
      <c r="P36" s="631">
        <f>+'Balance Energético (u.físicas)'!P41</f>
        <v>237.62561669784992</v>
      </c>
      <c r="Q36" s="631">
        <f>+'Balance Energético (u.físicas)'!Q41</f>
        <v>0.99499999999999988</v>
      </c>
      <c r="R36" s="631">
        <f>+'Balance Energético (u.físicas)'!R41</f>
        <v>67.080027725498582</v>
      </c>
      <c r="S36" s="631">
        <f>+'Balance Energético (u.físicas)'!S41</f>
        <v>0</v>
      </c>
      <c r="T36" s="631">
        <f>+'Balance Energético (u.físicas)'!T41</f>
        <v>0</v>
      </c>
      <c r="U36" s="631">
        <f>+'Balance Energético (u.físicas)'!U41</f>
        <v>14.106367000000001</v>
      </c>
      <c r="V36" s="631">
        <f>+'Balance Energético (u.físicas)'!V41</f>
        <v>0</v>
      </c>
      <c r="W36" s="633">
        <f>+'Balance Energético (u.físicas)'!W41</f>
        <v>11538.207405252409</v>
      </c>
      <c r="X36" s="631">
        <f>+'Balance Energético (u.físicas)'!X41</f>
        <v>1.577655</v>
      </c>
      <c r="Y36" s="631">
        <f>+'Balance Energético (u.físicas)'!Y41</f>
        <v>0</v>
      </c>
      <c r="Z36" s="631">
        <f>+'Balance Energético (u.físicas)'!Z41</f>
        <v>0</v>
      </c>
      <c r="AA36" s="631">
        <f>+'Balance Energético (u.físicas)'!AA41</f>
        <v>0</v>
      </c>
      <c r="AB36" s="633">
        <f>+'Balance Energético (u.físicas)'!AB41</f>
        <v>0.2489903947826087</v>
      </c>
      <c r="AC36" s="632">
        <f>+'Balance Energético (u.físicas)'!AC41</f>
        <v>0</v>
      </c>
    </row>
    <row r="37" spans="1:29">
      <c r="A37" s="350"/>
      <c r="B37" s="850"/>
      <c r="C37" s="733" t="s">
        <v>58</v>
      </c>
      <c r="D37" s="631">
        <f>+'Balance Energético (u.físicas)'!D42</f>
        <v>0</v>
      </c>
      <c r="E37" s="631">
        <f>+'Balance Energético (u.físicas)'!E42</f>
        <v>87.957286454727623</v>
      </c>
      <c r="F37" s="631">
        <f>+'Balance Energético (u.físicas)'!F42</f>
        <v>0</v>
      </c>
      <c r="G37" s="631">
        <f>+'Balance Energético (u.físicas)'!G42</f>
        <v>2.7603038126688686</v>
      </c>
      <c r="H37" s="631">
        <f>+'Balance Energético (u.físicas)'!H42</f>
        <v>0</v>
      </c>
      <c r="I37" s="631">
        <f>+'Balance Energético (u.físicas)'!I42</f>
        <v>0</v>
      </c>
      <c r="J37" s="631">
        <f>+'Balance Energético (u.físicas)'!J42</f>
        <v>0</v>
      </c>
      <c r="K37" s="632">
        <f>+'Balance Energético (u.físicas)'!K42</f>
        <v>0</v>
      </c>
      <c r="L37" s="631">
        <f>+'Balance Energético (u.físicas)'!L42</f>
        <v>470.25904705248985</v>
      </c>
      <c r="M37" s="631">
        <f>+'Balance Energético (u.físicas)'!M42</f>
        <v>15.483004999999995</v>
      </c>
      <c r="N37" s="631">
        <f>+'Balance Energético (u.físicas)'!N42</f>
        <v>0</v>
      </c>
      <c r="O37" s="631">
        <f>+'Balance Energético (u.físicas)'!O42</f>
        <v>1.3759999999999997</v>
      </c>
      <c r="P37" s="631">
        <f>+'Balance Energético (u.físicas)'!P42</f>
        <v>0.88401249999999998</v>
      </c>
      <c r="Q37" s="631">
        <f>+'Balance Energético (u.físicas)'!Q42</f>
        <v>0</v>
      </c>
      <c r="R37" s="631">
        <f>+'Balance Energético (u.físicas)'!R42</f>
        <v>11.175000000000002</v>
      </c>
      <c r="S37" s="631">
        <f>+'Balance Energético (u.físicas)'!S42</f>
        <v>0</v>
      </c>
      <c r="T37" s="631">
        <f>+'Balance Energético (u.físicas)'!T42</f>
        <v>0</v>
      </c>
      <c r="U37" s="631">
        <f>+'Balance Energético (u.físicas)'!U42</f>
        <v>0</v>
      </c>
      <c r="V37" s="631">
        <f>+'Balance Energético (u.físicas)'!V42</f>
        <v>0</v>
      </c>
      <c r="W37" s="633">
        <f>+'Balance Energético (u.físicas)'!W42</f>
        <v>910.80016611976725</v>
      </c>
      <c r="X37" s="631">
        <f>+'Balance Energético (u.físicas)'!X42</f>
        <v>0</v>
      </c>
      <c r="Y37" s="631">
        <f>+'Balance Energético (u.físicas)'!Y42</f>
        <v>0</v>
      </c>
      <c r="Z37" s="631">
        <f>+'Balance Energético (u.físicas)'!Z42</f>
        <v>0</v>
      </c>
      <c r="AA37" s="631">
        <f>+'Balance Energético (u.físicas)'!AA42</f>
        <v>0</v>
      </c>
      <c r="AB37" s="633">
        <f>+'Balance Energético (u.físicas)'!AB42</f>
        <v>0</v>
      </c>
      <c r="AC37" s="632">
        <f>+'Balance Energético (u.físicas)'!AC42</f>
        <v>0</v>
      </c>
    </row>
    <row r="38" spans="1:29">
      <c r="A38" s="350"/>
      <c r="B38" s="850"/>
      <c r="C38" s="732" t="s">
        <v>285</v>
      </c>
      <c r="D38" s="628">
        <f>SUM(D39:D42)</f>
        <v>0</v>
      </c>
      <c r="E38" s="628">
        <f t="shared" ref="E38:AC38" si="7">SUM(E39:E42)</f>
        <v>31.76316839668986</v>
      </c>
      <c r="F38" s="628">
        <f t="shared" si="7"/>
        <v>0</v>
      </c>
      <c r="G38" s="628">
        <f t="shared" si="7"/>
        <v>0</v>
      </c>
      <c r="H38" s="628">
        <f t="shared" si="7"/>
        <v>0</v>
      </c>
      <c r="I38" s="628">
        <f t="shared" si="7"/>
        <v>0</v>
      </c>
      <c r="J38" s="628">
        <f t="shared" si="7"/>
        <v>0</v>
      </c>
      <c r="K38" s="629">
        <f t="shared" si="7"/>
        <v>0</v>
      </c>
      <c r="L38" s="628">
        <f t="shared" si="7"/>
        <v>4501.6448358762354</v>
      </c>
      <c r="M38" s="628">
        <f t="shared" si="7"/>
        <v>343.00863527916675</v>
      </c>
      <c r="N38" s="628">
        <f t="shared" si="7"/>
        <v>4219.4448107420685</v>
      </c>
      <c r="O38" s="628">
        <f t="shared" si="7"/>
        <v>8.0914716334829198</v>
      </c>
      <c r="P38" s="628">
        <f t="shared" si="7"/>
        <v>30.650443070000005</v>
      </c>
      <c r="Q38" s="628">
        <f t="shared" si="7"/>
        <v>7.6145609079999979</v>
      </c>
      <c r="R38" s="628">
        <f t="shared" si="7"/>
        <v>1184.8714041982819</v>
      </c>
      <c r="S38" s="628">
        <f t="shared" si="7"/>
        <v>0</v>
      </c>
      <c r="T38" s="628">
        <f t="shared" si="7"/>
        <v>0</v>
      </c>
      <c r="U38" s="628">
        <f t="shared" si="7"/>
        <v>0</v>
      </c>
      <c r="V38" s="628">
        <f t="shared" si="7"/>
        <v>0</v>
      </c>
      <c r="W38" s="630">
        <f t="shared" si="7"/>
        <v>1088.5772740762923</v>
      </c>
      <c r="X38" s="628">
        <f t="shared" si="7"/>
        <v>0</v>
      </c>
      <c r="Y38" s="628">
        <f t="shared" si="7"/>
        <v>0</v>
      </c>
      <c r="Z38" s="628">
        <f t="shared" si="7"/>
        <v>0</v>
      </c>
      <c r="AA38" s="628">
        <f t="shared" si="7"/>
        <v>0</v>
      </c>
      <c r="AB38" s="630">
        <f t="shared" si="7"/>
        <v>0</v>
      </c>
      <c r="AC38" s="629">
        <f t="shared" si="7"/>
        <v>0</v>
      </c>
    </row>
    <row r="39" spans="1:29">
      <c r="A39" s="350"/>
      <c r="B39" s="850"/>
      <c r="C39" s="733" t="s">
        <v>333</v>
      </c>
      <c r="D39" s="631">
        <f>+'Balance Energético (u.físicas)'!D44</f>
        <v>0</v>
      </c>
      <c r="E39" s="631">
        <f>+'Balance Energético (u.físicas)'!E44</f>
        <v>31.74993521668986</v>
      </c>
      <c r="F39" s="631">
        <f>+'Balance Energético (u.físicas)'!F44</f>
        <v>0</v>
      </c>
      <c r="G39" s="631">
        <f>+'Balance Energético (u.físicas)'!G44</f>
        <v>0</v>
      </c>
      <c r="H39" s="631">
        <f>+'Balance Energético (u.físicas)'!H44</f>
        <v>0</v>
      </c>
      <c r="I39" s="631">
        <f>+'Balance Energético (u.físicas)'!I44</f>
        <v>0</v>
      </c>
      <c r="J39" s="631">
        <f>+'Balance Energético (u.físicas)'!J44</f>
        <v>0</v>
      </c>
      <c r="K39" s="632">
        <f>+'Balance Energético (u.físicas)'!K44</f>
        <v>0</v>
      </c>
      <c r="L39" s="631">
        <f>+'Balance Energético (u.físicas)'!L44</f>
        <v>4294.4393893408323</v>
      </c>
      <c r="M39" s="631">
        <f>+'Balance Energético (u.físicas)'!M44</f>
        <v>2.7557399691666671</v>
      </c>
      <c r="N39" s="631">
        <f>+'Balance Energético (u.físicas)'!N44</f>
        <v>4216.7383107420683</v>
      </c>
      <c r="O39" s="631">
        <f>+'Balance Energético (u.físicas)'!O44</f>
        <v>8.0884716334829196</v>
      </c>
      <c r="P39" s="631">
        <f>+'Balance Energético (u.físicas)'!P44</f>
        <v>30.621143070000002</v>
      </c>
      <c r="Q39" s="631">
        <f>+'Balance Energético (u.físicas)'!Q44</f>
        <v>0.02</v>
      </c>
      <c r="R39" s="631">
        <f>+'Balance Energético (u.físicas)'!R44</f>
        <v>0.17</v>
      </c>
      <c r="S39" s="631">
        <f>+'Balance Energético (u.físicas)'!S44</f>
        <v>0</v>
      </c>
      <c r="T39" s="631">
        <f>+'Balance Energético (u.físicas)'!T44</f>
        <v>0</v>
      </c>
      <c r="U39" s="631">
        <f>+'Balance Energético (u.físicas)'!U44</f>
        <v>0</v>
      </c>
      <c r="V39" s="631">
        <f>+'Balance Energético (u.físicas)'!V44</f>
        <v>0</v>
      </c>
      <c r="W39" s="633">
        <f>+'Balance Energético (u.físicas)'!W44</f>
        <v>622.26670507629217</v>
      </c>
      <c r="X39" s="631">
        <f>+'Balance Energético (u.físicas)'!X44</f>
        <v>0</v>
      </c>
      <c r="Y39" s="631">
        <f>+'Balance Energético (u.físicas)'!Y44</f>
        <v>0</v>
      </c>
      <c r="Z39" s="631">
        <f>+'Balance Energético (u.físicas)'!Z44</f>
        <v>0</v>
      </c>
      <c r="AA39" s="631">
        <f>+'Balance Energético (u.físicas)'!AA44</f>
        <v>0</v>
      </c>
      <c r="AB39" s="633">
        <f>+'Balance Energético (u.físicas)'!AB44</f>
        <v>0</v>
      </c>
      <c r="AC39" s="632">
        <f>+'Balance Energético (u.físicas)'!AC44</f>
        <v>0</v>
      </c>
    </row>
    <row r="40" spans="1:29">
      <c r="A40" s="350"/>
      <c r="B40" s="850"/>
      <c r="C40" s="733" t="s">
        <v>45</v>
      </c>
      <c r="D40" s="631">
        <f>+'Balance Energético (u.físicas)'!D45</f>
        <v>0</v>
      </c>
      <c r="E40" s="631">
        <f>+'Balance Energético (u.físicas)'!E45</f>
        <v>0</v>
      </c>
      <c r="F40" s="631">
        <f>+'Balance Energético (u.físicas)'!F45</f>
        <v>0</v>
      </c>
      <c r="G40" s="631">
        <f>+'Balance Energético (u.físicas)'!G45</f>
        <v>0</v>
      </c>
      <c r="H40" s="631">
        <f>+'Balance Energético (u.físicas)'!H45</f>
        <v>0</v>
      </c>
      <c r="I40" s="631">
        <f>+'Balance Energético (u.físicas)'!I45</f>
        <v>0</v>
      </c>
      <c r="J40" s="631">
        <f>+'Balance Energético (u.físicas)'!J45</f>
        <v>0</v>
      </c>
      <c r="K40" s="632">
        <f>+'Balance Energético (u.físicas)'!K45</f>
        <v>0</v>
      </c>
      <c r="L40" s="631">
        <f>+'Balance Energético (u.físicas)'!L45</f>
        <v>37.461857999999999</v>
      </c>
      <c r="M40" s="631">
        <f>+'Balance Energético (u.físicas)'!M45</f>
        <v>0</v>
      </c>
      <c r="N40" s="631">
        <f>+'Balance Energético (u.físicas)'!N45</f>
        <v>0</v>
      </c>
      <c r="O40" s="631">
        <f>+'Balance Energético (u.físicas)'!O45</f>
        <v>0</v>
      </c>
      <c r="P40" s="631">
        <f>+'Balance Energético (u.físicas)'!P45</f>
        <v>0</v>
      </c>
      <c r="Q40" s="631">
        <f>+'Balance Energético (u.físicas)'!Q45</f>
        <v>0</v>
      </c>
      <c r="R40" s="631">
        <f>+'Balance Energético (u.físicas)'!R45</f>
        <v>0</v>
      </c>
      <c r="S40" s="631">
        <f>+'Balance Energético (u.físicas)'!S45</f>
        <v>0</v>
      </c>
      <c r="T40" s="631">
        <f>+'Balance Energético (u.físicas)'!T45</f>
        <v>0</v>
      </c>
      <c r="U40" s="631">
        <f>+'Balance Energético (u.físicas)'!U45</f>
        <v>0</v>
      </c>
      <c r="V40" s="631">
        <f>+'Balance Energético (u.físicas)'!V45</f>
        <v>0</v>
      </c>
      <c r="W40" s="633">
        <f>+'Balance Energético (u.físicas)'!W45</f>
        <v>466.31056899999999</v>
      </c>
      <c r="X40" s="631">
        <f>+'Balance Energético (u.físicas)'!X45</f>
        <v>0</v>
      </c>
      <c r="Y40" s="631">
        <f>+'Balance Energético (u.físicas)'!Y45</f>
        <v>0</v>
      </c>
      <c r="Z40" s="631">
        <f>+'Balance Energético (u.físicas)'!Z45</f>
        <v>0</v>
      </c>
      <c r="AA40" s="631">
        <f>+'Balance Energético (u.físicas)'!AA45</f>
        <v>0</v>
      </c>
      <c r="AB40" s="633">
        <f>+'Balance Energético (u.físicas)'!AB45</f>
        <v>0</v>
      </c>
      <c r="AC40" s="632">
        <f>+'Balance Energético (u.físicas)'!AC45</f>
        <v>0</v>
      </c>
    </row>
    <row r="41" spans="1:29">
      <c r="A41" s="350"/>
      <c r="B41" s="850"/>
      <c r="C41" s="733" t="s">
        <v>46</v>
      </c>
      <c r="D41" s="631">
        <f>+'Balance Energético (u.físicas)'!D46</f>
        <v>0</v>
      </c>
      <c r="E41" s="631">
        <f>+'Balance Energético (u.físicas)'!E46</f>
        <v>1.3233180000000001E-2</v>
      </c>
      <c r="F41" s="631">
        <f>+'Balance Energético (u.físicas)'!F46</f>
        <v>0</v>
      </c>
      <c r="G41" s="631">
        <f>+'Balance Energético (u.físicas)'!G46</f>
        <v>0</v>
      </c>
      <c r="H41" s="631">
        <f>+'Balance Energético (u.físicas)'!H46</f>
        <v>0</v>
      </c>
      <c r="I41" s="631">
        <f>+'Balance Energético (u.físicas)'!I46</f>
        <v>0</v>
      </c>
      <c r="J41" s="631">
        <f>+'Balance Energético (u.físicas)'!J46</f>
        <v>0</v>
      </c>
      <c r="K41" s="632">
        <f>+'Balance Energético (u.físicas)'!K46</f>
        <v>0</v>
      </c>
      <c r="L41" s="631">
        <f>+'Balance Energético (u.físicas)'!L46</f>
        <v>96.27862208730977</v>
      </c>
      <c r="M41" s="631">
        <f>+'Balance Energético (u.físicas)'!M46</f>
        <v>340.2528953100001</v>
      </c>
      <c r="N41" s="631">
        <f>+'Balance Energético (u.físicas)'!N46</f>
        <v>0.47250000000000009</v>
      </c>
      <c r="O41" s="631">
        <f>+'Balance Energético (u.físicas)'!O46</f>
        <v>0</v>
      </c>
      <c r="P41" s="631">
        <f>+'Balance Energético (u.físicas)'!P46</f>
        <v>2.6899999999999993E-2</v>
      </c>
      <c r="Q41" s="631">
        <f>+'Balance Energético (u.físicas)'!Q46</f>
        <v>0</v>
      </c>
      <c r="R41" s="631">
        <f>+'Balance Energético (u.físicas)'!R46</f>
        <v>0</v>
      </c>
      <c r="S41" s="631">
        <f>+'Balance Energético (u.físicas)'!S46</f>
        <v>0</v>
      </c>
      <c r="T41" s="631">
        <f>+'Balance Energético (u.físicas)'!T46</f>
        <v>0</v>
      </c>
      <c r="U41" s="631">
        <f>+'Balance Energético (u.físicas)'!U46</f>
        <v>0</v>
      </c>
      <c r="V41" s="631">
        <f>+'Balance Energético (u.físicas)'!V46</f>
        <v>0</v>
      </c>
      <c r="W41" s="633">
        <f>+'Balance Energético (u.físicas)'!W46</f>
        <v>0</v>
      </c>
      <c r="X41" s="631">
        <f>+'Balance Energético (u.físicas)'!X46</f>
        <v>0</v>
      </c>
      <c r="Y41" s="631">
        <f>+'Balance Energético (u.físicas)'!Y46</f>
        <v>0</v>
      </c>
      <c r="Z41" s="631">
        <f>+'Balance Energético (u.físicas)'!Z46</f>
        <v>0</v>
      </c>
      <c r="AA41" s="631">
        <f>+'Balance Energético (u.físicas)'!AA46</f>
        <v>0</v>
      </c>
      <c r="AB41" s="633">
        <f>+'Balance Energético (u.físicas)'!AB46</f>
        <v>0</v>
      </c>
      <c r="AC41" s="632">
        <f>+'Balance Energético (u.físicas)'!AC46</f>
        <v>0</v>
      </c>
    </row>
    <row r="42" spans="1:29">
      <c r="A42" s="350"/>
      <c r="B42" s="850"/>
      <c r="C42" s="733" t="s">
        <v>47</v>
      </c>
      <c r="D42" s="631">
        <f>+'Balance Energético (u.físicas)'!D47</f>
        <v>0</v>
      </c>
      <c r="E42" s="631">
        <f>+'Balance Energético (u.físicas)'!E47</f>
        <v>0</v>
      </c>
      <c r="F42" s="631">
        <f>+'Balance Energético (u.físicas)'!F47</f>
        <v>0</v>
      </c>
      <c r="G42" s="631">
        <f>+'Balance Energético (u.físicas)'!G47</f>
        <v>0</v>
      </c>
      <c r="H42" s="631">
        <f>+'Balance Energético (u.físicas)'!H47</f>
        <v>0</v>
      </c>
      <c r="I42" s="631">
        <f>+'Balance Energético (u.físicas)'!I47</f>
        <v>0</v>
      </c>
      <c r="J42" s="631">
        <f>+'Balance Energético (u.físicas)'!J47</f>
        <v>0</v>
      </c>
      <c r="K42" s="632">
        <f>+'Balance Energético (u.físicas)'!K47</f>
        <v>0</v>
      </c>
      <c r="L42" s="631">
        <f>+'Balance Energético (u.físicas)'!L47</f>
        <v>73.464966448093548</v>
      </c>
      <c r="M42" s="631">
        <f>+'Balance Energético (u.físicas)'!M47</f>
        <v>0</v>
      </c>
      <c r="N42" s="631">
        <f>+'Balance Energético (u.físicas)'!N47</f>
        <v>2.2339999999999995</v>
      </c>
      <c r="O42" s="631">
        <f>+'Balance Energético (u.físicas)'!O47</f>
        <v>3.0000000000000005E-3</v>
      </c>
      <c r="P42" s="631">
        <f>+'Balance Energético (u.físicas)'!P47</f>
        <v>2.4000000000000002E-3</v>
      </c>
      <c r="Q42" s="631">
        <f>+'Balance Energético (u.físicas)'!Q47</f>
        <v>7.5945609079999983</v>
      </c>
      <c r="R42" s="631">
        <f>+'Balance Energético (u.físicas)'!R47</f>
        <v>1184.7014041982818</v>
      </c>
      <c r="S42" s="631">
        <f>+'Balance Energético (u.físicas)'!S47</f>
        <v>0</v>
      </c>
      <c r="T42" s="631">
        <f>+'Balance Energético (u.físicas)'!T47</f>
        <v>0</v>
      </c>
      <c r="U42" s="631">
        <f>+'Balance Energético (u.físicas)'!U47</f>
        <v>0</v>
      </c>
      <c r="V42" s="631">
        <f>+'Balance Energético (u.físicas)'!V47</f>
        <v>0</v>
      </c>
      <c r="W42" s="633">
        <f>+'Balance Energético (u.físicas)'!W47</f>
        <v>0</v>
      </c>
      <c r="X42" s="631">
        <f>+'Balance Energético (u.físicas)'!X47</f>
        <v>0</v>
      </c>
      <c r="Y42" s="631">
        <f>+'Balance Energético (u.físicas)'!Y47</f>
        <v>0</v>
      </c>
      <c r="Z42" s="631">
        <f>+'Balance Energético (u.físicas)'!Z47</f>
        <v>0</v>
      </c>
      <c r="AA42" s="631">
        <f>+'Balance Energético (u.físicas)'!AA47</f>
        <v>0</v>
      </c>
      <c r="AB42" s="633">
        <f>+'Balance Energético (u.físicas)'!AB47</f>
        <v>0</v>
      </c>
      <c r="AC42" s="632">
        <f>+'Balance Energético (u.físicas)'!AC47</f>
        <v>0</v>
      </c>
    </row>
    <row r="43" spans="1:29" ht="24.75" customHeight="1">
      <c r="A43" s="350"/>
      <c r="B43" s="850"/>
      <c r="C43" s="735" t="s">
        <v>286</v>
      </c>
      <c r="D43" s="628">
        <f>SUM(D44:D46)</f>
        <v>0</v>
      </c>
      <c r="E43" s="628">
        <f t="shared" ref="E43:AC43" si="8">SUM(E44:E46)</f>
        <v>700.56697665732918</v>
      </c>
      <c r="F43" s="628">
        <f t="shared" si="8"/>
        <v>4.5582197925132739</v>
      </c>
      <c r="G43" s="628">
        <f t="shared" si="8"/>
        <v>5354.2530401146305</v>
      </c>
      <c r="H43" s="628">
        <f t="shared" si="8"/>
        <v>0</v>
      </c>
      <c r="I43" s="628">
        <f t="shared" si="8"/>
        <v>0</v>
      </c>
      <c r="J43" s="628">
        <f t="shared" si="8"/>
        <v>0</v>
      </c>
      <c r="K43" s="629">
        <f t="shared" si="8"/>
        <v>29.266479</v>
      </c>
      <c r="L43" s="628">
        <f t="shared" si="8"/>
        <v>277.84208286903919</v>
      </c>
      <c r="M43" s="628">
        <f t="shared" si="8"/>
        <v>9.5450000000000017</v>
      </c>
      <c r="N43" s="628">
        <f t="shared" si="8"/>
        <v>0</v>
      </c>
      <c r="O43" s="628">
        <f t="shared" si="8"/>
        <v>151.35063669662344</v>
      </c>
      <c r="P43" s="628">
        <f t="shared" si="8"/>
        <v>852.97299452289849</v>
      </c>
      <c r="Q43" s="628">
        <f t="shared" si="8"/>
        <v>0.22530651872399446</v>
      </c>
      <c r="R43" s="628">
        <f t="shared" si="8"/>
        <v>44.853653999999992</v>
      </c>
      <c r="S43" s="628">
        <f t="shared" si="8"/>
        <v>0</v>
      </c>
      <c r="T43" s="628">
        <f t="shared" si="8"/>
        <v>0</v>
      </c>
      <c r="U43" s="628">
        <f t="shared" si="8"/>
        <v>0</v>
      </c>
      <c r="V43" s="628">
        <f t="shared" si="8"/>
        <v>0</v>
      </c>
      <c r="W43" s="630">
        <f t="shared" si="8"/>
        <v>23548.615754576116</v>
      </c>
      <c r="X43" s="628">
        <f t="shared" si="8"/>
        <v>0</v>
      </c>
      <c r="Y43" s="628">
        <f t="shared" si="8"/>
        <v>0</v>
      </c>
      <c r="Z43" s="628">
        <f t="shared" si="8"/>
        <v>0</v>
      </c>
      <c r="AA43" s="628">
        <f t="shared" si="8"/>
        <v>0</v>
      </c>
      <c r="AB43" s="630">
        <f t="shared" si="8"/>
        <v>16.975317086956522</v>
      </c>
      <c r="AC43" s="629">
        <f t="shared" si="8"/>
        <v>0</v>
      </c>
    </row>
    <row r="44" spans="1:29">
      <c r="A44" s="350"/>
      <c r="B44" s="850"/>
      <c r="C44" s="733" t="s">
        <v>59</v>
      </c>
      <c r="D44" s="631">
        <f>+'Balance Energético (u.físicas)'!D49</f>
        <v>0</v>
      </c>
      <c r="E44" s="631">
        <f>+'Balance Energético (u.físicas)'!E49</f>
        <v>148.9919350583441</v>
      </c>
      <c r="F44" s="631">
        <f>+'Balance Energético (u.físicas)'!F49</f>
        <v>0.13185714285714287</v>
      </c>
      <c r="G44" s="631">
        <f>+'Balance Energético (u.físicas)'!G49</f>
        <v>16.148874252575514</v>
      </c>
      <c r="H44" s="631">
        <f>+'Balance Energético (u.físicas)'!H49</f>
        <v>0</v>
      </c>
      <c r="I44" s="631">
        <f>+'Balance Energético (u.físicas)'!I49</f>
        <v>0</v>
      </c>
      <c r="J44" s="631">
        <f>+'Balance Energético (u.físicas)'!J49</f>
        <v>0</v>
      </c>
      <c r="K44" s="632">
        <f>+'Balance Energético (u.físicas)'!K49</f>
        <v>29.266479</v>
      </c>
      <c r="L44" s="631">
        <f>+'Balance Energético (u.físicas)'!L49</f>
        <v>264.55580344865763</v>
      </c>
      <c r="M44" s="631">
        <f>+'Balance Energético (u.físicas)'!M49</f>
        <v>6.3410000000000002</v>
      </c>
      <c r="N44" s="631">
        <f>+'Balance Energético (u.físicas)'!N49</f>
        <v>0</v>
      </c>
      <c r="O44" s="631">
        <f>+'Balance Energético (u.físicas)'!O49</f>
        <v>1.6520691187297272</v>
      </c>
      <c r="P44" s="631">
        <f>+'Balance Energético (u.físicas)'!P49</f>
        <v>91.547434329999987</v>
      </c>
      <c r="Q44" s="631">
        <f>+'Balance Energético (u.físicas)'!Q49</f>
        <v>0.22530651872399446</v>
      </c>
      <c r="R44" s="631">
        <f>+'Balance Energético (u.físicas)'!R49</f>
        <v>7.7276539999999967</v>
      </c>
      <c r="S44" s="631">
        <f>+'Balance Energético (u.físicas)'!S49</f>
        <v>0</v>
      </c>
      <c r="T44" s="631">
        <f>+'Balance Energético (u.físicas)'!T49</f>
        <v>0</v>
      </c>
      <c r="U44" s="631">
        <f>+'Balance Energético (u.físicas)'!U49</f>
        <v>0</v>
      </c>
      <c r="V44" s="631">
        <f>+'Balance Energético (u.físicas)'!V49</f>
        <v>0</v>
      </c>
      <c r="W44" s="633">
        <f>+'Balance Energético (u.físicas)'!W49</f>
        <v>9769.2803748671104</v>
      </c>
      <c r="X44" s="631">
        <f>+'Balance Energético (u.físicas)'!X49</f>
        <v>0</v>
      </c>
      <c r="Y44" s="631">
        <f>+'Balance Energético (u.físicas)'!Y49</f>
        <v>0</v>
      </c>
      <c r="Z44" s="631">
        <f>+'Balance Energético (u.físicas)'!Z49</f>
        <v>0</v>
      </c>
      <c r="AA44" s="631">
        <f>+'Balance Energético (u.físicas)'!AA49</f>
        <v>0</v>
      </c>
      <c r="AB44" s="633">
        <f>+'Balance Energético (u.físicas)'!AB49</f>
        <v>10.540729434782609</v>
      </c>
      <c r="AC44" s="632">
        <f>+'Balance Energético (u.físicas)'!AC49</f>
        <v>0</v>
      </c>
    </row>
    <row r="45" spans="1:29">
      <c r="A45" s="350"/>
      <c r="B45" s="850"/>
      <c r="C45" s="733" t="s">
        <v>60</v>
      </c>
      <c r="D45" s="631">
        <f>+'Balance Energético (u.físicas)'!D50</f>
        <v>0</v>
      </c>
      <c r="E45" s="631">
        <f>+'Balance Energético (u.físicas)'!E50</f>
        <v>26.198229873381866</v>
      </c>
      <c r="F45" s="631">
        <f>+'Balance Energético (u.físicas)'!F50</f>
        <v>4.4263626496561308</v>
      </c>
      <c r="G45" s="631">
        <f>+'Balance Energético (u.físicas)'!G50</f>
        <v>20.1345249074508</v>
      </c>
      <c r="H45" s="631">
        <f>+'Balance Energético (u.físicas)'!H50</f>
        <v>0</v>
      </c>
      <c r="I45" s="631">
        <f>+'Balance Energético (u.físicas)'!I50</f>
        <v>0</v>
      </c>
      <c r="J45" s="631">
        <f>+'Balance Energético (u.físicas)'!J50</f>
        <v>0</v>
      </c>
      <c r="K45" s="632">
        <f>+'Balance Energético (u.físicas)'!K50</f>
        <v>0</v>
      </c>
      <c r="L45" s="631">
        <f>+'Balance Energético (u.físicas)'!L50</f>
        <v>13.286279420381581</v>
      </c>
      <c r="M45" s="631">
        <f>+'Balance Energético (u.físicas)'!M50</f>
        <v>3.2040000000000006</v>
      </c>
      <c r="N45" s="631">
        <f>+'Balance Energético (u.físicas)'!N50</f>
        <v>0</v>
      </c>
      <c r="O45" s="631">
        <f>+'Balance Energético (u.físicas)'!O50</f>
        <v>1.1380460000000003</v>
      </c>
      <c r="P45" s="631">
        <f>+'Balance Energético (u.físicas)'!P50</f>
        <v>18.023121999999997</v>
      </c>
      <c r="Q45" s="631">
        <f>+'Balance Energético (u.físicas)'!Q50</f>
        <v>0</v>
      </c>
      <c r="R45" s="631">
        <f>+'Balance Energético (u.físicas)'!R50</f>
        <v>37.125999999999998</v>
      </c>
      <c r="S45" s="631">
        <f>+'Balance Energético (u.físicas)'!S50</f>
        <v>0</v>
      </c>
      <c r="T45" s="631">
        <f>+'Balance Energético (u.físicas)'!T50</f>
        <v>0</v>
      </c>
      <c r="U45" s="631">
        <f>+'Balance Energético (u.físicas)'!U50</f>
        <v>0</v>
      </c>
      <c r="V45" s="631">
        <f>+'Balance Energético (u.físicas)'!V50</f>
        <v>0</v>
      </c>
      <c r="W45" s="633">
        <f>+'Balance Energético (u.físicas)'!W50</f>
        <v>2024.3044025459999</v>
      </c>
      <c r="X45" s="631">
        <f>+'Balance Energético (u.físicas)'!X50</f>
        <v>0</v>
      </c>
      <c r="Y45" s="631">
        <f>+'Balance Energético (u.físicas)'!Y50</f>
        <v>0</v>
      </c>
      <c r="Z45" s="631">
        <f>+'Balance Energético (u.físicas)'!Z50</f>
        <v>0</v>
      </c>
      <c r="AA45" s="631">
        <f>+'Balance Energético (u.físicas)'!AA50</f>
        <v>0</v>
      </c>
      <c r="AB45" s="633">
        <f>+'Balance Energético (u.físicas)'!AB50</f>
        <v>0.78206299999999995</v>
      </c>
      <c r="AC45" s="632">
        <f>+'Balance Energético (u.físicas)'!AC50</f>
        <v>0</v>
      </c>
    </row>
    <row r="46" spans="1:29">
      <c r="A46" s="350"/>
      <c r="B46" s="850"/>
      <c r="C46" s="733" t="s">
        <v>61</v>
      </c>
      <c r="D46" s="631">
        <f>+'Balance Energético (u.físicas)'!D51</f>
        <v>0</v>
      </c>
      <c r="E46" s="631">
        <f>+'Balance Energético (u.físicas)'!E51</f>
        <v>525.37681172560315</v>
      </c>
      <c r="F46" s="631">
        <f>+'Balance Energético (u.físicas)'!F51</f>
        <v>0</v>
      </c>
      <c r="G46" s="631">
        <f>+'Balance Energético (u.físicas)'!G51</f>
        <v>5317.9696409546041</v>
      </c>
      <c r="H46" s="631">
        <f>+'Balance Energético (u.físicas)'!H51</f>
        <v>0</v>
      </c>
      <c r="I46" s="631">
        <f>+'Balance Energético (u.físicas)'!I51</f>
        <v>0</v>
      </c>
      <c r="J46" s="631">
        <f>+'Balance Energético (u.físicas)'!J51</f>
        <v>0</v>
      </c>
      <c r="K46" s="632">
        <f>+'Balance Energético (u.físicas)'!K51</f>
        <v>0</v>
      </c>
      <c r="L46" s="631">
        <f>+'Balance Energético (u.físicas)'!L51</f>
        <v>0</v>
      </c>
      <c r="M46" s="631">
        <f>+'Balance Energético (u.físicas)'!M51</f>
        <v>0</v>
      </c>
      <c r="N46" s="631">
        <f>+'Balance Energético (u.físicas)'!N51</f>
        <v>0</v>
      </c>
      <c r="O46" s="631">
        <f>+'Balance Energético (u.físicas)'!O51</f>
        <v>148.56052157789372</v>
      </c>
      <c r="P46" s="631">
        <f>+'Balance Energético (u.físicas)'!P51</f>
        <v>743.40243819289844</v>
      </c>
      <c r="Q46" s="631">
        <f>+'Balance Energético (u.físicas)'!Q51</f>
        <v>0</v>
      </c>
      <c r="R46" s="631">
        <f>+'Balance Energético (u.físicas)'!R51</f>
        <v>0</v>
      </c>
      <c r="S46" s="631">
        <f>+'Balance Energético (u.físicas)'!S51</f>
        <v>0</v>
      </c>
      <c r="T46" s="631">
        <f>+'Balance Energético (u.físicas)'!T51</f>
        <v>0</v>
      </c>
      <c r="U46" s="631">
        <f>+'Balance Energético (u.físicas)'!U51</f>
        <v>0</v>
      </c>
      <c r="V46" s="631">
        <f>+'Balance Energético (u.físicas)'!V51</f>
        <v>0</v>
      </c>
      <c r="W46" s="633">
        <f>+'Balance Energético (u.físicas)'!W51</f>
        <v>11755.030977163004</v>
      </c>
      <c r="X46" s="631">
        <f>+'Balance Energético (u.físicas)'!X51</f>
        <v>0</v>
      </c>
      <c r="Y46" s="631">
        <f>+'Balance Energético (u.físicas)'!Y51</f>
        <v>0</v>
      </c>
      <c r="Z46" s="631">
        <f>+'Balance Energético (u.físicas)'!Z51</f>
        <v>0</v>
      </c>
      <c r="AA46" s="631">
        <f>+'Balance Energético (u.físicas)'!AA51</f>
        <v>0</v>
      </c>
      <c r="AB46" s="633">
        <f>+'Balance Energético (u.físicas)'!AB51</f>
        <v>5.6525246521739128</v>
      </c>
      <c r="AC46" s="632">
        <f>+'Balance Energético (u.físicas)'!AC51</f>
        <v>0</v>
      </c>
    </row>
    <row r="47" spans="1:29" ht="13.5" thickBot="1">
      <c r="A47" s="350"/>
      <c r="B47" s="851"/>
      <c r="C47" s="736" t="s">
        <v>287</v>
      </c>
      <c r="D47" s="634">
        <v>0</v>
      </c>
      <c r="E47" s="634">
        <v>0</v>
      </c>
      <c r="F47" s="634">
        <v>0</v>
      </c>
      <c r="G47" s="634">
        <v>0</v>
      </c>
      <c r="H47" s="634">
        <v>0</v>
      </c>
      <c r="I47" s="634">
        <v>0</v>
      </c>
      <c r="J47" s="634">
        <v>0</v>
      </c>
      <c r="K47" s="635">
        <v>0</v>
      </c>
      <c r="L47" s="634">
        <v>0</v>
      </c>
      <c r="M47" s="634">
        <v>0</v>
      </c>
      <c r="N47" s="634">
        <v>0</v>
      </c>
      <c r="O47" s="634">
        <v>0</v>
      </c>
      <c r="P47" s="634">
        <v>0</v>
      </c>
      <c r="Q47" s="634">
        <v>0</v>
      </c>
      <c r="R47" s="634">
        <v>0</v>
      </c>
      <c r="S47" s="634">
        <v>0</v>
      </c>
      <c r="T47" s="634">
        <v>0</v>
      </c>
      <c r="U47" s="634">
        <v>0</v>
      </c>
      <c r="V47" s="635">
        <f>+'Balance Energético (u.físicas)'!V52</f>
        <v>167.09657061530484</v>
      </c>
      <c r="W47" s="635">
        <v>0</v>
      </c>
      <c r="X47" s="634">
        <v>0</v>
      </c>
      <c r="Y47" s="634">
        <v>0</v>
      </c>
      <c r="Z47" s="634">
        <v>0</v>
      </c>
      <c r="AA47" s="635">
        <v>0</v>
      </c>
      <c r="AB47" s="635">
        <v>0</v>
      </c>
      <c r="AC47" s="635">
        <v>0</v>
      </c>
    </row>
    <row r="48" spans="1:29">
      <c r="B48" s="368"/>
      <c r="C48" s="368"/>
      <c r="D48" s="578" t="s">
        <v>195</v>
      </c>
      <c r="E48" s="368"/>
      <c r="F48" s="368"/>
      <c r="G48" s="368"/>
      <c r="H48" s="368"/>
      <c r="I48" s="368"/>
      <c r="J48" s="368"/>
      <c r="K48" s="368"/>
      <c r="L48" s="368"/>
      <c r="M48" s="368"/>
      <c r="N48" s="368"/>
      <c r="O48" s="368"/>
      <c r="P48" s="368"/>
      <c r="Q48" s="368"/>
      <c r="R48" s="368"/>
      <c r="S48" s="368"/>
      <c r="T48" s="368"/>
      <c r="U48" s="368"/>
      <c r="V48" s="368"/>
      <c r="W48" s="368"/>
      <c r="X48" s="368"/>
      <c r="Y48" s="368"/>
      <c r="Z48" s="368"/>
      <c r="AA48" s="368"/>
      <c r="AB48" s="368"/>
      <c r="AC48" s="368"/>
    </row>
    <row r="49" spans="2:29" ht="31.5" customHeight="1">
      <c r="B49" s="368"/>
      <c r="C49" s="368"/>
      <c r="D49" s="857" t="s">
        <v>7</v>
      </c>
      <c r="E49" s="857"/>
      <c r="F49" s="857"/>
      <c r="G49" s="857"/>
      <c r="H49" s="857"/>
      <c r="I49" s="857"/>
      <c r="J49" s="857"/>
      <c r="K49" s="857"/>
      <c r="L49" s="857"/>
      <c r="M49" s="857"/>
      <c r="N49" s="857"/>
      <c r="O49" s="857"/>
      <c r="P49" s="857"/>
      <c r="Q49" s="368"/>
      <c r="R49" s="368"/>
      <c r="S49" s="368"/>
      <c r="T49" s="368"/>
      <c r="U49" s="368"/>
      <c r="V49" s="368"/>
      <c r="W49" s="368"/>
      <c r="X49" s="368"/>
      <c r="Y49" s="368"/>
      <c r="Z49" s="368"/>
      <c r="AA49" s="368"/>
      <c r="AB49" s="368"/>
      <c r="AC49" s="368"/>
    </row>
    <row r="50" spans="2:29" ht="16.5" customHeight="1">
      <c r="B50" s="368"/>
      <c r="C50" s="368"/>
      <c r="D50" s="858" t="s">
        <v>291</v>
      </c>
      <c r="E50" s="858"/>
      <c r="F50" s="858"/>
      <c r="G50" s="858"/>
      <c r="H50" s="858"/>
      <c r="I50" s="858"/>
      <c r="J50" s="858"/>
      <c r="K50" s="858"/>
      <c r="L50" s="858"/>
      <c r="M50" s="858"/>
      <c r="N50" s="858"/>
      <c r="O50" s="858"/>
      <c r="P50" s="858"/>
      <c r="Q50" s="368"/>
      <c r="R50" s="368"/>
      <c r="S50" s="368"/>
      <c r="T50" s="368"/>
      <c r="U50" s="368"/>
      <c r="V50" s="368"/>
      <c r="W50" s="368"/>
      <c r="X50" s="368"/>
      <c r="Y50" s="368"/>
      <c r="Z50" s="368"/>
      <c r="AA50" s="368"/>
      <c r="AB50" s="368"/>
      <c r="AC50" s="368"/>
    </row>
    <row r="51" spans="2:29" ht="48.75" customHeight="1">
      <c r="B51" s="368"/>
      <c r="C51" s="368"/>
      <c r="D51" s="862" t="s">
        <v>294</v>
      </c>
      <c r="E51" s="862"/>
      <c r="F51" s="862"/>
      <c r="G51" s="862"/>
      <c r="H51" s="862"/>
      <c r="I51" s="862"/>
      <c r="J51" s="862"/>
      <c r="K51" s="862"/>
      <c r="L51" s="862"/>
      <c r="M51" s="862"/>
      <c r="N51" s="862"/>
      <c r="O51" s="862"/>
      <c r="P51" s="862"/>
      <c r="Q51" s="368"/>
      <c r="R51" s="368"/>
      <c r="S51" s="368"/>
      <c r="T51" s="368"/>
      <c r="U51" s="368"/>
      <c r="V51" s="368"/>
      <c r="W51" s="368"/>
      <c r="X51" s="368"/>
      <c r="Y51" s="368"/>
      <c r="Z51" s="368"/>
      <c r="AA51" s="368"/>
      <c r="AB51" s="368"/>
      <c r="AC51" s="368"/>
    </row>
    <row r="52" spans="2:29" ht="32.25" customHeight="1">
      <c r="B52" s="368"/>
      <c r="C52" s="368"/>
      <c r="D52" s="862" t="s">
        <v>4</v>
      </c>
      <c r="E52" s="862"/>
      <c r="F52" s="862"/>
      <c r="G52" s="862"/>
      <c r="H52" s="862"/>
      <c r="I52" s="862"/>
      <c r="J52" s="862"/>
      <c r="K52" s="862"/>
      <c r="L52" s="862"/>
      <c r="M52" s="862"/>
      <c r="N52" s="862"/>
      <c r="O52" s="862"/>
      <c r="P52" s="862"/>
      <c r="Q52" s="368"/>
      <c r="R52" s="368"/>
      <c r="S52" s="368"/>
      <c r="T52" s="368"/>
      <c r="U52" s="368"/>
      <c r="V52" s="368"/>
      <c r="W52" s="368"/>
      <c r="X52" s="368"/>
      <c r="Y52" s="368"/>
      <c r="Z52" s="368"/>
      <c r="AA52" s="368"/>
      <c r="AB52" s="368"/>
      <c r="AC52" s="368"/>
    </row>
    <row r="53" spans="2:29" ht="45" customHeight="1">
      <c r="B53" s="368"/>
      <c r="C53" s="368"/>
      <c r="D53" s="862" t="s">
        <v>8</v>
      </c>
      <c r="E53" s="862"/>
      <c r="F53" s="862"/>
      <c r="G53" s="862"/>
      <c r="H53" s="862"/>
      <c r="I53" s="862"/>
      <c r="J53" s="862"/>
      <c r="K53" s="862"/>
      <c r="L53" s="862"/>
      <c r="M53" s="862"/>
      <c r="N53" s="862"/>
      <c r="O53" s="862"/>
      <c r="P53" s="862"/>
      <c r="Q53" s="368"/>
      <c r="R53" s="368"/>
      <c r="S53" s="368"/>
      <c r="T53" s="368"/>
      <c r="U53" s="368"/>
      <c r="V53" s="368"/>
      <c r="W53" s="368"/>
      <c r="X53" s="368"/>
      <c r="Y53" s="368"/>
      <c r="Z53" s="368"/>
      <c r="AA53" s="368"/>
      <c r="AB53" s="368"/>
      <c r="AC53" s="368"/>
    </row>
    <row r="54" spans="2:29" ht="45.75" customHeight="1">
      <c r="B54" s="368"/>
      <c r="C54" s="368"/>
      <c r="D54" s="862" t="s">
        <v>0</v>
      </c>
      <c r="E54" s="862"/>
      <c r="F54" s="862"/>
      <c r="G54" s="862"/>
      <c r="H54" s="862"/>
      <c r="I54" s="862"/>
      <c r="J54" s="862"/>
      <c r="K54" s="862"/>
      <c r="L54" s="862"/>
      <c r="M54" s="862"/>
      <c r="N54" s="862"/>
      <c r="O54" s="862"/>
      <c r="P54" s="862"/>
      <c r="Q54" s="368"/>
      <c r="R54" s="368"/>
      <c r="S54" s="368"/>
      <c r="T54" s="368"/>
      <c r="U54" s="368"/>
      <c r="V54" s="368"/>
      <c r="W54" s="368"/>
      <c r="X54" s="368"/>
      <c r="Y54" s="368"/>
      <c r="Z54" s="368"/>
      <c r="AA54" s="368"/>
      <c r="AB54" s="368"/>
      <c r="AC54" s="368"/>
    </row>
    <row r="55" spans="2:29" ht="17.25" customHeight="1">
      <c r="B55" s="368"/>
      <c r="C55" s="368"/>
      <c r="D55" s="858" t="s">
        <v>1</v>
      </c>
      <c r="E55" s="858"/>
      <c r="F55" s="858"/>
      <c r="G55" s="858"/>
      <c r="H55" s="858"/>
      <c r="I55" s="858"/>
      <c r="J55" s="858"/>
      <c r="K55" s="858"/>
      <c r="L55" s="858"/>
      <c r="M55" s="858"/>
      <c r="N55" s="858"/>
      <c r="O55" s="858"/>
      <c r="P55" s="858"/>
      <c r="Q55" s="368"/>
      <c r="R55" s="368"/>
      <c r="S55" s="368"/>
      <c r="T55" s="368"/>
      <c r="U55" s="368"/>
      <c r="V55" s="368"/>
      <c r="W55" s="368"/>
      <c r="X55" s="368"/>
      <c r="Y55" s="368"/>
      <c r="Z55" s="368"/>
      <c r="AA55" s="368"/>
      <c r="AB55" s="368"/>
      <c r="AC55" s="368"/>
    </row>
    <row r="56" spans="2:29" ht="15.75" customHeight="1">
      <c r="B56" s="368"/>
      <c r="C56" s="368"/>
      <c r="D56" s="858" t="s">
        <v>2</v>
      </c>
      <c r="E56" s="858"/>
      <c r="F56" s="858"/>
      <c r="G56" s="858"/>
      <c r="H56" s="858"/>
      <c r="I56" s="858"/>
      <c r="J56" s="858"/>
      <c r="K56" s="858"/>
      <c r="L56" s="858"/>
      <c r="M56" s="858"/>
      <c r="N56" s="858"/>
      <c r="O56" s="858"/>
      <c r="P56" s="858"/>
      <c r="Q56" s="368"/>
      <c r="R56" s="368"/>
      <c r="S56" s="368"/>
      <c r="T56" s="368"/>
      <c r="U56" s="368"/>
      <c r="V56" s="368"/>
      <c r="W56" s="368"/>
      <c r="X56" s="368"/>
      <c r="Y56" s="368"/>
      <c r="Z56" s="368"/>
      <c r="AA56" s="368"/>
      <c r="AB56" s="368"/>
      <c r="AC56" s="368"/>
    </row>
    <row r="57" spans="2:29">
      <c r="B57" s="368"/>
      <c r="C57" s="368"/>
      <c r="D57" s="861" t="s">
        <v>9</v>
      </c>
      <c r="E57" s="861"/>
      <c r="F57" s="861"/>
      <c r="G57" s="861"/>
      <c r="H57" s="861"/>
      <c r="I57" s="861"/>
      <c r="J57" s="861"/>
      <c r="K57" s="861"/>
      <c r="L57" s="861"/>
      <c r="M57" s="861"/>
      <c r="N57" s="861"/>
      <c r="O57" s="861"/>
      <c r="P57" s="861"/>
      <c r="Q57" s="368"/>
      <c r="R57" s="368"/>
      <c r="S57" s="368"/>
      <c r="T57" s="368"/>
      <c r="U57" s="368"/>
      <c r="V57" s="368"/>
      <c r="W57" s="368"/>
      <c r="X57" s="368"/>
      <c r="Y57" s="368"/>
      <c r="Z57" s="368"/>
      <c r="AA57" s="368"/>
      <c r="AB57" s="368"/>
      <c r="AC57" s="368"/>
    </row>
    <row r="58" spans="2:29" ht="15.75" customHeight="1">
      <c r="B58" s="368"/>
      <c r="C58" s="368"/>
      <c r="D58" s="861" t="s">
        <v>3</v>
      </c>
      <c r="E58" s="861"/>
      <c r="F58" s="861"/>
      <c r="G58" s="861"/>
      <c r="H58" s="861"/>
      <c r="I58" s="861"/>
      <c r="J58" s="861"/>
      <c r="K58" s="861"/>
      <c r="L58" s="861"/>
      <c r="M58" s="861"/>
      <c r="N58" s="861"/>
      <c r="O58" s="861"/>
      <c r="P58" s="861"/>
      <c r="Q58" s="368"/>
      <c r="R58" s="368"/>
      <c r="S58" s="368"/>
      <c r="T58" s="368"/>
      <c r="U58" s="368"/>
      <c r="V58" s="368"/>
      <c r="W58" s="368"/>
      <c r="X58" s="368"/>
      <c r="Y58" s="368"/>
      <c r="Z58" s="368"/>
      <c r="AA58" s="368"/>
      <c r="AB58" s="368"/>
      <c r="AC58" s="368"/>
    </row>
    <row r="59" spans="2:29" ht="32.25" customHeight="1">
      <c r="B59" s="368"/>
      <c r="C59" s="368"/>
      <c r="D59" s="862" t="s">
        <v>5</v>
      </c>
      <c r="E59" s="862"/>
      <c r="F59" s="862"/>
      <c r="G59" s="862"/>
      <c r="H59" s="862"/>
      <c r="I59" s="862"/>
      <c r="J59" s="862"/>
      <c r="K59" s="862"/>
      <c r="L59" s="862"/>
      <c r="M59" s="862"/>
      <c r="N59" s="862"/>
      <c r="O59" s="862"/>
      <c r="P59" s="862"/>
      <c r="Q59" s="368"/>
      <c r="R59" s="368"/>
      <c r="S59" s="368"/>
      <c r="T59" s="368"/>
      <c r="U59" s="368"/>
      <c r="V59" s="368"/>
      <c r="W59" s="368"/>
      <c r="X59" s="368"/>
      <c r="Y59" s="368"/>
      <c r="Z59" s="368"/>
      <c r="AA59" s="368"/>
      <c r="AB59" s="368"/>
      <c r="AC59" s="368"/>
    </row>
    <row r="60" spans="2:29" ht="27" customHeight="1">
      <c r="B60" s="368"/>
      <c r="C60" s="368"/>
      <c r="D60" s="863" t="s">
        <v>6</v>
      </c>
      <c r="E60" s="863"/>
      <c r="F60" s="863"/>
      <c r="G60" s="863"/>
      <c r="H60" s="863"/>
      <c r="I60" s="863"/>
      <c r="J60" s="863"/>
      <c r="K60" s="863"/>
      <c r="L60" s="863"/>
      <c r="M60" s="863"/>
      <c r="N60" s="863"/>
      <c r="O60" s="863"/>
      <c r="P60" s="863"/>
      <c r="Q60" s="368"/>
      <c r="R60" s="368"/>
      <c r="S60" s="368"/>
      <c r="T60" s="368"/>
      <c r="U60" s="368"/>
      <c r="V60" s="368"/>
      <c r="W60" s="368"/>
      <c r="X60" s="368"/>
      <c r="Y60" s="368"/>
      <c r="Z60" s="368"/>
      <c r="AA60" s="368"/>
      <c r="AB60" s="368"/>
      <c r="AC60" s="368"/>
    </row>
    <row r="61" spans="2:29">
      <c r="D61" s="358"/>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row>
    <row r="62" spans="2:29">
      <c r="D62" s="436"/>
      <c r="E62" s="436"/>
      <c r="F62" s="436"/>
      <c r="G62" s="436"/>
      <c r="H62" s="436"/>
      <c r="I62" s="436"/>
      <c r="J62" s="436"/>
      <c r="K62" s="436"/>
      <c r="L62" s="436"/>
      <c r="M62" s="436"/>
      <c r="N62" s="436"/>
      <c r="O62" s="436"/>
      <c r="P62" s="436"/>
      <c r="Q62" s="436"/>
      <c r="R62" s="436"/>
      <c r="S62" s="436"/>
      <c r="T62" s="436"/>
      <c r="U62" s="436"/>
      <c r="V62" s="436"/>
      <c r="W62" s="436"/>
      <c r="X62" s="436"/>
      <c r="Y62" s="436"/>
      <c r="Z62" s="436"/>
      <c r="AA62" s="436"/>
      <c r="AB62" s="436"/>
      <c r="AC62" s="436"/>
    </row>
    <row r="63" spans="2:29">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7"/>
      <c r="AC63" s="437"/>
    </row>
  </sheetData>
  <mergeCells count="23">
    <mergeCell ref="B18:B47"/>
    <mergeCell ref="W4:W5"/>
    <mergeCell ref="AB4:AB5"/>
    <mergeCell ref="B9:B16"/>
    <mergeCell ref="C4:C5"/>
    <mergeCell ref="H2:N2"/>
    <mergeCell ref="AC4:AC5"/>
    <mergeCell ref="T4:V4"/>
    <mergeCell ref="X4:Z4"/>
    <mergeCell ref="D49:P49"/>
    <mergeCell ref="D50:P50"/>
    <mergeCell ref="D4:K4"/>
    <mergeCell ref="L4:S4"/>
    <mergeCell ref="D57:P57"/>
    <mergeCell ref="D58:P58"/>
    <mergeCell ref="D59:P59"/>
    <mergeCell ref="D60:P60"/>
    <mergeCell ref="D51:P51"/>
    <mergeCell ref="D52:P52"/>
    <mergeCell ref="D53:P53"/>
    <mergeCell ref="D54:P54"/>
    <mergeCell ref="D55:P55"/>
    <mergeCell ref="D56:P56"/>
  </mergeCells>
  <hyperlinks>
    <hyperlink ref="P2" location="Índice!A1" display="VOLVER A INDIC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P19"/>
  <sheetViews>
    <sheetView workbookViewId="0"/>
  </sheetViews>
  <sheetFormatPr baseColWidth="10" defaultRowHeight="12.75"/>
  <cols>
    <col min="1" max="1" width="11.42578125" style="636" customWidth="1"/>
    <col min="2" max="2" width="28.42578125" style="636" customWidth="1"/>
    <col min="3" max="3" width="11.42578125" style="636" customWidth="1"/>
    <col min="4" max="4" width="26.42578125" style="433" customWidth="1"/>
    <col min="5" max="5" width="11.42578125" style="433"/>
    <col min="6" max="6" width="25.85546875" style="433" customWidth="1"/>
    <col min="7" max="7" width="11.7109375" style="433" bestFit="1" customWidth="1"/>
    <col min="8" max="8" width="26.7109375" style="433" customWidth="1"/>
    <col min="9" max="16384" width="11.42578125" style="433"/>
  </cols>
  <sheetData>
    <row r="2" spans="1:16">
      <c r="E2" s="637"/>
      <c r="F2" s="642"/>
      <c r="G2" s="637"/>
    </row>
    <row r="3" spans="1:16">
      <c r="E3" s="637"/>
      <c r="F3" s="637"/>
      <c r="G3" s="637"/>
      <c r="I3" s="373"/>
    </row>
    <row r="4" spans="1:16" ht="15.75" customHeight="1">
      <c r="A4" s="575"/>
      <c r="B4" s="843" t="s">
        <v>598</v>
      </c>
      <c r="C4" s="843"/>
      <c r="D4" s="843"/>
      <c r="E4" s="843"/>
      <c r="F4" s="843"/>
      <c r="G4" s="843"/>
      <c r="H4" s="843"/>
      <c r="I4" s="696" t="s">
        <v>229</v>
      </c>
    </row>
    <row r="5" spans="1:16" ht="15.75" customHeight="1">
      <c r="C5" s="575"/>
      <c r="D5" s="870" t="s">
        <v>581</v>
      </c>
      <c r="E5" s="870"/>
      <c r="F5" s="870"/>
      <c r="G5" s="637"/>
    </row>
    <row r="6" spans="1:16" s="638" customFormat="1" ht="13.5" customHeight="1">
      <c r="A6" s="519"/>
      <c r="D6" s="519"/>
      <c r="E6" s="519"/>
      <c r="F6" s="519"/>
      <c r="G6" s="519"/>
    </row>
    <row r="7" spans="1:16" s="638" customFormat="1" ht="15" customHeight="1">
      <c r="A7" s="519"/>
      <c r="B7" s="871" t="s">
        <v>532</v>
      </c>
      <c r="C7" s="871"/>
      <c r="D7" s="839" t="s">
        <v>533</v>
      </c>
      <c r="E7" s="840"/>
      <c r="F7" s="840"/>
      <c r="G7" s="840"/>
      <c r="H7" s="840"/>
      <c r="I7" s="841"/>
      <c r="J7" s="519"/>
      <c r="K7" s="519"/>
      <c r="L7" s="519"/>
      <c r="M7" s="519"/>
      <c r="N7" s="519"/>
      <c r="O7" s="519"/>
      <c r="P7" s="519"/>
    </row>
    <row r="8" spans="1:16" ht="15" customHeight="1">
      <c r="B8" s="737" t="s">
        <v>540</v>
      </c>
      <c r="C8" s="741" t="s">
        <v>33</v>
      </c>
      <c r="D8" s="737" t="s">
        <v>518</v>
      </c>
      <c r="E8" s="741" t="s">
        <v>33</v>
      </c>
      <c r="F8" s="737" t="s">
        <v>530</v>
      </c>
      <c r="G8" s="741" t="s">
        <v>33</v>
      </c>
      <c r="H8" s="737" t="s">
        <v>531</v>
      </c>
      <c r="I8" s="741" t="s">
        <v>33</v>
      </c>
    </row>
    <row r="9" spans="1:16" ht="15" customHeight="1">
      <c r="B9" s="738" t="s">
        <v>466</v>
      </c>
      <c r="C9" s="636">
        <f>+'Balance Energético (u.físicas)'!D$6</f>
        <v>287.19450599999999</v>
      </c>
      <c r="D9" s="738" t="s">
        <v>498</v>
      </c>
      <c r="E9" s="742">
        <v>3608.1014149999996</v>
      </c>
      <c r="F9" s="738" t="s">
        <v>509</v>
      </c>
      <c r="G9" s="742">
        <v>417.0198063085715</v>
      </c>
      <c r="H9" s="738" t="s">
        <v>465</v>
      </c>
      <c r="I9" s="742">
        <v>74525.148579295113</v>
      </c>
    </row>
    <row r="10" spans="1:16" ht="15" customHeight="1">
      <c r="B10" s="738" t="s">
        <v>462</v>
      </c>
      <c r="C10" s="636">
        <f>+'Balance Energético (u.físicas)'!E$6</f>
        <v>1006.4829377358</v>
      </c>
      <c r="D10" s="738" t="s">
        <v>499</v>
      </c>
      <c r="E10" s="742">
        <v>1251.5841499999999</v>
      </c>
      <c r="F10" s="738" t="s">
        <v>510</v>
      </c>
      <c r="G10" s="742">
        <v>190110.04434521729</v>
      </c>
      <c r="H10" s="738" t="s">
        <v>512</v>
      </c>
      <c r="I10" s="742">
        <v>17.141387173913046</v>
      </c>
    </row>
    <row r="11" spans="1:16" ht="15" customHeight="1">
      <c r="B11" s="738" t="s">
        <v>463</v>
      </c>
      <c r="C11" s="636">
        <f>+'Balance Energético (u.físicas)'!F$6</f>
        <v>1930.5550285714282</v>
      </c>
      <c r="D11" s="738" t="s">
        <v>500</v>
      </c>
      <c r="E11" s="742">
        <v>3867.1056999999996</v>
      </c>
      <c r="F11" s="738" t="s">
        <v>511</v>
      </c>
      <c r="G11" s="742">
        <v>19.545100000000001</v>
      </c>
      <c r="H11" s="739" t="s">
        <v>513</v>
      </c>
      <c r="I11" s="743">
        <v>203.935</v>
      </c>
    </row>
    <row r="12" spans="1:16" ht="15" customHeight="1">
      <c r="B12" s="738" t="s">
        <v>517</v>
      </c>
      <c r="C12" s="636">
        <f>+'Balance Energético (u.físicas)'!G$6</f>
        <v>22044.515220482739</v>
      </c>
      <c r="D12" s="738" t="s">
        <v>501</v>
      </c>
      <c r="E12" s="742">
        <v>182.24650000000003</v>
      </c>
      <c r="F12" s="739" t="s">
        <v>528</v>
      </c>
      <c r="G12" s="743">
        <v>1135994.5109765916</v>
      </c>
      <c r="H12" s="636"/>
      <c r="I12" s="636"/>
    </row>
    <row r="13" spans="1:16" ht="15" customHeight="1">
      <c r="B13" s="738" t="s">
        <v>459</v>
      </c>
      <c r="C13" s="636">
        <f>+'Balance Energético (u.físicas)'!H$6</f>
        <v>23617.253634000004</v>
      </c>
      <c r="D13" s="738" t="s">
        <v>502</v>
      </c>
      <c r="E13" s="742">
        <v>304.82176999999996</v>
      </c>
      <c r="F13" s="636"/>
      <c r="G13" s="636"/>
      <c r="H13" s="636"/>
      <c r="I13" s="636"/>
    </row>
    <row r="14" spans="1:16" ht="15" customHeight="1">
      <c r="B14" s="738" t="s">
        <v>460</v>
      </c>
      <c r="C14" s="636">
        <f>+'Balance Energético (u.físicas)'!I$6</f>
        <v>2114.2670289999996</v>
      </c>
      <c r="D14" s="738" t="s">
        <v>503</v>
      </c>
      <c r="E14" s="742">
        <v>6.5342000000000002</v>
      </c>
      <c r="F14" s="636"/>
      <c r="G14" s="636"/>
      <c r="H14" s="636"/>
      <c r="I14" s="636"/>
    </row>
    <row r="15" spans="1:16" ht="15" customHeight="1">
      <c r="B15" s="738" t="s">
        <v>461</v>
      </c>
      <c r="C15" s="636">
        <f>+'Balance Energético (u.físicas)'!J$6</f>
        <v>1260.8661688799998</v>
      </c>
      <c r="D15" s="738" t="s">
        <v>504</v>
      </c>
      <c r="E15" s="742">
        <v>706.63292000000001</v>
      </c>
      <c r="F15" s="636"/>
      <c r="G15" s="636"/>
      <c r="H15" s="636"/>
      <c r="I15" s="636"/>
    </row>
    <row r="16" spans="1:16" ht="15" customHeight="1">
      <c r="B16" s="739" t="s">
        <v>464</v>
      </c>
      <c r="C16" s="740">
        <f>+'Balance Energético (u.físicas)'!K$6</f>
        <v>156.59238928051934</v>
      </c>
      <c r="D16" s="738" t="s">
        <v>505</v>
      </c>
      <c r="E16" s="742">
        <v>179.86060000000001</v>
      </c>
      <c r="F16" s="636"/>
      <c r="G16" s="636"/>
      <c r="H16" s="636"/>
      <c r="I16" s="636"/>
    </row>
    <row r="17" spans="2:9" s="433" customFormat="1" ht="15" customHeight="1">
      <c r="D17" s="738" t="s">
        <v>506</v>
      </c>
      <c r="E17" s="742">
        <v>346.50899547228465</v>
      </c>
      <c r="F17" s="636"/>
      <c r="G17" s="636"/>
      <c r="H17" s="636"/>
      <c r="I17" s="636"/>
    </row>
    <row r="18" spans="2:9" s="433" customFormat="1" ht="15" customHeight="1">
      <c r="B18" s="636"/>
      <c r="C18" s="636"/>
      <c r="D18" s="738" t="s">
        <v>507</v>
      </c>
      <c r="E18" s="742">
        <v>503.91863320810006</v>
      </c>
      <c r="F18" s="476"/>
      <c r="G18" s="476"/>
      <c r="H18" s="636"/>
      <c r="I18" s="636"/>
    </row>
    <row r="19" spans="2:9" s="433" customFormat="1" ht="15" customHeight="1">
      <c r="D19" s="739" t="s">
        <v>508</v>
      </c>
      <c r="E19" s="743">
        <v>164.09425484549979</v>
      </c>
      <c r="F19" s="476"/>
      <c r="G19" s="476"/>
      <c r="H19" s="636"/>
      <c r="I19" s="636"/>
    </row>
  </sheetData>
  <mergeCells count="4">
    <mergeCell ref="B4:H4"/>
    <mergeCell ref="D5:F5"/>
    <mergeCell ref="D7:I7"/>
    <mergeCell ref="B7:C7"/>
  </mergeCells>
  <hyperlinks>
    <hyperlink ref="I4" location="Índice!A1" display="VOLVER A INDIC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tabColor theme="6" tint="0.39997558519241921"/>
    <pageSetUpPr fitToPage="1"/>
  </sheetPr>
  <dimension ref="A1:S68"/>
  <sheetViews>
    <sheetView workbookViewId="0"/>
  </sheetViews>
  <sheetFormatPr baseColWidth="10" defaultRowHeight="12.75"/>
  <cols>
    <col min="1" max="1" width="1.42578125" style="134" customWidth="1"/>
    <col min="2" max="2" width="27.7109375" style="134" customWidth="1"/>
    <col min="3" max="3" width="12.140625" style="134" bestFit="1" customWidth="1"/>
    <col min="4" max="6" width="13.28515625" style="134" customWidth="1"/>
    <col min="7" max="7" width="15.28515625" style="134" customWidth="1"/>
    <col min="8" max="8" width="13.85546875" style="134" customWidth="1"/>
    <col min="9" max="17" width="11.42578125" style="2"/>
    <col min="18" max="16384" width="11.42578125" style="134"/>
  </cols>
  <sheetData>
    <row r="1" spans="1:19" ht="6.75" customHeight="1">
      <c r="A1" s="175"/>
      <c r="B1" s="175"/>
      <c r="C1" s="175"/>
      <c r="D1" s="175"/>
      <c r="E1" s="175"/>
      <c r="F1" s="175"/>
      <c r="G1" s="175"/>
      <c r="H1" s="175"/>
      <c r="I1" s="24"/>
      <c r="J1" s="24"/>
      <c r="K1" s="24"/>
    </row>
    <row r="2" spans="1:19" ht="15.95" customHeight="1">
      <c r="A2" s="175"/>
      <c r="B2" s="872" t="s">
        <v>601</v>
      </c>
      <c r="C2" s="872"/>
      <c r="D2" s="872"/>
      <c r="E2" s="872"/>
      <c r="F2" s="872"/>
      <c r="G2" s="872"/>
      <c r="H2" s="872"/>
      <c r="J2" s="697" t="s">
        <v>229</v>
      </c>
      <c r="K2" s="24"/>
    </row>
    <row r="3" spans="1:19" ht="15.95" customHeight="1">
      <c r="A3" s="175"/>
      <c r="B3" s="872" t="s">
        <v>347</v>
      </c>
      <c r="C3" s="872"/>
      <c r="D3" s="872"/>
      <c r="E3" s="872"/>
      <c r="F3" s="872"/>
      <c r="G3" s="872"/>
      <c r="H3" s="872"/>
      <c r="J3" s="393"/>
      <c r="K3" s="24"/>
    </row>
    <row r="4" spans="1:19" ht="15.95" customHeight="1">
      <c r="A4" s="175"/>
      <c r="B4" s="872" t="s">
        <v>446</v>
      </c>
      <c r="C4" s="872"/>
      <c r="D4" s="872"/>
      <c r="E4" s="872"/>
      <c r="F4" s="872"/>
      <c r="G4" s="872"/>
      <c r="H4" s="872"/>
      <c r="I4" s="393"/>
      <c r="J4" s="199"/>
      <c r="K4" s="24"/>
    </row>
    <row r="5" spans="1:19" ht="15.95" customHeight="1">
      <c r="A5" s="175"/>
      <c r="B5" s="819" t="s">
        <v>253</v>
      </c>
      <c r="C5" s="819" t="s">
        <v>483</v>
      </c>
      <c r="D5" s="827" t="s">
        <v>475</v>
      </c>
      <c r="E5" s="827" t="s">
        <v>280</v>
      </c>
      <c r="F5" s="827" t="s">
        <v>281</v>
      </c>
      <c r="G5" s="827" t="s">
        <v>599</v>
      </c>
      <c r="H5" s="827" t="s">
        <v>524</v>
      </c>
      <c r="I5" s="393"/>
      <c r="J5" s="199"/>
      <c r="K5" s="24"/>
    </row>
    <row r="6" spans="1:19" ht="15.95" customHeight="1">
      <c r="A6" s="175"/>
      <c r="B6" s="819"/>
      <c r="C6" s="819"/>
      <c r="D6" s="827"/>
      <c r="E6" s="827"/>
      <c r="F6" s="827"/>
      <c r="G6" s="828"/>
      <c r="H6" s="827"/>
      <c r="I6" s="393"/>
      <c r="J6" s="199"/>
      <c r="K6" s="24"/>
    </row>
    <row r="7" spans="1:19" ht="15.95" customHeight="1">
      <c r="A7" s="175"/>
      <c r="B7" s="485" t="s">
        <v>484</v>
      </c>
      <c r="C7" s="486" t="s">
        <v>490</v>
      </c>
      <c r="D7" s="748">
        <f>+'Balance Energético (u.físicas)'!$D$6</f>
        <v>287.19450599999999</v>
      </c>
      <c r="E7" s="748">
        <f>+'Balance Energético (u.físicas)'!$D$7</f>
        <v>9785.299853200002</v>
      </c>
      <c r="F7" s="748">
        <f>+'Balance Energético (u.físicas)'!$D$8</f>
        <v>0</v>
      </c>
      <c r="G7" s="748">
        <f>+'Balance Energético (u.físicas)'!$D$9</f>
        <v>45.713999999999999</v>
      </c>
      <c r="H7" s="748">
        <f>+'Balance Energético (u.físicas)'!$D$13</f>
        <v>10026.780359200002</v>
      </c>
      <c r="I7" s="394"/>
      <c r="J7" s="200"/>
      <c r="K7" s="24"/>
      <c r="R7" s="2"/>
      <c r="S7" s="2"/>
    </row>
    <row r="8" spans="1:19" ht="15.95" customHeight="1">
      <c r="A8" s="175"/>
      <c r="B8" s="485" t="s">
        <v>474</v>
      </c>
      <c r="C8" s="486" t="s">
        <v>491</v>
      </c>
      <c r="D8" s="748">
        <f>+'Balance Energético (u.físicas)'!$E$6</f>
        <v>1006.4829377358</v>
      </c>
      <c r="E8" s="748">
        <f>+'Balance Energético (u.físicas)'!$E$7</f>
        <v>3726.6373404516107</v>
      </c>
      <c r="F8" s="748">
        <f>+'Balance Energético (u.físicas)'!$E$8</f>
        <v>0</v>
      </c>
      <c r="G8" s="748">
        <f>+'Balance Energético (u.físicas)'!$E$9</f>
        <v>292.33314248445197</v>
      </c>
      <c r="H8" s="748">
        <f>+'Balance Energético (u.físicas)'!$E$13</f>
        <v>4440.787135702958</v>
      </c>
      <c r="I8" s="394"/>
      <c r="J8" s="200"/>
      <c r="K8" s="24"/>
      <c r="R8" s="2"/>
      <c r="S8" s="2"/>
    </row>
    <row r="9" spans="1:19" ht="15.95" customHeight="1">
      <c r="A9" s="175"/>
      <c r="B9" s="485" t="s">
        <v>41</v>
      </c>
      <c r="C9" s="486" t="s">
        <v>515</v>
      </c>
      <c r="D9" s="748">
        <f>+'Balance Energético (u.físicas)'!$F$6</f>
        <v>1930.5550285714282</v>
      </c>
      <c r="E9" s="748">
        <f>+'Balance Energético (u.físicas)'!$F$7</f>
        <v>8532.6985380714177</v>
      </c>
      <c r="F9" s="748">
        <f>+'Balance Energético (u.físicas)'!$F$8</f>
        <v>843.94</v>
      </c>
      <c r="G9" s="748">
        <f>+'Balance Energético (u.físicas)'!$F$9</f>
        <v>-1175.2745412574754</v>
      </c>
      <c r="H9" s="748">
        <f>+'Balance Energético (u.físicas)'!$F$13</f>
        <v>10794.588107900321</v>
      </c>
      <c r="I9" s="394"/>
      <c r="J9" s="200"/>
      <c r="K9" s="24"/>
      <c r="R9" s="2"/>
      <c r="S9" s="2"/>
    </row>
    <row r="10" spans="1:19" ht="15.95" customHeight="1">
      <c r="A10" s="175"/>
      <c r="B10" s="485" t="s">
        <v>485</v>
      </c>
      <c r="C10" s="486" t="s">
        <v>515</v>
      </c>
      <c r="D10" s="748">
        <f>+'Balance Energético (u.físicas)'!$G$6</f>
        <v>22044.515220482739</v>
      </c>
      <c r="E10" s="748">
        <f>+'Balance Energético (u.físicas)'!$G$7</f>
        <v>22.260882617832483</v>
      </c>
      <c r="F10" s="748">
        <f>+'Balance Energético (u.físicas)'!$G$8</f>
        <v>0.151</v>
      </c>
      <c r="G10" s="748">
        <f>+'Balance Energético (u.físicas)'!$G$9</f>
        <v>163.61721908485217</v>
      </c>
      <c r="H10" s="748">
        <f>+'Balance Energético (u.físicas)'!$G$13</f>
        <v>21903.007884015722</v>
      </c>
      <c r="I10" s="394"/>
      <c r="J10" s="200"/>
      <c r="K10" s="24"/>
      <c r="R10" s="2"/>
      <c r="S10" s="2"/>
    </row>
    <row r="11" spans="1:19" ht="15.95" customHeight="1">
      <c r="A11" s="175"/>
      <c r="B11" s="485" t="s">
        <v>486</v>
      </c>
      <c r="C11" s="486" t="s">
        <v>482</v>
      </c>
      <c r="D11" s="748">
        <f>+'Balance Energético (u.físicas)'!$H$6</f>
        <v>23617.253634000004</v>
      </c>
      <c r="E11" s="748" t="str">
        <f>+'Balance Energético (u.físicas)'!$H$7</f>
        <v>-</v>
      </c>
      <c r="F11" s="748" t="str">
        <f>+'Balance Energético (u.físicas)'!$H$8</f>
        <v>-</v>
      </c>
      <c r="G11" s="748">
        <f>+'Balance Energético (u.físicas)'!$H$9</f>
        <v>0</v>
      </c>
      <c r="H11" s="748">
        <f>+'Balance Energético (u.físicas)'!$H$13</f>
        <v>23617.253634000004</v>
      </c>
      <c r="I11" s="394"/>
      <c r="J11" s="200"/>
      <c r="K11" s="24"/>
      <c r="R11" s="2"/>
      <c r="S11" s="2"/>
    </row>
    <row r="12" spans="1:19" ht="15.95" customHeight="1">
      <c r="A12" s="175"/>
      <c r="B12" s="485" t="s">
        <v>487</v>
      </c>
      <c r="C12" s="486" t="s">
        <v>482</v>
      </c>
      <c r="D12" s="748">
        <f>+'Balance Energético (u.físicas)'!$I$6</f>
        <v>2114.2670289999996</v>
      </c>
      <c r="E12" s="748" t="str">
        <f>+'Balance Energético (u.físicas)'!$I$7</f>
        <v>-</v>
      </c>
      <c r="F12" s="748" t="str">
        <f>+'Balance Energético (u.físicas)'!$I$8</f>
        <v>-</v>
      </c>
      <c r="G12" s="748">
        <f>+'Balance Energético (u.físicas)'!$I$9</f>
        <v>0</v>
      </c>
      <c r="H12" s="748">
        <f>+'Balance Energético (u.físicas)'!$I$13</f>
        <v>2114.2670289999996</v>
      </c>
      <c r="I12" s="394"/>
      <c r="J12" s="200"/>
      <c r="K12" s="24"/>
      <c r="R12" s="2"/>
      <c r="S12" s="2"/>
    </row>
    <row r="13" spans="1:19" ht="15.95" customHeight="1">
      <c r="A13" s="175"/>
      <c r="B13" s="485" t="s">
        <v>488</v>
      </c>
      <c r="C13" s="486" t="s">
        <v>482</v>
      </c>
      <c r="D13" s="748">
        <f>+'Balance Energético (u.físicas)'!$J$6</f>
        <v>1260.8661688799998</v>
      </c>
      <c r="E13" s="748" t="str">
        <f>+'Balance Energético (u.físicas)'!$J$7</f>
        <v>-</v>
      </c>
      <c r="F13" s="748" t="str">
        <f>+'Balance Energético (u.físicas)'!$J$8</f>
        <v>-</v>
      </c>
      <c r="G13" s="748">
        <f>+'Balance Energético (u.físicas)'!$J$9</f>
        <v>0</v>
      </c>
      <c r="H13" s="748">
        <f>+'Balance Energético (u.físicas)'!$J$13</f>
        <v>1260.8661688799998</v>
      </c>
      <c r="I13" s="394"/>
      <c r="J13" s="200"/>
      <c r="K13" s="24"/>
      <c r="R13" s="2"/>
      <c r="S13" s="2"/>
    </row>
    <row r="14" spans="1:19" ht="15.95" customHeight="1">
      <c r="A14" s="175"/>
      <c r="B14" s="485" t="s">
        <v>489</v>
      </c>
      <c r="C14" s="486" t="s">
        <v>491</v>
      </c>
      <c r="D14" s="748">
        <f>+'Balance Energético (u.físicas)'!$K$6</f>
        <v>156.59238928051934</v>
      </c>
      <c r="E14" s="748">
        <f>+'Balance Energético (u.físicas)'!$K$7</f>
        <v>0</v>
      </c>
      <c r="F14" s="748">
        <f>+'Balance Energético (u.físicas)'!$K$8</f>
        <v>0</v>
      </c>
      <c r="G14" s="748">
        <f>+'Balance Energético (u.físicas)'!$K$9</f>
        <v>6.138047051036871</v>
      </c>
      <c r="H14" s="748">
        <f>+'Balance Energético (u.físicas)'!$K$13</f>
        <v>150.45434222948245</v>
      </c>
      <c r="I14" s="394"/>
      <c r="J14" s="200"/>
      <c r="K14" s="24"/>
      <c r="R14" s="2"/>
      <c r="S14" s="2"/>
    </row>
    <row r="15" spans="1:19" s="2" customFormat="1">
      <c r="A15" s="24"/>
      <c r="D15" s="177"/>
      <c r="E15" s="178"/>
      <c r="F15" s="177"/>
      <c r="G15" s="179"/>
      <c r="H15" s="197"/>
      <c r="I15" s="197"/>
      <c r="J15" s="199"/>
      <c r="K15" s="24"/>
    </row>
    <row r="16" spans="1:19" s="2" customFormat="1">
      <c r="A16" s="24"/>
      <c r="B16" s="272" t="s">
        <v>293</v>
      </c>
      <c r="C16" s="272"/>
      <c r="D16" s="198"/>
      <c r="E16" s="198"/>
      <c r="F16" s="198"/>
      <c r="G16" s="198"/>
      <c r="H16" s="198"/>
      <c r="I16" s="198"/>
      <c r="J16" s="162"/>
      <c r="K16" s="24"/>
    </row>
    <row r="17" spans="1:11" s="2" customFormat="1">
      <c r="A17" s="24"/>
      <c r="B17" s="272" t="s">
        <v>527</v>
      </c>
      <c r="C17" s="272"/>
      <c r="D17" s="198"/>
      <c r="E17" s="198"/>
      <c r="F17" s="198"/>
      <c r="G17" s="198"/>
      <c r="H17" s="198"/>
      <c r="I17" s="198"/>
      <c r="J17" s="162"/>
      <c r="K17" s="24"/>
    </row>
    <row r="18" spans="1:11" s="2" customFormat="1">
      <c r="A18" s="24"/>
      <c r="D18" s="199"/>
      <c r="E18" s="200"/>
      <c r="F18" s="199"/>
      <c r="G18" s="199"/>
      <c r="H18" s="199"/>
      <c r="I18" s="199"/>
      <c r="J18" s="199"/>
      <c r="K18" s="24"/>
    </row>
    <row r="19" spans="1:11" s="2" customFormat="1">
      <c r="A19" s="24"/>
      <c r="B19" s="199"/>
      <c r="C19" s="199"/>
      <c r="D19" s="199"/>
      <c r="E19" s="200"/>
      <c r="F19" s="199"/>
      <c r="G19" s="199"/>
      <c r="H19" s="199"/>
      <c r="I19" s="199"/>
      <c r="J19" s="199"/>
      <c r="K19" s="24"/>
    </row>
    <row r="20" spans="1:11" s="2" customFormat="1">
      <c r="A20" s="24"/>
      <c r="B20" s="24"/>
      <c r="C20" s="24"/>
      <c r="D20" s="24"/>
      <c r="E20" s="24"/>
      <c r="F20" s="24"/>
      <c r="G20" s="24"/>
      <c r="H20" s="24"/>
      <c r="I20" s="24"/>
      <c r="J20" s="24"/>
      <c r="K20" s="24"/>
    </row>
    <row r="21" spans="1:11">
      <c r="A21" s="24"/>
      <c r="B21" s="24"/>
      <c r="C21" s="24"/>
      <c r="D21" s="24"/>
      <c r="E21" s="24"/>
      <c r="F21" s="24"/>
      <c r="G21" s="24"/>
      <c r="H21" s="24"/>
      <c r="I21" s="24"/>
      <c r="J21" s="24"/>
      <c r="K21" s="24"/>
    </row>
    <row r="22" spans="1:11">
      <c r="A22" s="24"/>
      <c r="B22" s="24"/>
      <c r="C22" s="24"/>
      <c r="D22" s="24"/>
      <c r="E22" s="24"/>
      <c r="F22" s="24"/>
      <c r="G22" s="24"/>
      <c r="H22" s="24"/>
      <c r="I22" s="24"/>
      <c r="J22" s="24"/>
      <c r="K22" s="24"/>
    </row>
    <row r="23" spans="1:11">
      <c r="A23" s="24"/>
      <c r="B23" s="24"/>
      <c r="C23" s="24"/>
      <c r="D23" s="24"/>
      <c r="E23" s="24"/>
      <c r="F23" s="24"/>
      <c r="G23" s="24"/>
      <c r="H23" s="24"/>
      <c r="I23" s="24"/>
      <c r="J23" s="24"/>
      <c r="K23" s="24"/>
    </row>
    <row r="24" spans="1:11">
      <c r="A24" s="24"/>
      <c r="B24" s="24"/>
      <c r="C24" s="24"/>
      <c r="D24" s="24"/>
      <c r="E24" s="24"/>
      <c r="F24" s="24"/>
      <c r="G24" s="24"/>
      <c r="H24" s="24"/>
      <c r="I24" s="24"/>
      <c r="J24" s="24"/>
      <c r="K24" s="24"/>
    </row>
    <row r="25" spans="1:11">
      <c r="A25" s="24"/>
      <c r="B25" s="24"/>
      <c r="C25" s="24"/>
      <c r="D25" s="24"/>
      <c r="E25" s="24"/>
      <c r="F25" s="24"/>
      <c r="G25" s="24"/>
      <c r="H25" s="24"/>
      <c r="I25" s="24"/>
      <c r="J25" s="24"/>
      <c r="K25" s="24"/>
    </row>
    <row r="26" spans="1:11">
      <c r="A26" s="24"/>
      <c r="B26" s="24"/>
      <c r="C26" s="24"/>
      <c r="D26" s="24"/>
      <c r="E26" s="24"/>
      <c r="F26" s="24"/>
      <c r="G26" s="24"/>
      <c r="H26" s="24"/>
      <c r="I26" s="24"/>
      <c r="J26" s="24"/>
      <c r="K26" s="24"/>
    </row>
    <row r="27" spans="1:11">
      <c r="A27" s="24"/>
      <c r="B27" s="24"/>
      <c r="C27" s="24"/>
      <c r="D27" s="24"/>
      <c r="E27" s="24"/>
      <c r="F27" s="24"/>
      <c r="G27" s="24"/>
      <c r="H27" s="24"/>
      <c r="I27" s="24"/>
      <c r="J27" s="24"/>
      <c r="K27" s="24"/>
    </row>
    <row r="28" spans="1:11">
      <c r="A28" s="2"/>
      <c r="B28" s="2"/>
      <c r="C28" s="2"/>
      <c r="D28" s="2"/>
      <c r="E28" s="2"/>
      <c r="F28" s="2"/>
      <c r="G28" s="2"/>
      <c r="H28" s="2"/>
    </row>
    <row r="29" spans="1:11">
      <c r="A29" s="2"/>
      <c r="B29" s="2"/>
      <c r="C29" s="2"/>
      <c r="D29" s="2"/>
      <c r="E29" s="2"/>
      <c r="F29" s="2"/>
      <c r="G29" s="2"/>
      <c r="H29" s="2"/>
    </row>
    <row r="30" spans="1:11">
      <c r="A30" s="2"/>
      <c r="B30" s="2"/>
      <c r="C30" s="2"/>
      <c r="D30" s="2"/>
      <c r="E30" s="2"/>
      <c r="F30" s="2"/>
      <c r="G30" s="2"/>
      <c r="H30" s="2"/>
    </row>
    <row r="31" spans="1:11">
      <c r="A31" s="2"/>
      <c r="B31" s="2"/>
      <c r="C31" s="2"/>
      <c r="D31" s="2"/>
      <c r="E31" s="2"/>
      <c r="F31" s="2"/>
      <c r="G31" s="2"/>
      <c r="H31" s="2"/>
    </row>
    <row r="32" spans="1:11">
      <c r="A32" s="2"/>
      <c r="B32" s="2"/>
      <c r="C32" s="2"/>
      <c r="D32" s="2"/>
      <c r="E32" s="2"/>
      <c r="F32" s="2"/>
      <c r="G32" s="2"/>
      <c r="H32" s="2"/>
    </row>
    <row r="33" spans="1:8">
      <c r="A33" s="2"/>
      <c r="B33" s="2"/>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c r="A37" s="2"/>
      <c r="B37" s="2"/>
      <c r="C37" s="2"/>
      <c r="D37" s="2"/>
      <c r="E37" s="2"/>
      <c r="F37" s="2"/>
      <c r="G37" s="2"/>
      <c r="H37" s="2"/>
    </row>
    <row r="38" spans="1:8">
      <c r="A38" s="2"/>
      <c r="B38" s="2"/>
      <c r="C38" s="2"/>
      <c r="D38" s="2"/>
      <c r="E38" s="2"/>
      <c r="F38" s="2"/>
      <c r="G38" s="2"/>
      <c r="H38" s="2"/>
    </row>
    <row r="39" spans="1:8">
      <c r="A39" s="2"/>
      <c r="B39" s="2"/>
      <c r="C39" s="2"/>
      <c r="D39" s="2"/>
      <c r="E39" s="2"/>
      <c r="F39" s="2"/>
      <c r="G39" s="2"/>
      <c r="H39" s="2"/>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19">
      <c r="A49" s="2"/>
      <c r="B49" s="2"/>
      <c r="C49" s="2"/>
      <c r="D49" s="2"/>
      <c r="E49" s="2"/>
      <c r="F49" s="2"/>
      <c r="G49" s="2"/>
      <c r="H49" s="2"/>
    </row>
    <row r="50" spans="1:19">
      <c r="A50" s="2"/>
      <c r="B50" s="2"/>
      <c r="C50" s="2"/>
      <c r="D50" s="2"/>
      <c r="E50" s="2"/>
      <c r="F50" s="2"/>
      <c r="G50" s="2"/>
      <c r="H50" s="2"/>
    </row>
    <row r="51" spans="1:19">
      <c r="A51" s="2"/>
      <c r="B51" s="2"/>
      <c r="C51" s="2"/>
      <c r="D51" s="2"/>
      <c r="E51" s="2"/>
      <c r="F51" s="2"/>
      <c r="G51" s="2"/>
      <c r="H51" s="2"/>
    </row>
    <row r="52" spans="1:19">
      <c r="A52" s="2"/>
      <c r="B52" s="2"/>
      <c r="C52" s="2"/>
      <c r="D52" s="2"/>
      <c r="E52" s="2"/>
      <c r="F52" s="2"/>
      <c r="G52" s="2"/>
      <c r="H52" s="2"/>
    </row>
    <row r="53" spans="1:19" s="2" customFormat="1"/>
    <row r="54" spans="1:19" s="2" customFormat="1"/>
    <row r="55" spans="1:19" s="2" customFormat="1"/>
    <row r="56" spans="1:19" s="2" customFormat="1"/>
    <row r="57" spans="1:19" s="2" customFormat="1"/>
    <row r="58" spans="1:19" s="2" customFormat="1"/>
    <row r="59" spans="1:19" s="2" customFormat="1"/>
    <row r="60" spans="1:19">
      <c r="D60" s="2"/>
      <c r="E60" s="2"/>
      <c r="F60" s="2"/>
      <c r="G60" s="2"/>
      <c r="H60" s="2"/>
      <c r="R60" s="2"/>
      <c r="S60" s="2"/>
    </row>
    <row r="61" spans="1:19">
      <c r="D61" s="2"/>
      <c r="E61" s="2"/>
      <c r="F61" s="2"/>
      <c r="G61" s="2"/>
      <c r="H61" s="2"/>
      <c r="R61" s="2"/>
      <c r="S61" s="2"/>
    </row>
    <row r="62" spans="1:19">
      <c r="D62" s="2"/>
      <c r="E62" s="2"/>
      <c r="F62" s="2"/>
      <c r="G62" s="2"/>
      <c r="H62" s="2"/>
      <c r="R62" s="2"/>
      <c r="S62" s="2"/>
    </row>
    <row r="63" spans="1:19">
      <c r="D63" s="2"/>
      <c r="E63" s="2"/>
      <c r="F63" s="2"/>
      <c r="G63" s="2"/>
      <c r="H63" s="2"/>
      <c r="R63" s="2"/>
      <c r="S63" s="2"/>
    </row>
    <row r="64" spans="1:19">
      <c r="D64" s="2"/>
      <c r="E64" s="2"/>
      <c r="F64" s="2"/>
      <c r="G64" s="2"/>
      <c r="H64" s="2"/>
      <c r="R64" s="2"/>
      <c r="S64" s="2"/>
    </row>
    <row r="65" spans="4:19">
      <c r="D65" s="2"/>
      <c r="E65" s="2"/>
      <c r="F65" s="2"/>
      <c r="G65" s="2"/>
      <c r="H65" s="2"/>
      <c r="R65" s="2"/>
      <c r="S65" s="2"/>
    </row>
    <row r="66" spans="4:19">
      <c r="D66" s="2"/>
      <c r="E66" s="2"/>
      <c r="F66" s="2"/>
      <c r="G66" s="2"/>
      <c r="H66" s="2"/>
      <c r="R66" s="2"/>
      <c r="S66" s="2"/>
    </row>
    <row r="67" spans="4:19">
      <c r="D67" s="2"/>
      <c r="E67" s="2"/>
      <c r="F67" s="2"/>
      <c r="G67" s="2"/>
      <c r="H67" s="2"/>
      <c r="R67" s="2"/>
      <c r="S67" s="2"/>
    </row>
    <row r="68" spans="4:19">
      <c r="D68" s="2"/>
      <c r="E68" s="2"/>
      <c r="F68" s="2"/>
      <c r="G68" s="2"/>
      <c r="H68" s="2"/>
      <c r="R68" s="2"/>
      <c r="S68" s="2"/>
    </row>
  </sheetData>
  <mergeCells count="10">
    <mergeCell ref="B2:H2"/>
    <mergeCell ref="B3:H3"/>
    <mergeCell ref="B4:H4"/>
    <mergeCell ref="B5:B6"/>
    <mergeCell ref="C5:C6"/>
    <mergeCell ref="E5:E6"/>
    <mergeCell ref="F5:F6"/>
    <mergeCell ref="D5:D6"/>
    <mergeCell ref="G5:G6"/>
    <mergeCell ref="H5:H6"/>
  </mergeCells>
  <phoneticPr fontId="0" type="noConversion"/>
  <hyperlinks>
    <hyperlink ref="J2" location="Índice!A1" display="VOLVER A INDICE"/>
  </hyperlinks>
  <pageMargins left="0.75" right="0.75" top="1" bottom="1" header="0" footer="0"/>
  <pageSetup scale="97"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tabColor theme="6" tint="0.39997558519241921"/>
    <pageSetUpPr fitToPage="1"/>
  </sheetPr>
  <dimension ref="A1:R98"/>
  <sheetViews>
    <sheetView workbookViewId="0">
      <selection activeCell="L16" sqref="L16"/>
    </sheetView>
  </sheetViews>
  <sheetFormatPr baseColWidth="10" defaultRowHeight="12.75" outlineLevelRow="1"/>
  <cols>
    <col min="1" max="1" width="1.7109375" style="287" customWidth="1"/>
    <col min="2" max="2" width="30.140625" style="287" customWidth="1"/>
    <col min="3" max="3" width="11.85546875" style="323" bestFit="1" customWidth="1"/>
    <col min="4" max="4" width="14.42578125" style="287" customWidth="1"/>
    <col min="5" max="5" width="12.140625" style="287" customWidth="1"/>
    <col min="6" max="6" width="12.42578125" style="287" customWidth="1"/>
    <col min="7" max="7" width="17.7109375" style="287" customWidth="1"/>
    <col min="8" max="8" width="13.7109375" style="287" customWidth="1"/>
    <col min="9" max="9" width="11.5703125" style="287" customWidth="1"/>
    <col min="10" max="10" width="14" style="287" customWidth="1"/>
    <col min="11" max="18" width="11.42578125" style="288"/>
    <col min="19" max="16384" width="11.42578125" style="287"/>
  </cols>
  <sheetData>
    <row r="1" spans="2:18" ht="7.5" customHeight="1"/>
    <row r="2" spans="2:18" s="320" customFormat="1" ht="15.95" customHeight="1">
      <c r="B2" s="873" t="s">
        <v>600</v>
      </c>
      <c r="C2" s="873"/>
      <c r="D2" s="873"/>
      <c r="E2" s="873"/>
      <c r="F2" s="873"/>
      <c r="G2" s="873"/>
      <c r="H2" s="873"/>
      <c r="I2" s="873"/>
      <c r="J2" s="873"/>
      <c r="L2" s="693" t="s">
        <v>229</v>
      </c>
      <c r="M2" s="263"/>
      <c r="N2" s="263"/>
      <c r="O2" s="263"/>
      <c r="P2" s="263"/>
      <c r="Q2" s="263"/>
      <c r="R2" s="263"/>
    </row>
    <row r="3" spans="2:18" s="320" customFormat="1" ht="15.95" customHeight="1">
      <c r="B3" s="873" t="s">
        <v>347</v>
      </c>
      <c r="C3" s="873"/>
      <c r="D3" s="873"/>
      <c r="E3" s="873"/>
      <c r="F3" s="873"/>
      <c r="G3" s="873"/>
      <c r="H3" s="873"/>
      <c r="I3" s="873"/>
      <c r="J3" s="873"/>
      <c r="L3" s="698"/>
      <c r="M3" s="263"/>
      <c r="N3" s="263"/>
      <c r="O3" s="263"/>
      <c r="P3" s="263"/>
      <c r="Q3" s="263"/>
      <c r="R3" s="263"/>
    </row>
    <row r="4" spans="2:18" s="320" customFormat="1" ht="15.95" customHeight="1">
      <c r="B4" s="873" t="s">
        <v>446</v>
      </c>
      <c r="C4" s="873"/>
      <c r="D4" s="873"/>
      <c r="E4" s="873"/>
      <c r="F4" s="873"/>
      <c r="G4" s="873"/>
      <c r="H4" s="873"/>
      <c r="I4" s="873"/>
      <c r="J4" s="873"/>
      <c r="K4" s="395"/>
      <c r="L4" s="321"/>
      <c r="M4" s="263"/>
      <c r="N4" s="263"/>
      <c r="O4" s="263"/>
      <c r="P4" s="263"/>
      <c r="Q4" s="263"/>
      <c r="R4" s="263"/>
    </row>
    <row r="5" spans="2:18" s="320" customFormat="1" ht="15.95" customHeight="1">
      <c r="B5" s="819" t="s">
        <v>253</v>
      </c>
      <c r="C5" s="829" t="s">
        <v>483</v>
      </c>
      <c r="D5" s="827" t="s">
        <v>475</v>
      </c>
      <c r="E5" s="827" t="s">
        <v>280</v>
      </c>
      <c r="F5" s="827" t="s">
        <v>281</v>
      </c>
      <c r="G5" s="827" t="s">
        <v>599</v>
      </c>
      <c r="H5" s="827" t="s">
        <v>62</v>
      </c>
      <c r="I5" s="827" t="s">
        <v>521</v>
      </c>
      <c r="J5" s="827" t="s">
        <v>64</v>
      </c>
      <c r="K5" s="395"/>
      <c r="L5" s="321"/>
      <c r="M5" s="263"/>
      <c r="N5" s="263"/>
      <c r="O5" s="263"/>
      <c r="P5" s="263"/>
      <c r="Q5" s="263"/>
      <c r="R5" s="263"/>
    </row>
    <row r="6" spans="2:18" s="320" customFormat="1" ht="15.95" customHeight="1">
      <c r="B6" s="819"/>
      <c r="C6" s="819"/>
      <c r="D6" s="827"/>
      <c r="E6" s="827"/>
      <c r="F6" s="827"/>
      <c r="G6" s="828"/>
      <c r="H6" s="827"/>
      <c r="I6" s="827"/>
      <c r="J6" s="827"/>
      <c r="K6" s="396"/>
      <c r="L6" s="321"/>
      <c r="M6" s="263"/>
      <c r="N6" s="263"/>
      <c r="O6" s="263"/>
      <c r="P6" s="263"/>
      <c r="Q6" s="263"/>
      <c r="R6" s="263"/>
    </row>
    <row r="7" spans="2:18" s="320" customFormat="1" ht="15.95" customHeight="1">
      <c r="B7" s="473" t="s">
        <v>518</v>
      </c>
      <c r="C7" s="487"/>
      <c r="D7" s="488"/>
      <c r="E7" s="488"/>
      <c r="F7" s="488"/>
      <c r="G7" s="488"/>
      <c r="H7" s="488"/>
      <c r="I7" s="488"/>
      <c r="J7" s="489"/>
      <c r="K7" s="396"/>
      <c r="L7" s="321"/>
      <c r="M7" s="263"/>
      <c r="N7" s="263"/>
      <c r="O7" s="263"/>
      <c r="P7" s="263"/>
      <c r="Q7" s="263"/>
      <c r="R7" s="263"/>
    </row>
    <row r="8" spans="2:18" s="320" customFormat="1" ht="15.95" customHeight="1" outlineLevel="1">
      <c r="B8" s="469" t="s">
        <v>269</v>
      </c>
      <c r="C8" s="487" t="s">
        <v>492</v>
      </c>
      <c r="D8" s="748">
        <f>+'Producción Bruta (u.físicas)'!$E$9</f>
        <v>3608.1014149999996</v>
      </c>
      <c r="E8" s="748">
        <f>+'Balance Energético (u.físicas)'!$L$7</f>
        <v>6224.8294766666668</v>
      </c>
      <c r="F8" s="748">
        <f>+'Balance Energético (u.físicas)'!$L$8</f>
        <v>94.316283285714306</v>
      </c>
      <c r="G8" s="748">
        <f>+'Balance Energético (u.físicas)'!$L$9</f>
        <v>803.27591659791437</v>
      </c>
      <c r="H8" s="748">
        <f>+'Balance Energético (u.físicas)'!$L$22</f>
        <v>8206.1970499154686</v>
      </c>
      <c r="I8" s="748">
        <f>'Cuadro Consumo (u.físicas)'!$L$8</f>
        <v>729.14164186756739</v>
      </c>
      <c r="J8" s="749">
        <f>SUM(H8:I8)</f>
        <v>8935.3386917830358</v>
      </c>
      <c r="K8" s="396"/>
      <c r="L8" s="322"/>
      <c r="M8" s="263"/>
      <c r="N8" s="263"/>
      <c r="O8" s="263"/>
      <c r="P8" s="263"/>
      <c r="Q8" s="263"/>
      <c r="R8" s="263"/>
    </row>
    <row r="9" spans="2:18" s="320" customFormat="1" ht="15.95" customHeight="1" outlineLevel="1">
      <c r="B9" s="469" t="s">
        <v>270</v>
      </c>
      <c r="C9" s="487" t="s">
        <v>515</v>
      </c>
      <c r="D9" s="748">
        <f>+'Producción Bruta (u.físicas)'!$E$10</f>
        <v>1251.5841499999999</v>
      </c>
      <c r="E9" s="748">
        <f>+'Balance Energético (u.físicas)'!$M$7</f>
        <v>31.74520265</v>
      </c>
      <c r="F9" s="748">
        <f>+'Balance Energético (u.físicas)'!$M$8</f>
        <v>301.66325999999992</v>
      </c>
      <c r="G9" s="748">
        <f>+'Balance Energético (u.físicas)'!$M$9</f>
        <v>-64.689161163030008</v>
      </c>
      <c r="H9" s="748">
        <f>+'Balance Energético (u.físicas)'!$M$22</f>
        <v>895.79359512112615</v>
      </c>
      <c r="I9" s="748">
        <f>'Cuadro Consumo (u.físicas)'!$M$8</f>
        <v>150.56165869190411</v>
      </c>
      <c r="J9" s="749">
        <f t="shared" ref="J9:J29" si="0">SUM(H9:I9)</f>
        <v>1046.3552538130302</v>
      </c>
      <c r="K9" s="396"/>
      <c r="L9" s="322"/>
      <c r="M9" s="263"/>
      <c r="N9" s="263"/>
      <c r="O9" s="263"/>
      <c r="P9" s="263"/>
      <c r="Q9" s="263"/>
      <c r="R9" s="263"/>
    </row>
    <row r="10" spans="2:18" s="320" customFormat="1" ht="15.95" customHeight="1" outlineLevel="1">
      <c r="B10" s="469" t="s">
        <v>477</v>
      </c>
      <c r="C10" s="487" t="s">
        <v>492</v>
      </c>
      <c r="D10" s="748">
        <f>+'Producción Bruta (u.físicas)'!$E11</f>
        <v>3867.1056999999996</v>
      </c>
      <c r="E10" s="748">
        <f>+'Balance Energético (u.físicas)'!$N$7</f>
        <v>668.51900000000012</v>
      </c>
      <c r="F10" s="748">
        <f>+'Balance Energético (u.físicas)'!$N$8</f>
        <v>96.046000000000006</v>
      </c>
      <c r="G10" s="748">
        <f>+'Balance Energético (u.físicas)'!$N$9</f>
        <v>-122.11211074206769</v>
      </c>
      <c r="H10" s="748">
        <f>+'Balance Energético (u.físicas)'!$N$22</f>
        <v>4219.4448107420676</v>
      </c>
      <c r="I10" s="748">
        <f>'Cuadro Consumo (u.físicas)'!$N$8</f>
        <v>342.24599999999992</v>
      </c>
      <c r="J10" s="749">
        <f t="shared" si="0"/>
        <v>4561.6908107420677</v>
      </c>
      <c r="K10" s="396"/>
      <c r="L10" s="322"/>
      <c r="M10" s="263"/>
      <c r="N10" s="263"/>
      <c r="O10" s="263"/>
      <c r="P10" s="263"/>
      <c r="Q10" s="263"/>
      <c r="R10" s="263"/>
    </row>
    <row r="11" spans="2:18" s="320" customFormat="1" ht="15.95" customHeight="1" outlineLevel="1">
      <c r="B11" s="469" t="s">
        <v>38</v>
      </c>
      <c r="C11" s="487" t="s">
        <v>492</v>
      </c>
      <c r="D11" s="748">
        <f>+'Producción Bruta (u.físicas)'!$E12</f>
        <v>182.24650000000003</v>
      </c>
      <c r="E11" s="748">
        <f>+'Balance Energético (u.físicas)'!$O$7</f>
        <v>0</v>
      </c>
      <c r="F11" s="748">
        <f>+'Balance Energético (u.físicas)'!$O$8</f>
        <v>0</v>
      </c>
      <c r="G11" s="748">
        <f>+'Balance Energético (u.físicas)'!$O$9</f>
        <v>-1.3108557487616976</v>
      </c>
      <c r="H11" s="748">
        <f>+'Balance Energético (u.físicas)'!$O$22</f>
        <v>177.06635574876165</v>
      </c>
      <c r="I11" s="748">
        <f>'Cuadro Consumo (u.físicas)'!$O$8</f>
        <v>6.4910000000000014</v>
      </c>
      <c r="J11" s="749">
        <f t="shared" si="0"/>
        <v>183.55735574876167</v>
      </c>
      <c r="K11" s="396"/>
      <c r="L11" s="322"/>
      <c r="M11" s="263"/>
      <c r="N11" s="263"/>
      <c r="O11" s="263"/>
      <c r="P11" s="263"/>
      <c r="Q11" s="263"/>
      <c r="R11" s="263"/>
    </row>
    <row r="12" spans="2:18" s="320" customFormat="1" ht="15.95" customHeight="1" outlineLevel="1">
      <c r="B12" s="469" t="s">
        <v>271</v>
      </c>
      <c r="C12" s="487" t="s">
        <v>515</v>
      </c>
      <c r="D12" s="748">
        <f>+'Producción Bruta (u.físicas)'!$E13</f>
        <v>304.82176999999996</v>
      </c>
      <c r="E12" s="748">
        <f>+'Balance Energético (u.físicas)'!$P$7</f>
        <v>962.95837000000051</v>
      </c>
      <c r="F12" s="748">
        <f>+'Balance Energético (u.físicas)'!$P$8</f>
        <v>37.462612</v>
      </c>
      <c r="G12" s="748">
        <f>+'Balance Energético (u.físicas)'!$P$9</f>
        <v>65.124383212853729</v>
      </c>
      <c r="H12" s="748">
        <f>+'Balance Energético (u.físicas)'!$P$22</f>
        <v>1157.9836430319594</v>
      </c>
      <c r="I12" s="748">
        <f>'Cuadro Consumo (u.físicas)'!$P$8</f>
        <v>7.2095017551872163</v>
      </c>
      <c r="J12" s="749">
        <f t="shared" si="0"/>
        <v>1165.1931447871466</v>
      </c>
      <c r="K12" s="396"/>
      <c r="L12" s="322"/>
      <c r="M12" s="263"/>
      <c r="N12" s="263"/>
      <c r="O12" s="263"/>
      <c r="P12" s="263"/>
      <c r="Q12" s="263"/>
      <c r="R12" s="263"/>
    </row>
    <row r="13" spans="2:18" s="320" customFormat="1" ht="15.95" customHeight="1" outlineLevel="1">
      <c r="B13" s="469" t="s">
        <v>272</v>
      </c>
      <c r="C13" s="487" t="s">
        <v>492</v>
      </c>
      <c r="D13" s="748">
        <f>+'Producción Bruta (u.físicas)'!$E14</f>
        <v>6.5342000000000002</v>
      </c>
      <c r="E13" s="748">
        <f>+'Balance Energético (u.físicas)'!$Q$7</f>
        <v>4.7640000000000011</v>
      </c>
      <c r="F13" s="748">
        <f>+'Balance Energético (u.físicas)'!$Q$8</f>
        <v>0</v>
      </c>
      <c r="G13" s="748">
        <f>+'Balance Energético (u.físicas)'!$Q$9</f>
        <v>2.4633325732760079</v>
      </c>
      <c r="H13" s="748">
        <f>+'Balance Energético (u.físicas)'!$Q$22</f>
        <v>8.8348674267239922</v>
      </c>
      <c r="I13" s="748">
        <f>'Cuadro Consumo (u.físicas)'!$Q$8</f>
        <v>0</v>
      </c>
      <c r="J13" s="749">
        <f t="shared" si="0"/>
        <v>8.8348674267239922</v>
      </c>
      <c r="K13" s="396"/>
      <c r="L13" s="322"/>
      <c r="M13" s="263"/>
      <c r="N13" s="263"/>
      <c r="O13" s="263"/>
      <c r="P13" s="263"/>
      <c r="Q13" s="263"/>
      <c r="R13" s="263"/>
    </row>
    <row r="14" spans="2:18" s="320" customFormat="1" ht="15.95" customHeight="1" outlineLevel="1">
      <c r="B14" s="469" t="s">
        <v>273</v>
      </c>
      <c r="C14" s="487" t="s">
        <v>492</v>
      </c>
      <c r="D14" s="748">
        <f>+'Producción Bruta (u.físicas)'!$E15</f>
        <v>706.63292000000001</v>
      </c>
      <c r="E14" s="748">
        <f>+'Balance Energético (u.físicas)'!$R$7</f>
        <v>617.47842700000001</v>
      </c>
      <c r="F14" s="748">
        <f>+'Balance Energético (u.físicas)'!$R$8</f>
        <v>0.34599999999999992</v>
      </c>
      <c r="G14" s="748">
        <f>+'Balance Energético (u.físicas)'!$R$9</f>
        <v>15.534261076219984</v>
      </c>
      <c r="H14" s="748">
        <f>+'Balance Energético (u.físicas)'!$R$22</f>
        <v>1308.0309859237802</v>
      </c>
      <c r="I14" s="748">
        <f>'Cuadro Consumo (u.físicas)'!$R$8</f>
        <v>0.2001</v>
      </c>
      <c r="J14" s="749">
        <f t="shared" si="0"/>
        <v>1308.2310859237803</v>
      </c>
      <c r="K14" s="396"/>
      <c r="L14" s="322"/>
      <c r="M14" s="263"/>
      <c r="N14" s="263"/>
      <c r="O14" s="263"/>
      <c r="P14" s="263"/>
      <c r="Q14" s="263"/>
      <c r="R14" s="263"/>
    </row>
    <row r="15" spans="2:18" s="320" customFormat="1" ht="15.95" customHeight="1" outlineLevel="1">
      <c r="B15" s="469" t="s">
        <v>40</v>
      </c>
      <c r="C15" s="487" t="s">
        <v>492</v>
      </c>
      <c r="D15" s="748">
        <f>+'Producción Bruta (u.físicas)'!$E16</f>
        <v>179.86060000000001</v>
      </c>
      <c r="E15" s="748">
        <f>+'Balance Energético (u.físicas)'!$S$7</f>
        <v>202.57520000000002</v>
      </c>
      <c r="F15" s="748">
        <f>+'Balance Energético (u.físicas)'!$S$8</f>
        <v>0</v>
      </c>
      <c r="G15" s="748">
        <f>+'Balance Energético (u.físicas)'!$S$9</f>
        <v>11.18739000000007</v>
      </c>
      <c r="H15" s="748">
        <f>+'Balance Energético (u.físicas)'!$S$22</f>
        <v>174.44467132381567</v>
      </c>
      <c r="I15" s="748">
        <f>'Cuadro Consumo (u.físicas)'!$S$8</f>
        <v>54.039299999999997</v>
      </c>
      <c r="J15" s="749">
        <f t="shared" si="0"/>
        <v>228.48397132381567</v>
      </c>
      <c r="K15" s="396"/>
      <c r="L15" s="322"/>
      <c r="M15" s="263"/>
      <c r="N15" s="263"/>
      <c r="O15" s="263"/>
      <c r="P15" s="263"/>
      <c r="Q15" s="263"/>
      <c r="R15" s="263"/>
    </row>
    <row r="16" spans="2:18" s="320" customFormat="1" ht="15.95" customHeight="1" outlineLevel="1">
      <c r="B16" s="469" t="s">
        <v>274</v>
      </c>
      <c r="C16" s="487" t="s">
        <v>492</v>
      </c>
      <c r="D16" s="748">
        <f>+'Producción Bruta (u.físicas)'!$E17</f>
        <v>346.50899547228465</v>
      </c>
      <c r="E16" s="748">
        <f>+'Balance Energético (u.físicas)'!$T$7</f>
        <v>0</v>
      </c>
      <c r="F16" s="748">
        <f>+'Balance Energético (u.físicas)'!$T$8</f>
        <v>0</v>
      </c>
      <c r="G16" s="748">
        <f>+'Balance Energético (u.físicas)'!$T$9</f>
        <v>0</v>
      </c>
      <c r="H16" s="748">
        <f>+'Balance Energético (u.físicas)'!$T$22</f>
        <v>346.50899547228465</v>
      </c>
      <c r="I16" s="748">
        <f>'Cuadro Consumo (u.físicas)'!$T$8</f>
        <v>0</v>
      </c>
      <c r="J16" s="749">
        <f t="shared" si="0"/>
        <v>346.50899547228465</v>
      </c>
      <c r="K16" s="396"/>
      <c r="L16" s="322"/>
      <c r="M16" s="263"/>
      <c r="N16" s="263"/>
      <c r="O16" s="263"/>
      <c r="P16" s="263"/>
      <c r="Q16" s="263"/>
      <c r="R16" s="263"/>
    </row>
    <row r="17" spans="2:18" s="320" customFormat="1" ht="15.95" customHeight="1" outlineLevel="1">
      <c r="B17" s="470" t="s">
        <v>275</v>
      </c>
      <c r="C17" s="487" t="s">
        <v>515</v>
      </c>
      <c r="D17" s="748">
        <f>+'Producción Bruta (u.físicas)'!$E18</f>
        <v>503.91863320810006</v>
      </c>
      <c r="E17" s="748">
        <f>+'Balance Energético (u.físicas)'!$U$7</f>
        <v>50.475000000000001</v>
      </c>
      <c r="F17" s="748">
        <f>+'Balance Energético (u.físicas)'!$U$8</f>
        <v>0</v>
      </c>
      <c r="G17" s="748">
        <f>+'Balance Energético (u.físicas)'!$U$9</f>
        <v>49.866065208099926</v>
      </c>
      <c r="H17" s="748">
        <f>+'Balance Energético (u.físicas)'!$U$22</f>
        <v>303.78056800000002</v>
      </c>
      <c r="I17" s="748">
        <f>'Cuadro Consumo (u.físicas)'!$U$8</f>
        <v>200.74700000000001</v>
      </c>
      <c r="J17" s="749">
        <f t="shared" si="0"/>
        <v>504.52756800000003</v>
      </c>
      <c r="K17" s="396"/>
      <c r="L17" s="322"/>
      <c r="M17" s="263"/>
      <c r="N17" s="263"/>
      <c r="O17" s="263"/>
      <c r="P17" s="263"/>
      <c r="Q17" s="263"/>
      <c r="R17" s="263"/>
    </row>
    <row r="18" spans="2:18" s="320" customFormat="1" ht="15.95" customHeight="1" outlineLevel="1">
      <c r="B18" s="470" t="s">
        <v>479</v>
      </c>
      <c r="C18" s="487" t="s">
        <v>515</v>
      </c>
      <c r="D18" s="748">
        <f>+'Producción Bruta (u.físicas)'!$E19</f>
        <v>164.09425484549979</v>
      </c>
      <c r="E18" s="748">
        <f>+'Balance Energético (u.físicas)'!$V$7</f>
        <v>0</v>
      </c>
      <c r="F18" s="748">
        <f>+'Balance Energético (u.físicas)'!$V$8</f>
        <v>6.4444334613023635</v>
      </c>
      <c r="G18" s="748">
        <f>+'Balance Energético (u.físicas)'!$V$9</f>
        <v>-79.082184144892565</v>
      </c>
      <c r="H18" s="748">
        <f>+'Balance Energético (u.físicas)'!$V$22</f>
        <v>236.73200552908997</v>
      </c>
      <c r="I18" s="748">
        <f>'Cuadro Consumo (u.físicas)'!$V$8</f>
        <v>0</v>
      </c>
      <c r="J18" s="749">
        <f t="shared" si="0"/>
        <v>236.73200552908997</v>
      </c>
      <c r="K18" s="396"/>
      <c r="L18" s="322"/>
      <c r="M18" s="263"/>
      <c r="N18" s="263"/>
      <c r="O18" s="263"/>
      <c r="P18" s="263"/>
      <c r="Q18" s="263"/>
      <c r="R18" s="263"/>
    </row>
    <row r="19" spans="2:18" s="320" customFormat="1" ht="15.95" customHeight="1">
      <c r="B19" s="473" t="s">
        <v>126</v>
      </c>
      <c r="C19" s="487" t="s">
        <v>482</v>
      </c>
      <c r="D19" s="749">
        <f>+'Producción Bruta (u.físicas)'!I9</f>
        <v>74525.148579295113</v>
      </c>
      <c r="E19" s="749">
        <f>+'Balance Energético (u.físicas)'!$W$7</f>
        <v>0</v>
      </c>
      <c r="F19" s="749">
        <f>+'Balance Energético (u.físicas)'!$W$8</f>
        <v>0</v>
      </c>
      <c r="G19" s="749">
        <f>+'Balance Energético (u.físicas)'!$W$9</f>
        <v>4214.0509673046254</v>
      </c>
      <c r="H19" s="749">
        <f>+'Balance Energético (u.físicas)'!$W$22</f>
        <v>70311.097611990481</v>
      </c>
      <c r="I19" s="749">
        <f>'Cuadro Consumo (u.físicas)'!$W$8</f>
        <v>0</v>
      </c>
      <c r="J19" s="749">
        <f t="shared" si="0"/>
        <v>70311.097611990481</v>
      </c>
      <c r="K19" s="396"/>
      <c r="L19" s="322"/>
      <c r="M19" s="263"/>
      <c r="N19" s="263"/>
      <c r="O19" s="263"/>
      <c r="P19" s="263"/>
      <c r="Q19" s="263"/>
      <c r="R19" s="263"/>
    </row>
    <row r="20" spans="2:18" s="320" customFormat="1" ht="15.95" customHeight="1">
      <c r="B20" s="473" t="s">
        <v>292</v>
      </c>
      <c r="C20" s="487" t="s">
        <v>515</v>
      </c>
      <c r="D20" s="749">
        <f>+'Producción Bruta (u.físicas)'!G9</f>
        <v>417.0198063085715</v>
      </c>
      <c r="E20" s="749">
        <f>+'Balance Energético (u.físicas)'!$X$7</f>
        <v>2.7414029999999996</v>
      </c>
      <c r="F20" s="749">
        <f>+'Balance Energético (u.físicas)'!$X$8</f>
        <v>39.820114285714283</v>
      </c>
      <c r="G20" s="749">
        <f>+'Balance Energético (u.físicas)'!$X$9</f>
        <v>7.3473999857142713</v>
      </c>
      <c r="H20" s="749">
        <f>+'Balance Energético (u.físicas)'!$X$22</f>
        <v>12.861333642857144</v>
      </c>
      <c r="I20" s="749">
        <f>'Cuadro Consumo (u.físicas)'!$X$8</f>
        <v>359.73236139428576</v>
      </c>
      <c r="J20" s="749">
        <f t="shared" si="0"/>
        <v>372.59369503714288</v>
      </c>
      <c r="K20" s="396"/>
      <c r="L20" s="322"/>
      <c r="M20" s="263"/>
      <c r="N20" s="263"/>
      <c r="O20" s="263"/>
      <c r="P20" s="263"/>
      <c r="Q20" s="263"/>
      <c r="R20" s="263"/>
    </row>
    <row r="21" spans="2:18" s="320" customFormat="1" ht="15.95" customHeight="1">
      <c r="B21" s="473" t="s">
        <v>277</v>
      </c>
      <c r="C21" s="487" t="s">
        <v>492</v>
      </c>
      <c r="D21" s="749">
        <f>+'Producción Bruta (u.físicas)'!G10</f>
        <v>190110.04434521729</v>
      </c>
      <c r="E21" s="749">
        <f>+'Balance Energético (u.físicas)'!$Y$7</f>
        <v>0</v>
      </c>
      <c r="F21" s="749">
        <f>+'Balance Energético (u.físicas)'!$Y$8</f>
        <v>0</v>
      </c>
      <c r="G21" s="749">
        <f>+'Balance Energético (u.físicas)'!$Y$9</f>
        <v>10788.284270932161</v>
      </c>
      <c r="H21" s="749">
        <f>+'Balance Energético (u.físicas)'!$Y$22</f>
        <v>168067.34873247123</v>
      </c>
      <c r="I21" s="749">
        <f>'Cuadro Consumo (u.físicas)'!$Y$8</f>
        <v>0</v>
      </c>
      <c r="J21" s="749">
        <f t="shared" si="0"/>
        <v>168067.34873247123</v>
      </c>
      <c r="K21" s="396"/>
      <c r="L21" s="322"/>
      <c r="M21" s="263"/>
      <c r="N21" s="263"/>
      <c r="O21" s="263"/>
      <c r="P21" s="263"/>
      <c r="Q21" s="263"/>
      <c r="R21" s="263"/>
    </row>
    <row r="22" spans="2:18" s="320" customFormat="1" ht="15.95" customHeight="1">
      <c r="B22" s="473" t="s">
        <v>341</v>
      </c>
      <c r="C22" s="487" t="s">
        <v>492</v>
      </c>
      <c r="D22" s="749">
        <f>+'Producción Bruta (u.físicas)'!G11</f>
        <v>19.545100000000001</v>
      </c>
      <c r="E22" s="749">
        <f>+'Balance Energético (u.físicas)'!$Z$7</f>
        <v>0</v>
      </c>
      <c r="F22" s="749">
        <f>+'Balance Energético (u.físicas)'!$Z$8</f>
        <v>0</v>
      </c>
      <c r="G22" s="749">
        <f>+'Balance Energético (u.físicas)'!$Z$9</f>
        <v>0</v>
      </c>
      <c r="H22" s="749">
        <f>+'Balance Energético (u.físicas)'!$Z$22</f>
        <v>19.545100000000001</v>
      </c>
      <c r="I22" s="749">
        <f>'Cuadro Consumo (u.físicas)'!$Z$8</f>
        <v>0</v>
      </c>
      <c r="J22" s="749">
        <f t="shared" si="0"/>
        <v>19.545100000000001</v>
      </c>
      <c r="K22" s="396"/>
      <c r="L22" s="322"/>
      <c r="M22" s="263"/>
      <c r="N22" s="263"/>
      <c r="O22" s="263"/>
      <c r="P22" s="263"/>
      <c r="Q22" s="263"/>
      <c r="R22" s="263"/>
    </row>
    <row r="23" spans="2:18" s="320" customFormat="1" ht="15.95" customHeight="1">
      <c r="B23" s="473" t="s">
        <v>478</v>
      </c>
      <c r="C23" s="487" t="s">
        <v>492</v>
      </c>
      <c r="D23" s="749">
        <f>+'Producción Bruta (u.físicas)'!G12</f>
        <v>1135994.5109765916</v>
      </c>
      <c r="E23" s="749">
        <f>+'Balance Energético (u.físicas)'!$AA$7</f>
        <v>0</v>
      </c>
      <c r="F23" s="749">
        <f>+'Balance Energético (u.físicas)'!$AA$8</f>
        <v>0</v>
      </c>
      <c r="G23" s="749">
        <f>+'Balance Energético (u.físicas)'!$AA$9</f>
        <v>128667.751838428</v>
      </c>
      <c r="H23" s="749">
        <f>+'Balance Energético (u.físicas)'!$AA$22</f>
        <v>1007326.7591381635</v>
      </c>
      <c r="I23" s="749">
        <f>'Cuadro Consumo (u.físicas)'!$AA$8</f>
        <v>13195</v>
      </c>
      <c r="J23" s="749">
        <f t="shared" si="0"/>
        <v>1020521.7591381635</v>
      </c>
      <c r="K23" s="396"/>
      <c r="L23" s="322"/>
      <c r="M23" s="263"/>
      <c r="N23" s="263"/>
      <c r="O23" s="263"/>
      <c r="P23" s="263"/>
      <c r="Q23" s="263"/>
      <c r="R23" s="263"/>
    </row>
    <row r="24" spans="2:18" s="320" customFormat="1" ht="15.95" customHeight="1">
      <c r="B24" s="473" t="s">
        <v>279</v>
      </c>
      <c r="C24" s="487" t="s">
        <v>368</v>
      </c>
      <c r="D24" s="749">
        <f>+'Producción Bruta (u.físicas)'!I10</f>
        <v>17.141387173913046</v>
      </c>
      <c r="E24" s="749">
        <f>+'Balance Energético (u.físicas)'!$AB$7</f>
        <v>1.767436</v>
      </c>
      <c r="F24" s="749">
        <f>+'Balance Energético (u.físicas)'!$AB$8</f>
        <v>0</v>
      </c>
      <c r="G24" s="749">
        <f>+'Balance Energético (u.físicas)'!$AB$9</f>
        <v>1.6279502184930448</v>
      </c>
      <c r="H24" s="749">
        <f>+'Balance Energético (u.físicas)'!$AB$22</f>
        <v>17.280872955419998</v>
      </c>
      <c r="I24" s="749">
        <f>'Cuadro Consumo (u.físicas)'!$AB$8</f>
        <v>0</v>
      </c>
      <c r="J24" s="749">
        <f t="shared" si="0"/>
        <v>17.280872955419998</v>
      </c>
      <c r="K24" s="396"/>
      <c r="L24" s="322"/>
      <c r="M24" s="263"/>
      <c r="N24" s="263"/>
      <c r="O24" s="263"/>
      <c r="P24" s="263"/>
      <c r="Q24" s="263"/>
      <c r="R24" s="263"/>
    </row>
    <row r="25" spans="2:18" s="320" customFormat="1" ht="15.95" customHeight="1">
      <c r="B25" s="473" t="s">
        <v>65</v>
      </c>
      <c r="C25" s="487" t="s">
        <v>515</v>
      </c>
      <c r="D25" s="749">
        <f>+'Producción Bruta (u.físicas)'!I11</f>
        <v>203.935</v>
      </c>
      <c r="E25" s="749">
        <f>+'Balance Energético (u.físicas)'!$AC$7</f>
        <v>0</v>
      </c>
      <c r="F25" s="749">
        <f>+'Balance Energético (u.físicas)'!$AC$8</f>
        <v>203.935</v>
      </c>
      <c r="G25" s="749">
        <f>+'Balance Energético (u.físicas)'!$AC$9</f>
        <v>0</v>
      </c>
      <c r="H25" s="749">
        <f>+'Balance Energético (u.físicas)'!$AC$22</f>
        <v>0</v>
      </c>
      <c r="I25" s="749">
        <f>'Cuadro Consumo (u.físicas)'!$AC$8</f>
        <v>0</v>
      </c>
      <c r="J25" s="749">
        <f t="shared" si="0"/>
        <v>0</v>
      </c>
      <c r="K25" s="396"/>
      <c r="L25" s="322"/>
      <c r="M25" s="263"/>
      <c r="N25" s="263"/>
      <c r="O25" s="263"/>
      <c r="P25" s="263"/>
      <c r="Q25" s="263"/>
      <c r="R25" s="263"/>
    </row>
    <row r="26" spans="2:18" s="320" customFormat="1" ht="15.95" customHeight="1">
      <c r="B26" s="473" t="s">
        <v>135</v>
      </c>
      <c r="C26" s="487" t="s">
        <v>368</v>
      </c>
      <c r="D26" s="749">
        <f>+'Producción Bruta (u.físicas)'!C10</f>
        <v>1006.4829377358</v>
      </c>
      <c r="E26" s="749">
        <f>+'Balance Energético (u.físicas)'!$E$7</f>
        <v>3726.6373404516107</v>
      </c>
      <c r="F26" s="749">
        <f>+'Balance Energético (u.físicas)'!$E$8</f>
        <v>0</v>
      </c>
      <c r="G26" s="749">
        <f>+'Balance Energético (u.físicas)'!$E$9</f>
        <v>292.33314248445197</v>
      </c>
      <c r="H26" s="749">
        <f>+'Balance Energético (u.físicas)'!$E$22</f>
        <v>1886.1030627545974</v>
      </c>
      <c r="I26" s="749">
        <f>'Cuadro Consumo (u.físicas)'!E8</f>
        <v>2470.6130729483612</v>
      </c>
      <c r="J26" s="749">
        <f t="shared" si="0"/>
        <v>4356.7161357029581</v>
      </c>
      <c r="K26" s="396"/>
      <c r="L26" s="322"/>
      <c r="M26" s="263"/>
      <c r="N26" s="263"/>
      <c r="O26" s="263"/>
      <c r="P26" s="263"/>
      <c r="Q26" s="263"/>
      <c r="R26" s="263"/>
    </row>
    <row r="27" spans="2:18" s="320" customFormat="1" ht="15.95" customHeight="1">
      <c r="B27" s="473" t="s">
        <v>41</v>
      </c>
      <c r="C27" s="487" t="s">
        <v>515</v>
      </c>
      <c r="D27" s="749">
        <f>+'Producción Bruta (u.físicas)'!C11</f>
        <v>1930.5550285714282</v>
      </c>
      <c r="E27" s="749">
        <f>+'Balance Energético (u.físicas)'!$F$7</f>
        <v>8532.6985380714177</v>
      </c>
      <c r="F27" s="749">
        <f>+'Balance Energético (u.físicas)'!$F$8</f>
        <v>843.94</v>
      </c>
      <c r="G27" s="749">
        <f>+'Balance Energético (u.físicas)'!$F$9</f>
        <v>-1175.2745412574754</v>
      </c>
      <c r="H27" s="749">
        <f>+'Balance Energético (u.físicas)'!$F$22</f>
        <v>386.22211038275753</v>
      </c>
      <c r="I27" s="749">
        <f>'Cuadro Consumo (u.físicas)'!F8</f>
        <v>10408.365997517565</v>
      </c>
      <c r="J27" s="749">
        <f t="shared" si="0"/>
        <v>10794.588107900323</v>
      </c>
      <c r="K27" s="396"/>
      <c r="L27" s="322"/>
      <c r="M27" s="263"/>
      <c r="N27" s="263"/>
      <c r="O27" s="263"/>
      <c r="P27" s="263"/>
      <c r="Q27" s="263"/>
      <c r="R27" s="263"/>
    </row>
    <row r="28" spans="2:18" s="320" customFormat="1" ht="15.95" customHeight="1">
      <c r="B28" s="471" t="s">
        <v>447</v>
      </c>
      <c r="C28" s="487" t="s">
        <v>515</v>
      </c>
      <c r="D28" s="749">
        <f>+'Producción Bruta (u.físicas)'!C12</f>
        <v>22044.515220482739</v>
      </c>
      <c r="E28" s="749">
        <f>+'Balance Energético (u.físicas)'!$G$7</f>
        <v>22.260882617832483</v>
      </c>
      <c r="F28" s="749">
        <f>+'Balance Energético (u.físicas)'!$G$8</f>
        <v>0.151</v>
      </c>
      <c r="G28" s="749">
        <f>+'Balance Energético (u.físicas)'!$G$9</f>
        <v>163.61721908485217</v>
      </c>
      <c r="H28" s="749">
        <f>+'Balance Energético (u.físicas)'!$G$22</f>
        <v>11186.998081002286</v>
      </c>
      <c r="I28" s="749">
        <f>'Cuadro Consumo (u.físicas)'!G8</f>
        <v>10716.009803013443</v>
      </c>
      <c r="J28" s="749">
        <f t="shared" si="0"/>
        <v>21903.007884015729</v>
      </c>
      <c r="K28" s="396"/>
      <c r="L28" s="322"/>
      <c r="M28" s="263"/>
      <c r="N28" s="263"/>
      <c r="O28" s="263"/>
      <c r="P28" s="263"/>
      <c r="Q28" s="263"/>
      <c r="R28" s="263"/>
    </row>
    <row r="29" spans="2:18" s="320" customFormat="1" ht="15.95" customHeight="1">
      <c r="B29" s="473" t="s">
        <v>42</v>
      </c>
      <c r="C29" s="487" t="s">
        <v>368</v>
      </c>
      <c r="D29" s="749">
        <f>+'Producción Bruta (u.físicas)'!C16</f>
        <v>156.59238928051934</v>
      </c>
      <c r="E29" s="749">
        <f>+'Balance Energético (u.físicas)'!$K$7</f>
        <v>0</v>
      </c>
      <c r="F29" s="749">
        <f>+'Balance Energético (u.físicas)'!$K$8</f>
        <v>0</v>
      </c>
      <c r="G29" s="749">
        <f>+'Balance Energético (u.físicas)'!$K$9</f>
        <v>6.138047051036871</v>
      </c>
      <c r="H29" s="749">
        <f>+'Balance Energético (u.físicas)'!$K$22</f>
        <v>29.266479</v>
      </c>
      <c r="I29" s="749">
        <f>'Cuadro Consumo (u.físicas)'!K8</f>
        <v>121.18786322948245</v>
      </c>
      <c r="J29" s="749">
        <f t="shared" si="0"/>
        <v>150.45434222948245</v>
      </c>
      <c r="K29" s="396"/>
      <c r="L29" s="322"/>
      <c r="M29" s="263"/>
      <c r="N29" s="263"/>
      <c r="O29" s="263"/>
      <c r="P29" s="263"/>
      <c r="Q29" s="263"/>
      <c r="R29" s="263"/>
    </row>
    <row r="30" spans="2:18">
      <c r="C30" s="324"/>
      <c r="D30" s="280"/>
      <c r="F30" s="289"/>
      <c r="G30" s="291"/>
      <c r="H30" s="289"/>
      <c r="I30" s="289"/>
      <c r="J30" s="289"/>
      <c r="K30" s="289"/>
      <c r="L30" s="290"/>
    </row>
    <row r="31" spans="2:18">
      <c r="B31" s="272" t="s">
        <v>293</v>
      </c>
      <c r="C31" s="325"/>
      <c r="D31" s="281"/>
      <c r="E31" s="281"/>
      <c r="F31" s="162"/>
      <c r="G31" s="490"/>
      <c r="H31" s="162"/>
      <c r="I31" s="162"/>
      <c r="J31" s="162"/>
      <c r="K31" s="162"/>
      <c r="L31" s="292"/>
    </row>
    <row r="32" spans="2:18">
      <c r="B32" s="272" t="s">
        <v>527</v>
      </c>
      <c r="C32" s="326"/>
      <c r="D32" s="289"/>
      <c r="E32" s="289"/>
      <c r="F32" s="289"/>
      <c r="G32" s="490"/>
      <c r="H32" s="289"/>
      <c r="I32" s="289"/>
      <c r="J32" s="289"/>
      <c r="K32" s="289"/>
      <c r="L32" s="290"/>
    </row>
    <row r="33" spans="1:12">
      <c r="B33" s="289"/>
      <c r="C33" s="326"/>
      <c r="D33" s="289"/>
      <c r="E33" s="289"/>
      <c r="F33" s="289"/>
      <c r="G33" s="490"/>
      <c r="H33" s="289"/>
      <c r="I33" s="289"/>
      <c r="J33" s="289"/>
      <c r="K33" s="289"/>
      <c r="L33" s="290"/>
    </row>
    <row r="34" spans="1:12">
      <c r="B34" s="289"/>
      <c r="C34" s="326"/>
      <c r="D34" s="289"/>
      <c r="E34" s="289"/>
      <c r="F34" s="289"/>
      <c r="G34" s="490"/>
      <c r="H34" s="289"/>
      <c r="I34" s="289"/>
      <c r="J34" s="289"/>
      <c r="K34" s="289"/>
      <c r="L34" s="290"/>
    </row>
    <row r="35" spans="1:12">
      <c r="B35" s="289"/>
      <c r="C35" s="326"/>
      <c r="D35" s="289"/>
      <c r="E35" s="289"/>
      <c r="F35" s="289"/>
      <c r="G35" s="490"/>
      <c r="H35" s="289"/>
      <c r="I35" s="289"/>
      <c r="J35" s="289"/>
      <c r="K35" s="289"/>
      <c r="L35" s="290"/>
    </row>
    <row r="36" spans="1:12">
      <c r="B36" s="288"/>
      <c r="C36" s="327"/>
      <c r="D36" s="288"/>
      <c r="E36" s="288"/>
      <c r="F36" s="288"/>
      <c r="G36" s="490"/>
      <c r="H36" s="288"/>
      <c r="I36" s="288"/>
      <c r="J36" s="288"/>
    </row>
    <row r="37" spans="1:12">
      <c r="B37" s="288"/>
      <c r="C37" s="327"/>
      <c r="D37" s="288"/>
      <c r="E37" s="288"/>
      <c r="F37" s="288"/>
      <c r="G37" s="490"/>
      <c r="H37" s="288"/>
      <c r="I37" s="288"/>
      <c r="J37" s="288"/>
    </row>
    <row r="38" spans="1:12">
      <c r="B38" s="288"/>
      <c r="C38" s="327"/>
      <c r="D38" s="288"/>
      <c r="E38" s="288"/>
      <c r="F38" s="288"/>
      <c r="G38" s="490"/>
      <c r="H38" s="288"/>
      <c r="I38" s="288"/>
      <c r="J38" s="288"/>
    </row>
    <row r="39" spans="1:12">
      <c r="A39" s="288"/>
      <c r="B39" s="288"/>
      <c r="C39" s="327"/>
      <c r="D39" s="288"/>
      <c r="E39" s="288"/>
      <c r="F39" s="288"/>
      <c r="G39" s="359"/>
      <c r="H39" s="288"/>
      <c r="I39" s="288"/>
      <c r="J39" s="288"/>
    </row>
    <row r="40" spans="1:12">
      <c r="A40" s="288"/>
      <c r="B40" s="288"/>
      <c r="C40" s="327"/>
      <c r="D40" s="288"/>
      <c r="E40" s="288"/>
      <c r="F40" s="288"/>
      <c r="G40" s="288"/>
      <c r="H40" s="288"/>
      <c r="I40" s="288"/>
      <c r="J40" s="288"/>
    </row>
    <row r="41" spans="1:12">
      <c r="A41" s="288"/>
      <c r="B41" s="288"/>
      <c r="C41" s="327"/>
      <c r="D41" s="288"/>
      <c r="E41" s="288"/>
      <c r="F41" s="288"/>
      <c r="G41" s="288"/>
      <c r="H41" s="288"/>
      <c r="I41" s="288"/>
      <c r="J41" s="288"/>
    </row>
    <row r="42" spans="1:12" s="288" customFormat="1">
      <c r="C42" s="327"/>
    </row>
    <row r="43" spans="1:12" s="288" customFormat="1">
      <c r="C43" s="327"/>
    </row>
    <row r="44" spans="1:12" s="288" customFormat="1">
      <c r="C44" s="327"/>
    </row>
    <row r="45" spans="1:12" s="288" customFormat="1">
      <c r="C45" s="327"/>
    </row>
    <row r="46" spans="1:12" s="288" customFormat="1">
      <c r="C46" s="327"/>
    </row>
    <row r="47" spans="1:12" s="288" customFormat="1">
      <c r="C47" s="327"/>
    </row>
    <row r="48" spans="1:12" s="288" customFormat="1">
      <c r="C48" s="327"/>
    </row>
    <row r="49" spans="3:10" s="288" customFormat="1">
      <c r="C49" s="327"/>
    </row>
    <row r="50" spans="3:10" s="288" customFormat="1">
      <c r="C50" s="327"/>
    </row>
    <row r="51" spans="3:10" s="288" customFormat="1">
      <c r="C51" s="327"/>
    </row>
    <row r="52" spans="3:10" s="288" customFormat="1">
      <c r="C52" s="327"/>
    </row>
    <row r="53" spans="3:10" s="288" customFormat="1">
      <c r="C53" s="327"/>
    </row>
    <row r="54" spans="3:10" s="288" customFormat="1">
      <c r="C54" s="327"/>
    </row>
    <row r="55" spans="3:10" s="288" customFormat="1">
      <c r="C55" s="327"/>
    </row>
    <row r="56" spans="3:10" s="288" customFormat="1">
      <c r="C56" s="327"/>
    </row>
    <row r="57" spans="3:10" s="288" customFormat="1">
      <c r="C57" s="327"/>
    </row>
    <row r="58" spans="3:10" s="288" customFormat="1">
      <c r="C58" s="327"/>
    </row>
    <row r="59" spans="3:10" s="288" customFormat="1">
      <c r="C59" s="327"/>
    </row>
    <row r="60" spans="3:10" s="288" customFormat="1">
      <c r="C60" s="327"/>
    </row>
    <row r="61" spans="3:10" s="288" customFormat="1">
      <c r="C61" s="327"/>
    </row>
    <row r="62" spans="3:10" s="288" customFormat="1">
      <c r="C62" s="327"/>
    </row>
    <row r="63" spans="3:10" s="288" customFormat="1">
      <c r="C63" s="327"/>
    </row>
    <row r="64" spans="3:10">
      <c r="D64" s="288"/>
      <c r="E64" s="288"/>
      <c r="F64" s="288"/>
      <c r="G64" s="288"/>
      <c r="H64" s="288"/>
      <c r="I64" s="288"/>
      <c r="J64" s="288"/>
    </row>
    <row r="65" spans="4:10">
      <c r="D65" s="288"/>
      <c r="E65" s="288"/>
      <c r="F65" s="288"/>
      <c r="G65" s="288"/>
      <c r="H65" s="288"/>
      <c r="I65" s="288"/>
      <c r="J65" s="288"/>
    </row>
    <row r="66" spans="4:10">
      <c r="D66" s="288"/>
      <c r="E66" s="288"/>
      <c r="F66" s="288"/>
      <c r="G66" s="288"/>
      <c r="H66" s="288"/>
      <c r="I66" s="288"/>
      <c r="J66" s="288"/>
    </row>
    <row r="67" spans="4:10">
      <c r="D67" s="288"/>
      <c r="E67" s="288"/>
      <c r="F67" s="288"/>
      <c r="G67" s="288"/>
      <c r="H67" s="288"/>
      <c r="I67" s="288"/>
      <c r="J67" s="288"/>
    </row>
    <row r="68" spans="4:10">
      <c r="D68" s="288"/>
      <c r="E68" s="288"/>
      <c r="F68" s="288"/>
      <c r="G68" s="288"/>
      <c r="H68" s="288"/>
      <c r="I68" s="288"/>
      <c r="J68" s="288"/>
    </row>
    <row r="69" spans="4:10">
      <c r="D69" s="288"/>
      <c r="E69" s="288"/>
      <c r="F69" s="288"/>
      <c r="G69" s="288"/>
      <c r="H69" s="288"/>
      <c r="I69" s="288"/>
      <c r="J69" s="288"/>
    </row>
    <row r="70" spans="4:10">
      <c r="D70" s="288"/>
      <c r="E70" s="288"/>
      <c r="F70" s="288"/>
      <c r="G70" s="288"/>
      <c r="H70" s="288"/>
      <c r="I70" s="288"/>
      <c r="J70" s="288"/>
    </row>
    <row r="71" spans="4:10">
      <c r="D71" s="288"/>
      <c r="E71" s="288"/>
      <c r="F71" s="288"/>
      <c r="G71" s="288"/>
      <c r="H71" s="288"/>
      <c r="I71" s="288"/>
      <c r="J71" s="288"/>
    </row>
    <row r="72" spans="4:10">
      <c r="D72" s="288"/>
      <c r="E72" s="288"/>
      <c r="F72" s="288"/>
      <c r="G72" s="288"/>
      <c r="H72" s="288"/>
      <c r="I72" s="288"/>
      <c r="J72" s="288"/>
    </row>
    <row r="73" spans="4:10">
      <c r="D73" s="288"/>
      <c r="E73" s="288"/>
      <c r="F73" s="288"/>
      <c r="G73" s="288"/>
      <c r="H73" s="288"/>
      <c r="I73" s="288"/>
      <c r="J73" s="288"/>
    </row>
    <row r="74" spans="4:10">
      <c r="D74" s="288"/>
      <c r="E74" s="288"/>
      <c r="F74" s="288"/>
      <c r="G74" s="288"/>
      <c r="H74" s="288"/>
      <c r="I74" s="288"/>
      <c r="J74" s="288"/>
    </row>
    <row r="75" spans="4:10">
      <c r="D75" s="288"/>
      <c r="E75" s="288"/>
      <c r="F75" s="288"/>
      <c r="G75" s="288"/>
      <c r="H75" s="288"/>
      <c r="I75" s="288"/>
      <c r="J75" s="288"/>
    </row>
    <row r="76" spans="4:10">
      <c r="D76" s="288"/>
      <c r="E76" s="288"/>
      <c r="F76" s="288"/>
      <c r="G76" s="288"/>
      <c r="H76" s="288"/>
      <c r="I76" s="288"/>
      <c r="J76" s="288"/>
    </row>
    <row r="77" spans="4:10">
      <c r="D77" s="288"/>
      <c r="E77" s="288"/>
      <c r="F77" s="288"/>
      <c r="G77" s="288"/>
      <c r="H77" s="288"/>
      <c r="I77" s="288"/>
      <c r="J77" s="288"/>
    </row>
    <row r="78" spans="4:10">
      <c r="D78" s="288"/>
      <c r="E78" s="288"/>
      <c r="F78" s="288"/>
      <c r="G78" s="288"/>
      <c r="H78" s="288"/>
      <c r="I78" s="288"/>
      <c r="J78" s="288"/>
    </row>
    <row r="79" spans="4:10">
      <c r="D79" s="288"/>
      <c r="E79" s="288"/>
      <c r="F79" s="288"/>
      <c r="G79" s="288"/>
      <c r="H79" s="288"/>
      <c r="I79" s="288"/>
      <c r="J79" s="288"/>
    </row>
    <row r="80" spans="4:10">
      <c r="D80" s="288"/>
      <c r="E80" s="288"/>
      <c r="F80" s="288"/>
      <c r="G80" s="288"/>
      <c r="H80" s="288"/>
      <c r="I80" s="288"/>
      <c r="J80" s="288"/>
    </row>
    <row r="81" spans="4:10">
      <c r="D81" s="288"/>
      <c r="E81" s="288"/>
      <c r="F81" s="288"/>
      <c r="G81" s="288"/>
      <c r="H81" s="288"/>
      <c r="I81" s="288"/>
      <c r="J81" s="288"/>
    </row>
    <row r="82" spans="4:10">
      <c r="D82" s="288"/>
      <c r="E82" s="288"/>
      <c r="F82" s="288"/>
      <c r="G82" s="288"/>
      <c r="H82" s="288"/>
      <c r="I82" s="288"/>
      <c r="J82" s="288"/>
    </row>
    <row r="83" spans="4:10">
      <c r="D83" s="288"/>
      <c r="E83" s="288"/>
      <c r="F83" s="288"/>
      <c r="G83" s="288"/>
      <c r="H83" s="288"/>
      <c r="I83" s="288"/>
      <c r="J83" s="288"/>
    </row>
    <row r="84" spans="4:10">
      <c r="D84" s="288"/>
      <c r="E84" s="288"/>
      <c r="F84" s="288"/>
      <c r="G84" s="288"/>
      <c r="H84" s="288"/>
      <c r="I84" s="288"/>
      <c r="J84" s="288"/>
    </row>
    <row r="85" spans="4:10">
      <c r="D85" s="288"/>
      <c r="E85" s="288"/>
      <c r="F85" s="288"/>
      <c r="G85" s="288"/>
      <c r="H85" s="288"/>
      <c r="I85" s="288"/>
      <c r="J85" s="288"/>
    </row>
    <row r="86" spans="4:10">
      <c r="D86" s="288"/>
      <c r="E86" s="288"/>
      <c r="F86" s="288"/>
      <c r="G86" s="288"/>
      <c r="H86" s="288"/>
      <c r="I86" s="288"/>
      <c r="J86" s="288"/>
    </row>
    <row r="87" spans="4:10">
      <c r="D87" s="288"/>
      <c r="E87" s="288"/>
      <c r="F87" s="288"/>
      <c r="G87" s="288"/>
      <c r="H87" s="288"/>
      <c r="I87" s="288"/>
      <c r="J87" s="288"/>
    </row>
    <row r="88" spans="4:10">
      <c r="D88" s="288"/>
      <c r="E88" s="288"/>
      <c r="F88" s="288"/>
      <c r="G88" s="288"/>
      <c r="H88" s="288"/>
      <c r="I88" s="288"/>
      <c r="J88" s="288"/>
    </row>
    <row r="89" spans="4:10">
      <c r="D89" s="288"/>
      <c r="E89" s="288"/>
      <c r="F89" s="288"/>
      <c r="G89" s="288"/>
      <c r="H89" s="288"/>
      <c r="I89" s="288"/>
      <c r="J89" s="288"/>
    </row>
    <row r="90" spans="4:10">
      <c r="D90" s="288"/>
      <c r="E90" s="288"/>
      <c r="F90" s="288"/>
      <c r="G90" s="288"/>
      <c r="H90" s="288"/>
      <c r="I90" s="288"/>
      <c r="J90" s="288"/>
    </row>
    <row r="91" spans="4:10">
      <c r="D91" s="288"/>
      <c r="E91" s="288"/>
      <c r="F91" s="288"/>
      <c r="G91" s="288"/>
      <c r="H91" s="288"/>
      <c r="I91" s="288"/>
      <c r="J91" s="288"/>
    </row>
    <row r="92" spans="4:10">
      <c r="D92" s="288"/>
      <c r="E92" s="288"/>
      <c r="F92" s="288"/>
      <c r="G92" s="288"/>
      <c r="H92" s="288"/>
      <c r="I92" s="288"/>
      <c r="J92" s="288"/>
    </row>
    <row r="93" spans="4:10">
      <c r="D93" s="288"/>
      <c r="E93" s="288"/>
      <c r="F93" s="288"/>
      <c r="G93" s="288"/>
      <c r="H93" s="288"/>
      <c r="I93" s="288"/>
      <c r="J93" s="288"/>
    </row>
    <row r="94" spans="4:10">
      <c r="D94" s="288"/>
      <c r="E94" s="288"/>
      <c r="F94" s="288"/>
      <c r="G94" s="288"/>
      <c r="H94" s="288"/>
      <c r="I94" s="288"/>
      <c r="J94" s="288"/>
    </row>
    <row r="95" spans="4:10">
      <c r="D95" s="288"/>
      <c r="E95" s="288"/>
      <c r="F95" s="288"/>
      <c r="G95" s="288"/>
      <c r="H95" s="288"/>
      <c r="I95" s="288"/>
      <c r="J95" s="288"/>
    </row>
    <row r="96" spans="4:10">
      <c r="D96" s="288"/>
      <c r="E96" s="288"/>
      <c r="F96" s="288"/>
      <c r="G96" s="288"/>
      <c r="H96" s="288"/>
      <c r="I96" s="288"/>
      <c r="J96" s="288"/>
    </row>
    <row r="97" spans="4:10">
      <c r="D97" s="288"/>
      <c r="E97" s="288"/>
      <c r="F97" s="288"/>
      <c r="G97" s="288"/>
      <c r="H97" s="288"/>
      <c r="I97" s="288"/>
      <c r="J97" s="288"/>
    </row>
    <row r="98" spans="4:10">
      <c r="D98" s="288"/>
      <c r="E98" s="288"/>
      <c r="F98" s="288"/>
      <c r="G98" s="288"/>
      <c r="H98" s="288"/>
      <c r="I98" s="288"/>
      <c r="J98" s="288"/>
    </row>
  </sheetData>
  <mergeCells count="12">
    <mergeCell ref="B2:J2"/>
    <mergeCell ref="B3:J3"/>
    <mergeCell ref="B4:J4"/>
    <mergeCell ref="C5:C6"/>
    <mergeCell ref="B5:B6"/>
    <mergeCell ref="E5:E6"/>
    <mergeCell ref="F5:F6"/>
    <mergeCell ref="D5:D6"/>
    <mergeCell ref="G5:G6"/>
    <mergeCell ref="H5:H6"/>
    <mergeCell ref="I5:I6"/>
    <mergeCell ref="J5:J6"/>
  </mergeCells>
  <phoneticPr fontId="0" type="noConversion"/>
  <hyperlinks>
    <hyperlink ref="L2" location="INDICE!A40" display="VOLVER A INDICE"/>
    <hyperlink ref="L2:L3" location="Índice!A1" display="VOLVER A INDICE"/>
  </hyperlinks>
  <pageMargins left="0.75" right="0.75" top="1" bottom="1" header="0" footer="0"/>
  <pageSetup scale="5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tabColor theme="6" tint="0.39997558519241921"/>
  </sheetPr>
  <dimension ref="A1:X115"/>
  <sheetViews>
    <sheetView workbookViewId="0"/>
  </sheetViews>
  <sheetFormatPr baseColWidth="10" defaultRowHeight="12.75" outlineLevelRow="1"/>
  <cols>
    <col min="1" max="1" width="1.28515625" style="134" customWidth="1"/>
    <col min="2" max="2" width="30.5703125" style="134" customWidth="1"/>
    <col min="3" max="3" width="11.85546875" style="134" bestFit="1" customWidth="1"/>
    <col min="4" max="4" width="12.7109375" style="134" bestFit="1" customWidth="1"/>
    <col min="5" max="6" width="11.7109375" style="134" bestFit="1" customWidth="1"/>
    <col min="7" max="10" width="13.42578125" style="134" bestFit="1" customWidth="1"/>
    <col min="11" max="24" width="11.42578125" style="2"/>
    <col min="25" max="16384" width="11.42578125" style="134"/>
  </cols>
  <sheetData>
    <row r="1" spans="1:24" ht="5.25" customHeight="1">
      <c r="A1" s="175"/>
      <c r="B1" s="175"/>
      <c r="C1" s="175"/>
      <c r="D1" s="175"/>
      <c r="E1" s="175"/>
      <c r="F1" s="175"/>
      <c r="G1" s="175"/>
      <c r="H1" s="175"/>
      <c r="I1" s="175"/>
      <c r="J1" s="175"/>
      <c r="K1" s="24"/>
      <c r="L1" s="24"/>
    </row>
    <row r="2" spans="1:24" s="301" customFormat="1" ht="15.95" customHeight="1">
      <c r="A2" s="298"/>
      <c r="B2" s="826" t="s">
        <v>127</v>
      </c>
      <c r="C2" s="826"/>
      <c r="D2" s="826"/>
      <c r="E2" s="826"/>
      <c r="F2" s="826"/>
      <c r="G2" s="826"/>
      <c r="H2" s="826"/>
      <c r="I2" s="826"/>
      <c r="J2" s="826"/>
      <c r="L2" s="693" t="s">
        <v>229</v>
      </c>
      <c r="M2" s="329"/>
      <c r="N2" s="207"/>
      <c r="O2" s="207"/>
      <c r="P2" s="207"/>
      <c r="Q2" s="207"/>
      <c r="R2" s="207"/>
      <c r="S2" s="207"/>
      <c r="T2" s="207"/>
      <c r="U2" s="207"/>
      <c r="V2" s="207"/>
      <c r="W2" s="207"/>
      <c r="X2" s="207"/>
    </row>
    <row r="3" spans="1:24" s="301" customFormat="1" ht="15.95" customHeight="1">
      <c r="A3" s="298"/>
      <c r="B3" s="873" t="s">
        <v>347</v>
      </c>
      <c r="C3" s="873"/>
      <c r="D3" s="873"/>
      <c r="E3" s="873"/>
      <c r="F3" s="873"/>
      <c r="G3" s="873"/>
      <c r="H3" s="873"/>
      <c r="I3" s="873"/>
      <c r="J3" s="873"/>
      <c r="L3" s="397"/>
      <c r="M3" s="329"/>
      <c r="N3" s="207"/>
      <c r="O3" s="207"/>
      <c r="P3" s="207"/>
      <c r="Q3" s="207"/>
      <c r="R3" s="207"/>
      <c r="S3" s="207"/>
      <c r="T3" s="207"/>
      <c r="U3" s="207"/>
      <c r="V3" s="207"/>
      <c r="W3" s="207"/>
      <c r="X3" s="207"/>
    </row>
    <row r="4" spans="1:24" s="301" customFormat="1" ht="15.95" customHeight="1">
      <c r="A4" s="298"/>
      <c r="B4" s="874" t="s">
        <v>446</v>
      </c>
      <c r="C4" s="874"/>
      <c r="D4" s="874"/>
      <c r="E4" s="874"/>
      <c r="F4" s="874"/>
      <c r="G4" s="874"/>
      <c r="H4" s="874"/>
      <c r="I4" s="874"/>
      <c r="J4" s="874"/>
      <c r="K4" s="397"/>
      <c r="L4" s="328"/>
      <c r="M4" s="329"/>
      <c r="N4" s="207"/>
      <c r="O4" s="207"/>
      <c r="P4" s="207"/>
      <c r="Q4" s="207"/>
      <c r="R4" s="207"/>
      <c r="S4" s="207"/>
      <c r="T4" s="207"/>
      <c r="U4" s="207"/>
      <c r="V4" s="207"/>
      <c r="W4" s="207"/>
      <c r="X4" s="207"/>
    </row>
    <row r="5" spans="1:24" s="301" customFormat="1" ht="15.95" customHeight="1">
      <c r="A5" s="298"/>
      <c r="B5" s="819" t="s">
        <v>253</v>
      </c>
      <c r="C5" s="819" t="s">
        <v>483</v>
      </c>
      <c r="D5" s="827" t="s">
        <v>285</v>
      </c>
      <c r="E5" s="827" t="s">
        <v>522</v>
      </c>
      <c r="F5" s="827" t="s">
        <v>523</v>
      </c>
      <c r="G5" s="827" t="s">
        <v>369</v>
      </c>
      <c r="H5" s="827" t="s">
        <v>62</v>
      </c>
      <c r="I5" s="827" t="s">
        <v>521</v>
      </c>
      <c r="J5" s="827" t="s">
        <v>64</v>
      </c>
      <c r="K5" s="397"/>
      <c r="L5" s="328"/>
      <c r="M5" s="329"/>
      <c r="N5" s="207"/>
      <c r="O5" s="207"/>
      <c r="P5" s="207"/>
      <c r="Q5" s="207"/>
      <c r="R5" s="207"/>
      <c r="S5" s="207"/>
      <c r="T5" s="207"/>
      <c r="U5" s="207"/>
      <c r="V5" s="207"/>
      <c r="W5" s="207"/>
      <c r="X5" s="207"/>
    </row>
    <row r="6" spans="1:24" s="301" customFormat="1" ht="15.95" customHeight="1">
      <c r="A6" s="298"/>
      <c r="B6" s="819"/>
      <c r="C6" s="819"/>
      <c r="D6" s="827"/>
      <c r="E6" s="827"/>
      <c r="F6" s="827"/>
      <c r="G6" s="827"/>
      <c r="H6" s="827"/>
      <c r="I6" s="827"/>
      <c r="J6" s="827"/>
      <c r="K6" s="398"/>
      <c r="L6" s="328"/>
      <c r="M6" s="329"/>
      <c r="N6" s="207"/>
      <c r="O6" s="207"/>
      <c r="P6" s="207"/>
      <c r="Q6" s="207"/>
      <c r="R6" s="207"/>
      <c r="S6" s="207"/>
      <c r="T6" s="207"/>
      <c r="U6" s="207"/>
      <c r="V6" s="207"/>
      <c r="W6" s="207"/>
      <c r="X6" s="207"/>
    </row>
    <row r="7" spans="1:24" s="301" customFormat="1" ht="15.95" customHeight="1">
      <c r="A7" s="298"/>
      <c r="B7" s="473" t="s">
        <v>518</v>
      </c>
      <c r="C7" s="466"/>
      <c r="D7" s="466"/>
      <c r="E7" s="466"/>
      <c r="F7" s="466"/>
      <c r="G7" s="466"/>
      <c r="H7" s="466"/>
      <c r="I7" s="466"/>
      <c r="J7" s="466"/>
      <c r="K7" s="398"/>
      <c r="L7" s="328"/>
      <c r="M7" s="329"/>
      <c r="N7" s="207"/>
      <c r="O7" s="207"/>
      <c r="P7" s="207"/>
      <c r="Q7" s="207"/>
      <c r="R7" s="207"/>
      <c r="S7" s="207"/>
      <c r="T7" s="207"/>
      <c r="U7" s="207"/>
      <c r="V7" s="207"/>
      <c r="W7" s="207"/>
      <c r="X7" s="207"/>
    </row>
    <row r="8" spans="1:24" s="301" customFormat="1" ht="15.95" customHeight="1" outlineLevel="1">
      <c r="A8" s="298"/>
      <c r="B8" s="469" t="s">
        <v>269</v>
      </c>
      <c r="C8" s="487" t="s">
        <v>492</v>
      </c>
      <c r="D8" s="748">
        <f>+'Balance Energético (u.físicas)'!$L$43</f>
        <v>4501.6448358762354</v>
      </c>
      <c r="E8" s="748">
        <f>+'Balance Energético (u.físicas)'!$L$31</f>
        <v>3426.6175571701929</v>
      </c>
      <c r="F8" s="748">
        <f>+'Balance Energético (u.físicas)'!$L$48</f>
        <v>277.84208286903919</v>
      </c>
      <c r="G8" s="748">
        <f>+'Balance Energético (u.físicas)'!$L$23</f>
        <v>9.2574000000000004E-2</v>
      </c>
      <c r="H8" s="748">
        <f>+'Balance Energético (u.físicas)'!$L$22</f>
        <v>8206.1970499154686</v>
      </c>
      <c r="I8" s="748">
        <f>'Cuadro Consumo (u.físicas)'!$L$8</f>
        <v>729.14164186756739</v>
      </c>
      <c r="J8" s="749">
        <f>+SUM(H8:I8)</f>
        <v>8935.3386917830358</v>
      </c>
      <c r="K8" s="398"/>
      <c r="L8" s="330"/>
      <c r="M8" s="329"/>
      <c r="N8" s="207"/>
      <c r="O8" s="207"/>
      <c r="P8" s="207"/>
      <c r="Q8" s="207"/>
      <c r="R8" s="207"/>
      <c r="S8" s="207"/>
      <c r="T8" s="207"/>
      <c r="U8" s="207"/>
      <c r="V8" s="207"/>
      <c r="W8" s="207"/>
      <c r="X8" s="207"/>
    </row>
    <row r="9" spans="1:24" s="301" customFormat="1" ht="15.95" customHeight="1" outlineLevel="1">
      <c r="A9" s="298"/>
      <c r="B9" s="469" t="s">
        <v>270</v>
      </c>
      <c r="C9" s="487" t="s">
        <v>515</v>
      </c>
      <c r="D9" s="748">
        <f>+'Balance Energético (u.físicas)'!$M$43</f>
        <v>343.0086352791667</v>
      </c>
      <c r="E9" s="748">
        <f>+'Balance Energético (u.físicas)'!$M$31</f>
        <v>540.00084684195929</v>
      </c>
      <c r="F9" s="748">
        <f>+'Balance Energético (u.físicas)'!$M$48</f>
        <v>9.5449999999999999</v>
      </c>
      <c r="G9" s="748">
        <f>+'Balance Energético (u.físicas)'!$M$23</f>
        <v>3.2391129999999997</v>
      </c>
      <c r="H9" s="748">
        <f>+'Balance Energético (u.físicas)'!$M$22</f>
        <v>895.79359512112615</v>
      </c>
      <c r="I9" s="748">
        <f>'Cuadro Consumo (u.físicas)'!$M$8</f>
        <v>150.56165869190411</v>
      </c>
      <c r="J9" s="749">
        <f t="shared" ref="J9:J29" si="0">+SUM(H9:I9)</f>
        <v>1046.3552538130302</v>
      </c>
      <c r="K9" s="398"/>
      <c r="L9" s="330"/>
      <c r="M9" s="329"/>
      <c r="N9" s="207"/>
      <c r="O9" s="207"/>
      <c r="P9" s="207"/>
      <c r="Q9" s="207"/>
      <c r="R9" s="207"/>
      <c r="S9" s="207"/>
      <c r="T9" s="207"/>
      <c r="U9" s="207"/>
      <c r="V9" s="207"/>
      <c r="W9" s="207"/>
      <c r="X9" s="207"/>
    </row>
    <row r="10" spans="1:24" s="301" customFormat="1" ht="15.95" customHeight="1" outlineLevel="1">
      <c r="A10" s="298"/>
      <c r="B10" s="469" t="s">
        <v>477</v>
      </c>
      <c r="C10" s="487" t="s">
        <v>492</v>
      </c>
      <c r="D10" s="748">
        <f>+'Balance Energético (u.físicas)'!$N$43</f>
        <v>4219.4448107420676</v>
      </c>
      <c r="E10" s="748">
        <f>+'Balance Energético (u.físicas)'!$N$31</f>
        <v>0</v>
      </c>
      <c r="F10" s="748">
        <f>+'Balance Energético (u.físicas)'!$N$48</f>
        <v>0</v>
      </c>
      <c r="G10" s="748">
        <f>+'Balance Energético (u.físicas)'!$N$23</f>
        <v>0</v>
      </c>
      <c r="H10" s="748">
        <f>+'Balance Energético (u.físicas)'!$N$22</f>
        <v>4219.4448107420676</v>
      </c>
      <c r="I10" s="748">
        <f>'Cuadro Consumo (u.físicas)'!$N$8</f>
        <v>342.24599999999992</v>
      </c>
      <c r="J10" s="749">
        <f t="shared" si="0"/>
        <v>4561.6908107420677</v>
      </c>
      <c r="K10" s="398"/>
      <c r="L10" s="330"/>
      <c r="M10" s="329"/>
      <c r="U10" s="207"/>
      <c r="V10" s="207"/>
      <c r="W10" s="207"/>
      <c r="X10" s="207"/>
    </row>
    <row r="11" spans="1:24" s="301" customFormat="1" ht="15.95" customHeight="1" outlineLevel="1">
      <c r="A11" s="298"/>
      <c r="B11" s="469" t="s">
        <v>38</v>
      </c>
      <c r="C11" s="487" t="s">
        <v>492</v>
      </c>
      <c r="D11" s="748">
        <f>+'Balance Energético (u.físicas)'!$O$43</f>
        <v>8.0914716334829198</v>
      </c>
      <c r="E11" s="748">
        <f>+'Balance Energético (u.físicas)'!$O$31</f>
        <v>17.623680418655297</v>
      </c>
      <c r="F11" s="748">
        <f>+'Balance Energético (u.físicas)'!$O$48</f>
        <v>151.35063669662347</v>
      </c>
      <c r="G11" s="748">
        <f>+'Balance Energético (u.físicas)'!$O$23</f>
        <v>5.669999999999999E-4</v>
      </c>
      <c r="H11" s="748">
        <f>+'Balance Energético (u.físicas)'!$O$22</f>
        <v>177.06635574876165</v>
      </c>
      <c r="I11" s="748">
        <f>'Cuadro Consumo (u.físicas)'!$O$8</f>
        <v>6.4910000000000014</v>
      </c>
      <c r="J11" s="749">
        <f t="shared" si="0"/>
        <v>183.55735574876167</v>
      </c>
      <c r="K11" s="398"/>
      <c r="L11" s="330"/>
      <c r="M11" s="329"/>
      <c r="U11" s="207"/>
      <c r="V11" s="207"/>
      <c r="W11" s="207"/>
      <c r="X11" s="207"/>
    </row>
    <row r="12" spans="1:24" s="301" customFormat="1" ht="15.95" customHeight="1" outlineLevel="1">
      <c r="A12" s="298"/>
      <c r="B12" s="469" t="s">
        <v>271</v>
      </c>
      <c r="C12" s="487" t="s">
        <v>515</v>
      </c>
      <c r="D12" s="748">
        <f>+'Balance Energético (u.físicas)'!$P$43</f>
        <v>30.650443070000001</v>
      </c>
      <c r="E12" s="748">
        <f>+'Balance Energético (u.físicas)'!$P$31</f>
        <v>261.67557443906122</v>
      </c>
      <c r="F12" s="748">
        <f>+'Balance Energético (u.físicas)'!$P$48</f>
        <v>852.97299452289838</v>
      </c>
      <c r="G12" s="748">
        <f>+'Balance Energético (u.físicas)'!$P$23</f>
        <v>12.684631</v>
      </c>
      <c r="H12" s="748">
        <f>+'Balance Energético (u.físicas)'!$P$22</f>
        <v>1157.9836430319594</v>
      </c>
      <c r="I12" s="748">
        <f>'Cuadro Consumo (u.físicas)'!$P$8</f>
        <v>7.2095017551872163</v>
      </c>
      <c r="J12" s="749">
        <f t="shared" si="0"/>
        <v>1165.1931447871466</v>
      </c>
      <c r="K12" s="398"/>
      <c r="L12" s="330"/>
      <c r="M12" s="329"/>
      <c r="N12" s="207"/>
      <c r="O12" s="207"/>
      <c r="P12" s="207"/>
      <c r="Q12" s="207"/>
      <c r="R12" s="207"/>
      <c r="S12" s="207"/>
      <c r="T12" s="207"/>
      <c r="U12" s="207"/>
      <c r="V12" s="207"/>
      <c r="W12" s="207"/>
      <c r="X12" s="207"/>
    </row>
    <row r="13" spans="1:24" s="301" customFormat="1" ht="15.95" customHeight="1" outlineLevel="1">
      <c r="A13" s="298"/>
      <c r="B13" s="469" t="s">
        <v>272</v>
      </c>
      <c r="C13" s="487" t="s">
        <v>492</v>
      </c>
      <c r="D13" s="748">
        <f>+'Balance Energético (u.físicas)'!$Q$43</f>
        <v>7.6145609079999987</v>
      </c>
      <c r="E13" s="748">
        <f>+'Balance Energético (u.físicas)'!$Q$31</f>
        <v>0.99499999999999988</v>
      </c>
      <c r="F13" s="748">
        <f>+'Balance Energético (u.físicas)'!$Q$48</f>
        <v>0.22530651872399446</v>
      </c>
      <c r="G13" s="748">
        <f>+'Balance Energético (u.físicas)'!$Q$23</f>
        <v>0</v>
      </c>
      <c r="H13" s="748">
        <f>+'Balance Energético (u.físicas)'!$Q$22</f>
        <v>8.8348674267239922</v>
      </c>
      <c r="I13" s="748">
        <f>'Cuadro Consumo (u.físicas)'!$Q$8</f>
        <v>0</v>
      </c>
      <c r="J13" s="749">
        <f t="shared" si="0"/>
        <v>8.8348674267239922</v>
      </c>
      <c r="K13" s="398"/>
      <c r="L13" s="330"/>
      <c r="M13" s="329"/>
      <c r="N13" s="207"/>
      <c r="O13" s="207"/>
      <c r="P13" s="207"/>
      <c r="Q13" s="207"/>
      <c r="R13" s="207"/>
      <c r="S13" s="207"/>
      <c r="T13" s="207"/>
      <c r="U13" s="207"/>
      <c r="V13" s="207"/>
      <c r="W13" s="207"/>
      <c r="X13" s="207"/>
    </row>
    <row r="14" spans="1:24" s="301" customFormat="1" ht="15.95" customHeight="1" outlineLevel="1">
      <c r="A14" s="298"/>
      <c r="B14" s="469" t="s">
        <v>273</v>
      </c>
      <c r="C14" s="487" t="s">
        <v>492</v>
      </c>
      <c r="D14" s="748">
        <f>+'Balance Energético (u.físicas)'!$R$43</f>
        <v>1184.8714041982814</v>
      </c>
      <c r="E14" s="748">
        <f>+'Balance Energético (u.físicas)'!$R$31</f>
        <v>78.283027725498584</v>
      </c>
      <c r="F14" s="748">
        <f>+'Balance Energético (u.físicas)'!$R$48</f>
        <v>44.853653999999999</v>
      </c>
      <c r="G14" s="748">
        <f>+'Balance Energético (u.físicas)'!$R$23</f>
        <v>2.29E-2</v>
      </c>
      <c r="H14" s="748">
        <f>+'Balance Energético (u.físicas)'!$R$22</f>
        <v>1308.0309859237802</v>
      </c>
      <c r="I14" s="748">
        <f>'Cuadro Consumo (u.físicas)'!$R$8</f>
        <v>0.2001</v>
      </c>
      <c r="J14" s="749">
        <f t="shared" si="0"/>
        <v>1308.2310859237803</v>
      </c>
      <c r="K14" s="398"/>
      <c r="L14" s="330"/>
      <c r="M14" s="329"/>
      <c r="N14" s="207"/>
      <c r="O14" s="207"/>
      <c r="P14" s="207"/>
      <c r="Q14" s="207"/>
      <c r="R14" s="207"/>
      <c r="S14" s="207"/>
      <c r="T14" s="207"/>
      <c r="U14" s="207"/>
      <c r="V14" s="207"/>
      <c r="W14" s="207"/>
      <c r="X14" s="207"/>
    </row>
    <row r="15" spans="1:24" s="301" customFormat="1" ht="15.95" customHeight="1" outlineLevel="1">
      <c r="A15" s="298"/>
      <c r="B15" s="469" t="s">
        <v>40</v>
      </c>
      <c r="C15" s="487" t="s">
        <v>492</v>
      </c>
      <c r="D15" s="748">
        <f>+'Balance Energético (u.físicas)'!$S$43</f>
        <v>0</v>
      </c>
      <c r="E15" s="748">
        <f>+'Balance Energético (u.físicas)'!$S$31</f>
        <v>0</v>
      </c>
      <c r="F15" s="748">
        <f>+'Balance Energético (u.físicas)'!$S$48</f>
        <v>0</v>
      </c>
      <c r="G15" s="748">
        <f>+'Balance Energético (u.físicas)'!$S$23</f>
        <v>174.44467132381567</v>
      </c>
      <c r="H15" s="748">
        <f>+'Balance Energético (u.físicas)'!$S$22</f>
        <v>174.44467132381567</v>
      </c>
      <c r="I15" s="748">
        <f>'Cuadro Consumo (u.físicas)'!$S$8</f>
        <v>54.039299999999997</v>
      </c>
      <c r="J15" s="749">
        <f t="shared" si="0"/>
        <v>228.48397132381567</v>
      </c>
      <c r="K15" s="398"/>
      <c r="L15" s="330"/>
      <c r="M15" s="329"/>
      <c r="N15" s="207"/>
      <c r="O15" s="207"/>
      <c r="P15" s="207"/>
      <c r="Q15" s="207"/>
      <c r="R15" s="207"/>
      <c r="S15" s="207"/>
      <c r="T15" s="207"/>
      <c r="U15" s="207"/>
      <c r="V15" s="207"/>
      <c r="W15" s="207"/>
      <c r="X15" s="207"/>
    </row>
    <row r="16" spans="1:24" s="301" customFormat="1" ht="15.95" customHeight="1" outlineLevel="1">
      <c r="A16" s="298"/>
      <c r="B16" s="469" t="s">
        <v>274</v>
      </c>
      <c r="C16" s="487" t="s">
        <v>492</v>
      </c>
      <c r="D16" s="748">
        <f>+'Balance Energético (u.físicas)'!$T$43</f>
        <v>0</v>
      </c>
      <c r="E16" s="748">
        <f>+'Balance Energético (u.físicas)'!$T$31</f>
        <v>0</v>
      </c>
      <c r="F16" s="748">
        <f>+'Balance Energético (u.físicas)'!$T$48</f>
        <v>0</v>
      </c>
      <c r="G16" s="748">
        <f>+'Balance Energético (u.físicas)'!$T$23</f>
        <v>346.50899547228465</v>
      </c>
      <c r="H16" s="748">
        <f>+'Balance Energético (u.físicas)'!$T$22</f>
        <v>346.50899547228465</v>
      </c>
      <c r="I16" s="748">
        <f>'Cuadro Consumo (u.físicas)'!$T$8</f>
        <v>0</v>
      </c>
      <c r="J16" s="749">
        <f t="shared" si="0"/>
        <v>346.50899547228465</v>
      </c>
      <c r="K16" s="398"/>
      <c r="L16" s="330"/>
      <c r="M16" s="329"/>
      <c r="N16" s="207"/>
      <c r="O16" s="207"/>
      <c r="P16" s="207"/>
      <c r="Q16" s="207"/>
      <c r="R16" s="207"/>
      <c r="S16" s="207"/>
      <c r="T16" s="207"/>
      <c r="U16" s="207"/>
      <c r="V16" s="207"/>
      <c r="W16" s="207"/>
      <c r="X16" s="207"/>
    </row>
    <row r="17" spans="1:24" s="301" customFormat="1" ht="15.95" customHeight="1" outlineLevel="1">
      <c r="A17" s="298"/>
      <c r="B17" s="470" t="s">
        <v>275</v>
      </c>
      <c r="C17" s="487" t="s">
        <v>515</v>
      </c>
      <c r="D17" s="748">
        <f>+'Balance Energético (u.físicas)'!$U$43</f>
        <v>0</v>
      </c>
      <c r="E17" s="748">
        <f>+'Balance Energético (u.físicas)'!$U$31</f>
        <v>303.78056800000002</v>
      </c>
      <c r="F17" s="748">
        <f>+'Balance Energético (u.físicas)'!$U$48</f>
        <v>0</v>
      </c>
      <c r="G17" s="748">
        <f>+'Balance Energético (u.físicas)'!$U$23</f>
        <v>0</v>
      </c>
      <c r="H17" s="748">
        <f>+'Balance Energético (u.físicas)'!$U$22</f>
        <v>303.78056800000002</v>
      </c>
      <c r="I17" s="748">
        <f>'Cuadro Consumo (u.físicas)'!$U$8</f>
        <v>200.74700000000001</v>
      </c>
      <c r="J17" s="749">
        <f t="shared" si="0"/>
        <v>504.52756800000003</v>
      </c>
      <c r="K17" s="398"/>
      <c r="L17" s="330"/>
      <c r="M17" s="329"/>
      <c r="N17" s="207"/>
      <c r="O17" s="207"/>
      <c r="P17" s="207"/>
      <c r="Q17" s="207"/>
      <c r="R17" s="207"/>
      <c r="S17" s="207"/>
      <c r="T17" s="207"/>
      <c r="U17" s="207"/>
      <c r="V17" s="207"/>
      <c r="W17" s="207"/>
      <c r="X17" s="207"/>
    </row>
    <row r="18" spans="1:24" s="301" customFormat="1" ht="15.95" customHeight="1" outlineLevel="1">
      <c r="A18" s="298"/>
      <c r="B18" s="470" t="s">
        <v>479</v>
      </c>
      <c r="C18" s="487" t="s">
        <v>515</v>
      </c>
      <c r="D18" s="748">
        <f>+'Balance Energético (u.físicas)'!$V$43</f>
        <v>0</v>
      </c>
      <c r="E18" s="748">
        <f>+'Balance Energético (u.físicas)'!$V$31</f>
        <v>0</v>
      </c>
      <c r="F18" s="748">
        <f>+'Balance Energético (u.físicas)'!$V$48</f>
        <v>0</v>
      </c>
      <c r="G18" s="748">
        <f>+'Balance Energético (u.físicas)'!$V$23</f>
        <v>69.635434913785147</v>
      </c>
      <c r="H18" s="748">
        <f>+'Balance Energético (u.físicas)'!$V$22</f>
        <v>236.73200552908997</v>
      </c>
      <c r="I18" s="748">
        <f>'Cuadro Consumo (u.físicas)'!$V$8</f>
        <v>0</v>
      </c>
      <c r="J18" s="749">
        <f t="shared" si="0"/>
        <v>236.73200552908997</v>
      </c>
      <c r="K18" s="398"/>
      <c r="L18" s="330"/>
      <c r="M18" s="329"/>
      <c r="N18" s="207"/>
      <c r="O18" s="207"/>
      <c r="P18" s="207"/>
      <c r="Q18" s="207"/>
      <c r="R18" s="207"/>
      <c r="S18" s="207"/>
      <c r="T18" s="207"/>
      <c r="U18" s="207"/>
      <c r="V18" s="207"/>
      <c r="W18" s="207"/>
      <c r="X18" s="207"/>
    </row>
    <row r="19" spans="1:24" s="301" customFormat="1" ht="15.95" customHeight="1">
      <c r="A19" s="298"/>
      <c r="B19" s="473" t="s">
        <v>126</v>
      </c>
      <c r="C19" s="487" t="s">
        <v>482</v>
      </c>
      <c r="D19" s="749">
        <f>+'Balance Energético (u.físicas)'!$W$43</f>
        <v>1088.577274076292</v>
      </c>
      <c r="E19" s="749">
        <f>+'Balance Energético (u.físicas)'!$W$31</f>
        <v>41841.723945331636</v>
      </c>
      <c r="F19" s="749">
        <f>+'Balance Energético (u.físicas)'!$W$48</f>
        <v>23548.61575457612</v>
      </c>
      <c r="G19" s="749">
        <f>+'Balance Energético (u.físicas)'!$W$23</f>
        <v>3832.1806380064513</v>
      </c>
      <c r="H19" s="749">
        <f>+'Balance Energético (u.físicas)'!$W$22</f>
        <v>70311.097611990481</v>
      </c>
      <c r="I19" s="749">
        <f>'Cuadro Consumo (u.físicas)'!$W$8</f>
        <v>0</v>
      </c>
      <c r="J19" s="749">
        <f t="shared" si="0"/>
        <v>70311.097611990481</v>
      </c>
      <c r="K19" s="398"/>
      <c r="L19" s="330"/>
      <c r="M19" s="329"/>
      <c r="N19" s="207"/>
      <c r="O19" s="207"/>
      <c r="P19" s="207"/>
      <c r="Q19" s="207"/>
      <c r="R19" s="207"/>
      <c r="S19" s="207"/>
      <c r="T19" s="207"/>
      <c r="U19" s="207"/>
      <c r="V19" s="207"/>
      <c r="W19" s="207"/>
      <c r="X19" s="207"/>
    </row>
    <row r="20" spans="1:24" s="301" customFormat="1" ht="15.95" customHeight="1">
      <c r="A20" s="298"/>
      <c r="B20" s="473" t="s">
        <v>292</v>
      </c>
      <c r="C20" s="487" t="s">
        <v>515</v>
      </c>
      <c r="D20" s="749">
        <f>+'Balance Energético (u.físicas)'!$X$43</f>
        <v>0</v>
      </c>
      <c r="E20" s="749">
        <f>+'Balance Energético (u.físicas)'!$X$31</f>
        <v>12.861333642857144</v>
      </c>
      <c r="F20" s="749">
        <f>+'Balance Energético (u.físicas)'!$X$48</f>
        <v>0</v>
      </c>
      <c r="G20" s="749">
        <f>+'Balance Energético (u.físicas)'!$X$23</f>
        <v>0</v>
      </c>
      <c r="H20" s="749">
        <f>+'Balance Energético (u.físicas)'!$X$22</f>
        <v>12.861333642857144</v>
      </c>
      <c r="I20" s="749">
        <f>'Cuadro Consumo (u.físicas)'!$X$8</f>
        <v>359.73236139428576</v>
      </c>
      <c r="J20" s="749">
        <f t="shared" si="0"/>
        <v>372.59369503714288</v>
      </c>
      <c r="K20" s="398"/>
      <c r="L20" s="330"/>
      <c r="M20" s="329"/>
      <c r="N20" s="207"/>
      <c r="O20" s="207"/>
      <c r="P20" s="207"/>
      <c r="Q20" s="207"/>
      <c r="R20" s="207"/>
      <c r="S20" s="207"/>
      <c r="T20" s="207"/>
      <c r="U20" s="207"/>
      <c r="V20" s="207"/>
      <c r="W20" s="207"/>
      <c r="X20" s="207"/>
    </row>
    <row r="21" spans="1:24" s="301" customFormat="1" ht="15.95" customHeight="1">
      <c r="A21" s="298"/>
      <c r="B21" s="473" t="s">
        <v>277</v>
      </c>
      <c r="C21" s="487" t="s">
        <v>492</v>
      </c>
      <c r="D21" s="749">
        <f>+'Balance Energético (u.físicas)'!$Y$43</f>
        <v>0</v>
      </c>
      <c r="E21" s="749">
        <f>+'Balance Energético (u.físicas)'!$Y$31</f>
        <v>119690.1875463372</v>
      </c>
      <c r="F21" s="749">
        <f>+'Balance Energético (u.físicas)'!$Y$48</f>
        <v>0</v>
      </c>
      <c r="G21" s="749">
        <f>+'Balance Energético (u.físicas)'!$Y$23</f>
        <v>48377.161186134021</v>
      </c>
      <c r="H21" s="749">
        <f>+'Balance Energético (u.físicas)'!$Y$22</f>
        <v>168067.34873247123</v>
      </c>
      <c r="I21" s="749">
        <f>'Cuadro Consumo (u.físicas)'!$Y$8</f>
        <v>0</v>
      </c>
      <c r="J21" s="749">
        <f t="shared" si="0"/>
        <v>168067.34873247123</v>
      </c>
      <c r="K21" s="398"/>
      <c r="L21" s="330"/>
      <c r="M21" s="329"/>
      <c r="N21" s="207"/>
      <c r="O21" s="207"/>
      <c r="P21" s="207"/>
      <c r="Q21" s="207"/>
      <c r="R21" s="207"/>
      <c r="S21" s="207"/>
      <c r="T21" s="207"/>
      <c r="U21" s="207"/>
      <c r="V21" s="207"/>
      <c r="W21" s="207"/>
      <c r="X21" s="207"/>
    </row>
    <row r="22" spans="1:24" s="301" customFormat="1" ht="15.95" customHeight="1">
      <c r="A22" s="298"/>
      <c r="B22" s="473" t="s">
        <v>341</v>
      </c>
      <c r="C22" s="487" t="s">
        <v>492</v>
      </c>
      <c r="D22" s="749">
        <f>+'Balance Energético (u.físicas)'!$Z$43</f>
        <v>0</v>
      </c>
      <c r="E22" s="749">
        <f>+'Balance Energético (u.físicas)'!$Z$31</f>
        <v>0</v>
      </c>
      <c r="F22" s="749">
        <f>+'Balance Energético (u.físicas)'!$Z$48</f>
        <v>0</v>
      </c>
      <c r="G22" s="749">
        <f>+'Balance Energético (u.físicas)'!$Z$23</f>
        <v>19.545100000000001</v>
      </c>
      <c r="H22" s="749">
        <f>+'Balance Energético (u.físicas)'!$Z$22</f>
        <v>19.545100000000001</v>
      </c>
      <c r="I22" s="749">
        <f>'Cuadro Consumo (u.físicas)'!$Z$8</f>
        <v>0</v>
      </c>
      <c r="J22" s="749">
        <f t="shared" si="0"/>
        <v>19.545100000000001</v>
      </c>
      <c r="K22" s="398"/>
      <c r="L22" s="330"/>
      <c r="M22" s="329"/>
      <c r="N22" s="207"/>
      <c r="O22" s="207"/>
      <c r="P22" s="207"/>
      <c r="Q22" s="207"/>
      <c r="R22" s="207"/>
      <c r="S22" s="207"/>
      <c r="T22" s="207"/>
      <c r="U22" s="207"/>
      <c r="V22" s="207"/>
      <c r="W22" s="207"/>
      <c r="X22" s="207"/>
    </row>
    <row r="23" spans="1:24" s="301" customFormat="1" ht="15.95" customHeight="1">
      <c r="A23" s="298"/>
      <c r="B23" s="473" t="s">
        <v>478</v>
      </c>
      <c r="C23" s="487" t="s">
        <v>492</v>
      </c>
      <c r="D23" s="749">
        <f>+'Balance Energético (u.físicas)'!$AA$43</f>
        <v>0</v>
      </c>
      <c r="E23" s="749">
        <f>+'Balance Energético (u.físicas)'!$AA$31</f>
        <v>216222.9244031198</v>
      </c>
      <c r="F23" s="749">
        <f>+'Balance Energético (u.físicas)'!$AA$48</f>
        <v>0</v>
      </c>
      <c r="G23" s="749">
        <f>+'Balance Energético (u.físicas)'!$AA$23</f>
        <v>791103.8347350437</v>
      </c>
      <c r="H23" s="749">
        <f>+'Balance Energético (u.físicas)'!$AA$22</f>
        <v>1007326.7591381635</v>
      </c>
      <c r="I23" s="749">
        <f>'Cuadro Consumo (u.físicas)'!$AA$8</f>
        <v>13195</v>
      </c>
      <c r="J23" s="749">
        <f t="shared" si="0"/>
        <v>1020521.7591381635</v>
      </c>
      <c r="K23" s="398"/>
      <c r="L23" s="330"/>
      <c r="M23" s="329"/>
      <c r="N23" s="207"/>
      <c r="O23" s="207"/>
      <c r="P23" s="207"/>
      <c r="Q23" s="207"/>
      <c r="R23" s="207"/>
      <c r="S23" s="207"/>
      <c r="T23" s="207"/>
      <c r="U23" s="207"/>
      <c r="V23" s="207"/>
      <c r="W23" s="207"/>
      <c r="X23" s="207"/>
    </row>
    <row r="24" spans="1:24" s="301" customFormat="1" ht="15.95" customHeight="1">
      <c r="A24" s="298"/>
      <c r="B24" s="473" t="s">
        <v>279</v>
      </c>
      <c r="C24" s="487" t="s">
        <v>368</v>
      </c>
      <c r="D24" s="749">
        <f>+'Balance Energético (u.físicas)'!$AB$43</f>
        <v>0</v>
      </c>
      <c r="E24" s="749">
        <f>+'Balance Energético (u.físicas)'!$AB$31</f>
        <v>0.24910093304347827</v>
      </c>
      <c r="F24" s="749">
        <f>+'Balance Energético (u.físicas)'!$AB$48</f>
        <v>16.975317086956522</v>
      </c>
      <c r="G24" s="749">
        <f>+'Balance Energético (u.físicas)'!$AB$23</f>
        <v>5.6454935420000012E-2</v>
      </c>
      <c r="H24" s="749">
        <f>+'Balance Energético (u.físicas)'!$AB$22</f>
        <v>17.280872955419998</v>
      </c>
      <c r="I24" s="749">
        <f>'Cuadro Consumo (u.físicas)'!$AB$8</f>
        <v>0</v>
      </c>
      <c r="J24" s="749">
        <f t="shared" si="0"/>
        <v>17.280872955419998</v>
      </c>
      <c r="K24" s="398"/>
      <c r="L24" s="330"/>
      <c r="M24" s="329"/>
      <c r="N24" s="207"/>
      <c r="O24" s="207"/>
      <c r="P24" s="207"/>
      <c r="Q24" s="207"/>
      <c r="R24" s="207"/>
      <c r="S24" s="207"/>
      <c r="T24" s="207"/>
      <c r="U24" s="207"/>
      <c r="V24" s="207"/>
      <c r="W24" s="207"/>
      <c r="X24" s="207"/>
    </row>
    <row r="25" spans="1:24" s="301" customFormat="1" ht="15.95" customHeight="1">
      <c r="A25" s="298"/>
      <c r="B25" s="473" t="s">
        <v>65</v>
      </c>
      <c r="C25" s="487" t="s">
        <v>515</v>
      </c>
      <c r="D25" s="749">
        <f>+'Balance Energético (u.físicas)'!$AC$43</f>
        <v>0</v>
      </c>
      <c r="E25" s="749">
        <f>+'Balance Energético (u.físicas)'!$AC$31</f>
        <v>0</v>
      </c>
      <c r="F25" s="749">
        <f>+'Balance Energético (u.físicas)'!$AC$48</f>
        <v>0</v>
      </c>
      <c r="G25" s="749">
        <f>+'Balance Energético (u.físicas)'!$AC$23</f>
        <v>0</v>
      </c>
      <c r="H25" s="749">
        <f>+'Balance Energético (u.físicas)'!$AC$22</f>
        <v>0</v>
      </c>
      <c r="I25" s="749">
        <f>'Cuadro Consumo (u.físicas)'!$AC$8</f>
        <v>0</v>
      </c>
      <c r="J25" s="749">
        <f t="shared" si="0"/>
        <v>0</v>
      </c>
      <c r="K25" s="398"/>
      <c r="L25" s="330"/>
      <c r="M25" s="329"/>
      <c r="N25" s="207"/>
      <c r="O25" s="207"/>
      <c r="P25" s="207"/>
      <c r="Q25" s="207"/>
      <c r="R25" s="207"/>
      <c r="S25" s="207"/>
      <c r="T25" s="207"/>
      <c r="U25" s="207"/>
      <c r="V25" s="207"/>
      <c r="W25" s="207"/>
      <c r="X25" s="207"/>
    </row>
    <row r="26" spans="1:24" s="301" customFormat="1" ht="15.95" customHeight="1">
      <c r="A26" s="298"/>
      <c r="B26" s="473" t="s">
        <v>135</v>
      </c>
      <c r="C26" s="487" t="s">
        <v>368</v>
      </c>
      <c r="D26" s="749">
        <f>+'Balance Energético (u.físicas)'!$E$43</f>
        <v>31.76316839668986</v>
      </c>
      <c r="E26" s="749">
        <f>+'Balance Energético (u.físicas)'!$E$31</f>
        <v>848.23790863561669</v>
      </c>
      <c r="F26" s="749">
        <f>+'Balance Energético (u.físicas)'!$E$48</f>
        <v>700.56697665732906</v>
      </c>
      <c r="G26" s="749">
        <f>+'Balance Energético (u.físicas)'!$E$23</f>
        <v>305.5350090649618</v>
      </c>
      <c r="H26" s="749">
        <f>+'Balance Energético (u.físicas)'!$E$22</f>
        <v>1886.1030627545974</v>
      </c>
      <c r="I26" s="749">
        <f>'Cuadro Consumo (u.físicas)'!E8</f>
        <v>2470.6130729483612</v>
      </c>
      <c r="J26" s="749">
        <f t="shared" si="0"/>
        <v>4356.7161357029581</v>
      </c>
      <c r="K26" s="398"/>
      <c r="L26" s="328"/>
      <c r="M26" s="329"/>
      <c r="N26" s="207"/>
      <c r="O26" s="207"/>
      <c r="P26" s="207"/>
      <c r="Q26" s="207"/>
      <c r="R26" s="207"/>
      <c r="S26" s="207"/>
      <c r="T26" s="207"/>
      <c r="U26" s="207"/>
      <c r="V26" s="207"/>
      <c r="W26" s="207"/>
      <c r="X26" s="207"/>
    </row>
    <row r="27" spans="1:24">
      <c r="A27" s="175"/>
      <c r="B27" s="473" t="s">
        <v>41</v>
      </c>
      <c r="C27" s="487" t="s">
        <v>515</v>
      </c>
      <c r="D27" s="749">
        <f>+'Balance Energético (u.físicas)'!$F$43</f>
        <v>0</v>
      </c>
      <c r="E27" s="749">
        <f>+'Balance Energético (u.físicas)'!$F$31</f>
        <v>381.66389059024431</v>
      </c>
      <c r="F27" s="749">
        <f>+'Balance Energético (u.físicas)'!$F$48</f>
        <v>4.558219792513273</v>
      </c>
      <c r="G27" s="749">
        <f>+'Balance Energético (u.físicas)'!$F$23</f>
        <v>0</v>
      </c>
      <c r="H27" s="749">
        <f>+'Balance Energético (u.físicas)'!$F$22</f>
        <v>386.22211038275753</v>
      </c>
      <c r="I27" s="749">
        <f>'Cuadro Consumo (u.físicas)'!F8</f>
        <v>10408.365997517565</v>
      </c>
      <c r="J27" s="749">
        <f t="shared" si="0"/>
        <v>10794.588107900323</v>
      </c>
      <c r="K27" s="399"/>
      <c r="L27" s="201"/>
      <c r="M27" s="121"/>
    </row>
    <row r="28" spans="1:24">
      <c r="A28" s="175"/>
      <c r="B28" s="471" t="s">
        <v>447</v>
      </c>
      <c r="C28" s="487" t="s">
        <v>515</v>
      </c>
      <c r="D28" s="749">
        <f>+'Balance Energético (u.físicas)'!$G$43</f>
        <v>0</v>
      </c>
      <c r="E28" s="749">
        <f>+'Balance Energético (u.físicas)'!$G$31</f>
        <v>5832.7450408876548</v>
      </c>
      <c r="F28" s="749">
        <f>+'Balance Energético (u.físicas)'!$G$48</f>
        <v>5354.2530401146296</v>
      </c>
      <c r="G28" s="749">
        <f>+'Balance Energético (u.físicas)'!$G$23</f>
        <v>0</v>
      </c>
      <c r="H28" s="749">
        <f>+'Balance Energético (u.físicas)'!$G$22</f>
        <v>11186.998081002286</v>
      </c>
      <c r="I28" s="749">
        <f>'Cuadro Consumo (u.físicas)'!G8</f>
        <v>10716.009803013443</v>
      </c>
      <c r="J28" s="749">
        <f t="shared" si="0"/>
        <v>21903.007884015729</v>
      </c>
      <c r="K28" s="400"/>
      <c r="L28" s="162"/>
      <c r="M28" s="5"/>
    </row>
    <row r="29" spans="1:24" ht="14.25">
      <c r="A29" s="175"/>
      <c r="B29" s="473" t="s">
        <v>42</v>
      </c>
      <c r="C29" s="487" t="s">
        <v>368</v>
      </c>
      <c r="D29" s="749">
        <f>+'Balance Energético (u.físicas)'!$K$43</f>
        <v>0</v>
      </c>
      <c r="E29" s="749">
        <f>+'Balance Energético (u.físicas)'!$K$31</f>
        <v>0</v>
      </c>
      <c r="F29" s="749">
        <f>+'Balance Energético (u.físicas)'!$K$48</f>
        <v>29.266479</v>
      </c>
      <c r="G29" s="749">
        <f>+'Balance Energético (u.físicas)'!$K$23</f>
        <v>0</v>
      </c>
      <c r="H29" s="749">
        <f>+'Balance Energético (u.físicas)'!$K$22</f>
        <v>29.266479</v>
      </c>
      <c r="I29" s="749">
        <f>'Cuadro Consumo (u.físicas)'!K8</f>
        <v>121.18786322948245</v>
      </c>
      <c r="J29" s="749">
        <f t="shared" si="0"/>
        <v>150.45434222948245</v>
      </c>
      <c r="K29" s="400"/>
      <c r="L29" s="162"/>
      <c r="M29" s="5"/>
    </row>
    <row r="30" spans="1:24">
      <c r="A30" s="175"/>
      <c r="G30" s="201"/>
      <c r="H30" s="201"/>
      <c r="I30" s="289"/>
      <c r="J30" s="201"/>
      <c r="K30" s="201"/>
      <c r="L30" s="201"/>
      <c r="M30" s="121"/>
    </row>
    <row r="31" spans="1:24">
      <c r="A31" s="175"/>
      <c r="C31" s="201"/>
      <c r="D31" s="201"/>
      <c r="E31" s="201"/>
      <c r="F31" s="201"/>
      <c r="G31" s="201"/>
      <c r="H31" s="201"/>
      <c r="I31" s="201"/>
      <c r="J31" s="201"/>
      <c r="K31" s="201"/>
      <c r="L31" s="201"/>
      <c r="M31" s="121"/>
    </row>
    <row r="32" spans="1:24">
      <c r="A32" s="175"/>
      <c r="B32" s="201"/>
      <c r="C32" s="201"/>
      <c r="D32" s="201"/>
      <c r="E32" s="201"/>
      <c r="F32" s="201"/>
      <c r="G32" s="201"/>
      <c r="H32" s="201"/>
      <c r="I32" s="201"/>
      <c r="J32" s="201"/>
      <c r="K32" s="201"/>
      <c r="L32" s="201"/>
      <c r="M32" s="121"/>
    </row>
    <row r="33" spans="1:13">
      <c r="A33" s="175"/>
      <c r="B33" s="201"/>
      <c r="C33" s="201"/>
      <c r="D33" s="201"/>
      <c r="E33" s="201"/>
      <c r="F33" s="201"/>
      <c r="G33" s="201"/>
      <c r="H33" s="201"/>
      <c r="I33" s="201"/>
      <c r="J33" s="201"/>
      <c r="K33" s="201"/>
      <c r="L33" s="201"/>
      <c r="M33" s="121"/>
    </row>
    <row r="34" spans="1:13">
      <c r="A34" s="175"/>
      <c r="B34" s="272" t="s">
        <v>293</v>
      </c>
      <c r="C34" s="272"/>
      <c r="D34" s="171"/>
      <c r="E34" s="171"/>
      <c r="F34" s="171"/>
      <c r="G34" s="24"/>
      <c r="H34" s="24"/>
      <c r="I34" s="24"/>
      <c r="J34" s="24"/>
      <c r="K34" s="24"/>
      <c r="L34" s="24"/>
    </row>
    <row r="35" spans="1:13">
      <c r="A35" s="175"/>
      <c r="B35" s="272" t="s">
        <v>527</v>
      </c>
      <c r="C35" s="201"/>
      <c r="D35" s="201"/>
      <c r="E35" s="201"/>
      <c r="F35" s="201"/>
      <c r="G35" s="24"/>
      <c r="H35" s="24"/>
      <c r="I35" s="24"/>
      <c r="J35" s="24"/>
      <c r="K35" s="24"/>
      <c r="L35" s="24"/>
    </row>
    <row r="36" spans="1:13">
      <c r="A36" s="175"/>
      <c r="B36" s="24"/>
      <c r="C36" s="24"/>
      <c r="D36" s="24"/>
      <c r="E36" s="24"/>
      <c r="F36" s="24"/>
      <c r="G36" s="24"/>
      <c r="H36" s="24"/>
      <c r="I36" s="24"/>
      <c r="J36" s="24"/>
      <c r="K36" s="24"/>
      <c r="L36" s="24"/>
    </row>
    <row r="37" spans="1:13">
      <c r="A37" s="175"/>
      <c r="B37" s="24"/>
      <c r="C37" s="24"/>
      <c r="D37" s="24"/>
      <c r="E37" s="24"/>
      <c r="F37" s="24"/>
      <c r="G37" s="24"/>
      <c r="H37" s="24"/>
      <c r="I37" s="24"/>
      <c r="J37" s="24"/>
      <c r="K37" s="24"/>
      <c r="L37" s="24"/>
    </row>
    <row r="38" spans="1:13">
      <c r="B38" s="2"/>
      <c r="C38" s="2"/>
      <c r="D38" s="2"/>
      <c r="E38" s="2"/>
      <c r="F38" s="2"/>
      <c r="G38" s="2"/>
      <c r="H38" s="2"/>
      <c r="I38" s="2"/>
      <c r="J38" s="2"/>
    </row>
    <row r="39" spans="1:13">
      <c r="B39" s="2"/>
      <c r="C39" s="2"/>
      <c r="D39" s="2"/>
      <c r="E39" s="2"/>
      <c r="F39" s="2"/>
      <c r="G39" s="2"/>
      <c r="H39" s="2"/>
      <c r="I39" s="2"/>
      <c r="J39" s="2"/>
    </row>
    <row r="40" spans="1:13">
      <c r="B40" s="2"/>
      <c r="C40" s="2"/>
      <c r="D40" s="2"/>
      <c r="E40" s="2"/>
      <c r="F40" s="2"/>
      <c r="G40" s="2"/>
      <c r="H40" s="2"/>
      <c r="I40" s="2"/>
      <c r="J40" s="2"/>
    </row>
    <row r="41" spans="1:13">
      <c r="B41" s="2"/>
      <c r="C41" s="2"/>
      <c r="D41" s="2"/>
      <c r="E41" s="2"/>
      <c r="F41" s="2"/>
      <c r="G41" s="2"/>
      <c r="H41" s="2"/>
      <c r="I41" s="2"/>
      <c r="J41" s="2"/>
    </row>
    <row r="42" spans="1:13">
      <c r="B42" s="2"/>
      <c r="C42" s="2"/>
      <c r="D42" s="2"/>
      <c r="E42" s="2"/>
      <c r="F42" s="2"/>
      <c r="G42" s="2"/>
      <c r="H42" s="2"/>
      <c r="I42" s="2"/>
      <c r="J42" s="2"/>
    </row>
    <row r="43" spans="1:13">
      <c r="A43" s="2"/>
      <c r="B43" s="2"/>
      <c r="C43" s="2"/>
      <c r="D43" s="2"/>
      <c r="E43" s="2"/>
      <c r="F43" s="2"/>
      <c r="G43" s="2"/>
      <c r="H43" s="2"/>
      <c r="I43" s="2"/>
      <c r="J43" s="2"/>
    </row>
    <row r="44" spans="1:13" s="2" customFormat="1"/>
    <row r="45" spans="1:13" s="2" customFormat="1"/>
    <row r="46" spans="1:13" s="2" customFormat="1"/>
    <row r="47" spans="1:13" s="2" customFormat="1"/>
    <row r="48" spans="1:13"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sheetData>
  <mergeCells count="12">
    <mergeCell ref="B5:B6"/>
    <mergeCell ref="C5:C6"/>
    <mergeCell ref="B2:J2"/>
    <mergeCell ref="B3:J3"/>
    <mergeCell ref="B4:J4"/>
    <mergeCell ref="I5:I6"/>
    <mergeCell ref="J5:J6"/>
    <mergeCell ref="G5:G6"/>
    <mergeCell ref="E5:E6"/>
    <mergeCell ref="D5:D6"/>
    <mergeCell ref="F5:F6"/>
    <mergeCell ref="H5:H6"/>
  </mergeCells>
  <phoneticPr fontId="0" type="noConversion"/>
  <hyperlinks>
    <hyperlink ref="L2" location="Índice!A1" display="VOLVER A INDICE"/>
  </hyperlinks>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tabColor theme="6" tint="0.39997558519241921"/>
  </sheetPr>
  <dimension ref="A1:R73"/>
  <sheetViews>
    <sheetView workbookViewId="0"/>
  </sheetViews>
  <sheetFormatPr baseColWidth="10" defaultRowHeight="12.75" outlineLevelRow="1"/>
  <cols>
    <col min="1" max="1" width="1.5703125" style="134" customWidth="1"/>
    <col min="2" max="2" width="30.5703125" style="134" customWidth="1"/>
    <col min="3" max="3" width="11.85546875" style="134" bestFit="1" customWidth="1"/>
    <col min="4" max="4" width="11.42578125" style="134"/>
    <col min="5" max="5" width="12.7109375" style="134" bestFit="1" customWidth="1"/>
    <col min="6" max="8" width="11.42578125" style="134"/>
    <col min="9" max="18" width="11.42578125" style="2"/>
    <col min="19" max="16384" width="11.42578125" style="134"/>
  </cols>
  <sheetData>
    <row r="1" spans="1:10" ht="4.5" customHeight="1">
      <c r="A1" s="175"/>
      <c r="B1" s="175"/>
      <c r="C1" s="175"/>
      <c r="D1" s="175"/>
      <c r="E1" s="175"/>
      <c r="F1" s="175"/>
      <c r="G1" s="175"/>
      <c r="H1" s="175"/>
      <c r="I1" s="24"/>
      <c r="J1" s="24"/>
    </row>
    <row r="2" spans="1:10" ht="15.95" customHeight="1">
      <c r="A2" s="175"/>
      <c r="B2" s="831" t="s">
        <v>127</v>
      </c>
      <c r="C2" s="831"/>
      <c r="D2" s="831"/>
      <c r="E2" s="831"/>
      <c r="F2" s="831"/>
      <c r="G2" s="831"/>
      <c r="H2" s="831"/>
      <c r="J2" s="697" t="s">
        <v>229</v>
      </c>
    </row>
    <row r="3" spans="1:10" ht="15.95" customHeight="1">
      <c r="A3" s="175"/>
      <c r="B3" s="833" t="s">
        <v>347</v>
      </c>
      <c r="C3" s="833"/>
      <c r="D3" s="833"/>
      <c r="E3" s="833"/>
      <c r="F3" s="833"/>
      <c r="G3" s="833"/>
      <c r="H3" s="833"/>
      <c r="J3" s="401"/>
    </row>
    <row r="4" spans="1:10" ht="15.95" customHeight="1">
      <c r="A4" s="175"/>
      <c r="B4" s="834" t="s">
        <v>446</v>
      </c>
      <c r="C4" s="834"/>
      <c r="D4" s="834"/>
      <c r="E4" s="834"/>
      <c r="F4" s="834"/>
      <c r="G4" s="834"/>
      <c r="H4" s="834"/>
      <c r="I4" s="401"/>
      <c r="J4" s="202"/>
    </row>
    <row r="5" spans="1:10" ht="15.95" customHeight="1">
      <c r="A5" s="175"/>
      <c r="B5" s="833" t="s">
        <v>285</v>
      </c>
      <c r="C5" s="833"/>
      <c r="D5" s="833"/>
      <c r="E5" s="833"/>
      <c r="F5" s="833"/>
      <c r="G5" s="833"/>
      <c r="H5" s="833"/>
      <c r="I5" s="401"/>
      <c r="J5" s="202"/>
    </row>
    <row r="6" spans="1:10" ht="15.95" customHeight="1">
      <c r="A6" s="175"/>
      <c r="B6" s="454" t="s">
        <v>253</v>
      </c>
      <c r="C6" s="454" t="s">
        <v>483</v>
      </c>
      <c r="D6" s="454" t="s">
        <v>333</v>
      </c>
      <c r="E6" s="454" t="s">
        <v>45</v>
      </c>
      <c r="F6" s="454" t="s">
        <v>46</v>
      </c>
      <c r="G6" s="454" t="s">
        <v>47</v>
      </c>
      <c r="H6" s="454" t="s">
        <v>33</v>
      </c>
      <c r="I6" s="401"/>
      <c r="J6" s="202"/>
    </row>
    <row r="7" spans="1:10" ht="15.95" customHeight="1">
      <c r="A7" s="175"/>
      <c r="B7" s="473" t="s">
        <v>518</v>
      </c>
      <c r="C7" s="466"/>
      <c r="D7" s="466"/>
      <c r="E7" s="466"/>
      <c r="F7" s="466"/>
      <c r="G7" s="466"/>
      <c r="H7" s="466"/>
      <c r="I7" s="401"/>
      <c r="J7" s="202"/>
    </row>
    <row r="8" spans="1:10" ht="15.95" customHeight="1" outlineLevel="1">
      <c r="A8" s="175"/>
      <c r="B8" s="469" t="s">
        <v>269</v>
      </c>
      <c r="C8" s="487" t="s">
        <v>492</v>
      </c>
      <c r="D8" s="748">
        <f>+'Balance Energético (u.físicas)'!$L$44</f>
        <v>4294.4393893408323</v>
      </c>
      <c r="E8" s="748">
        <f>+'Balance Energético (u.físicas)'!$L$45</f>
        <v>37.461857999999999</v>
      </c>
      <c r="F8" s="748">
        <f>+'Balance Energético (u.físicas)'!$L$46</f>
        <v>96.27862208730977</v>
      </c>
      <c r="G8" s="748">
        <f>+'Balance Energético (u.físicas)'!$L$47</f>
        <v>73.464966448093548</v>
      </c>
      <c r="H8" s="749">
        <f>SUM(D8:G8)</f>
        <v>4501.6448358762354</v>
      </c>
      <c r="I8" s="401"/>
      <c r="J8" s="202"/>
    </row>
    <row r="9" spans="1:10" ht="15.95" customHeight="1" outlineLevel="1">
      <c r="A9" s="175"/>
      <c r="B9" s="469" t="s">
        <v>270</v>
      </c>
      <c r="C9" s="487" t="s">
        <v>515</v>
      </c>
      <c r="D9" s="748">
        <f>+'Balance Energético (u.físicas)'!$M$44</f>
        <v>2.7557399691666671</v>
      </c>
      <c r="E9" s="748">
        <f>+'Balance Energético (u.físicas)'!$M$45</f>
        <v>0</v>
      </c>
      <c r="F9" s="748">
        <f>+'Balance Energético (u.físicas)'!$M$46</f>
        <v>340.2528953100001</v>
      </c>
      <c r="G9" s="748">
        <f>+'Balance Energético (u.físicas)'!$M$47</f>
        <v>0</v>
      </c>
      <c r="H9" s="749">
        <f t="shared" ref="H9:H29" si="0">SUM(D9:G9)</f>
        <v>343.00863527916675</v>
      </c>
      <c r="I9" s="401"/>
      <c r="J9" s="202"/>
    </row>
    <row r="10" spans="1:10" ht="15.95" customHeight="1" outlineLevel="1">
      <c r="A10" s="175"/>
      <c r="B10" s="469" t="s">
        <v>477</v>
      </c>
      <c r="C10" s="487" t="s">
        <v>492</v>
      </c>
      <c r="D10" s="748">
        <f>+'Balance Energético (u.físicas)'!$N$44</f>
        <v>4216.7383107420683</v>
      </c>
      <c r="E10" s="748">
        <f>+'Balance Energético (u.físicas)'!$N$45</f>
        <v>0</v>
      </c>
      <c r="F10" s="748">
        <f>+'Balance Energético (u.físicas)'!$N$46</f>
        <v>0.47250000000000009</v>
      </c>
      <c r="G10" s="748">
        <f>+'Balance Energético (u.físicas)'!$N$47</f>
        <v>2.2339999999999995</v>
      </c>
      <c r="H10" s="749">
        <f t="shared" si="0"/>
        <v>4219.4448107420685</v>
      </c>
      <c r="I10" s="401"/>
      <c r="J10" s="202"/>
    </row>
    <row r="11" spans="1:10" ht="15.95" customHeight="1" outlineLevel="1">
      <c r="A11" s="175"/>
      <c r="B11" s="469" t="s">
        <v>38</v>
      </c>
      <c r="C11" s="487" t="s">
        <v>492</v>
      </c>
      <c r="D11" s="748">
        <f>+'Balance Energético (u.físicas)'!$O$44</f>
        <v>8.0884716334829196</v>
      </c>
      <c r="E11" s="748">
        <f>+'Balance Energético (u.físicas)'!$O$45</f>
        <v>0</v>
      </c>
      <c r="F11" s="748">
        <f>+'Balance Energético (u.físicas)'!$O$46</f>
        <v>0</v>
      </c>
      <c r="G11" s="748">
        <f>+'Balance Energético (u.físicas)'!$O$47</f>
        <v>3.0000000000000005E-3</v>
      </c>
      <c r="H11" s="749">
        <f t="shared" si="0"/>
        <v>8.0914716334829198</v>
      </c>
      <c r="I11" s="401"/>
      <c r="J11" s="202"/>
    </row>
    <row r="12" spans="1:10" ht="15.95" customHeight="1" outlineLevel="1">
      <c r="A12" s="175"/>
      <c r="B12" s="469" t="s">
        <v>271</v>
      </c>
      <c r="C12" s="487" t="s">
        <v>515</v>
      </c>
      <c r="D12" s="748">
        <f>+'Balance Energético (u.físicas)'!$P$44</f>
        <v>30.621143070000002</v>
      </c>
      <c r="E12" s="748">
        <f>+'Balance Energético (u.físicas)'!$P$45</f>
        <v>0</v>
      </c>
      <c r="F12" s="748">
        <f>+'Balance Energético (u.físicas)'!$P$46</f>
        <v>2.6899999999999993E-2</v>
      </c>
      <c r="G12" s="748">
        <f>+'Balance Energético (u.físicas)'!$P$47</f>
        <v>2.4000000000000002E-3</v>
      </c>
      <c r="H12" s="749">
        <f t="shared" si="0"/>
        <v>30.650443070000005</v>
      </c>
      <c r="I12" s="401"/>
      <c r="J12" s="202"/>
    </row>
    <row r="13" spans="1:10" ht="15.95" customHeight="1" outlineLevel="1">
      <c r="A13" s="175"/>
      <c r="B13" s="469" t="s">
        <v>272</v>
      </c>
      <c r="C13" s="487" t="s">
        <v>492</v>
      </c>
      <c r="D13" s="748">
        <f>+'Balance Energético (u.físicas)'!$Q$44</f>
        <v>0.02</v>
      </c>
      <c r="E13" s="748">
        <f>+'Balance Energético (u.físicas)'!$Q$45</f>
        <v>0</v>
      </c>
      <c r="F13" s="748">
        <f>+'Balance Energético (u.físicas)'!$Q$46</f>
        <v>0</v>
      </c>
      <c r="G13" s="748">
        <f>+'Balance Energético (u.físicas)'!$Q$47</f>
        <v>7.5945609079999983</v>
      </c>
      <c r="H13" s="749">
        <f t="shared" si="0"/>
        <v>7.6145609079999979</v>
      </c>
      <c r="I13" s="401"/>
      <c r="J13" s="202"/>
    </row>
    <row r="14" spans="1:10" ht="15.95" customHeight="1" outlineLevel="1">
      <c r="A14" s="175"/>
      <c r="B14" s="469" t="s">
        <v>273</v>
      </c>
      <c r="C14" s="487" t="s">
        <v>492</v>
      </c>
      <c r="D14" s="748">
        <f>+'Balance Energético (u.físicas)'!$R$44</f>
        <v>0.17</v>
      </c>
      <c r="E14" s="748">
        <f>+'Balance Energético (u.físicas)'!$R$45</f>
        <v>0</v>
      </c>
      <c r="F14" s="748">
        <f>+'Balance Energético (u.físicas)'!$R$46</f>
        <v>0</v>
      </c>
      <c r="G14" s="748">
        <f>+'Balance Energético (u.físicas)'!$R$47</f>
        <v>1184.7014041982818</v>
      </c>
      <c r="H14" s="749">
        <f t="shared" si="0"/>
        <v>1184.8714041982819</v>
      </c>
      <c r="I14" s="401"/>
      <c r="J14" s="202"/>
    </row>
    <row r="15" spans="1:10" ht="15.95" customHeight="1" outlineLevel="1">
      <c r="A15" s="175"/>
      <c r="B15" s="469" t="s">
        <v>40</v>
      </c>
      <c r="C15" s="487" t="s">
        <v>492</v>
      </c>
      <c r="D15" s="748">
        <f>+'Balance Energético (u.físicas)'!$S$44</f>
        <v>0</v>
      </c>
      <c r="E15" s="748">
        <f>+'Balance Energético (u.físicas)'!$S$45</f>
        <v>0</v>
      </c>
      <c r="F15" s="748">
        <f>+'Balance Energético (u.físicas)'!$S$46</f>
        <v>0</v>
      </c>
      <c r="G15" s="748">
        <f>+'Balance Energético (u.físicas)'!$S$47</f>
        <v>0</v>
      </c>
      <c r="H15" s="749">
        <f t="shared" si="0"/>
        <v>0</v>
      </c>
      <c r="I15" s="401"/>
      <c r="J15" s="203"/>
    </row>
    <row r="16" spans="1:10" ht="15.95" customHeight="1" outlineLevel="1">
      <c r="A16" s="175"/>
      <c r="B16" s="469" t="s">
        <v>274</v>
      </c>
      <c r="C16" s="487" t="s">
        <v>492</v>
      </c>
      <c r="D16" s="748">
        <f>+'Balance Energético (u.físicas)'!$T$44</f>
        <v>0</v>
      </c>
      <c r="E16" s="748">
        <f>+'Balance Energético (u.físicas)'!$T$45</f>
        <v>0</v>
      </c>
      <c r="F16" s="748">
        <f>+'Balance Energético (u.físicas)'!$T$46</f>
        <v>0</v>
      </c>
      <c r="G16" s="748">
        <f>+'Balance Energético (u.físicas)'!$T$47</f>
        <v>0</v>
      </c>
      <c r="H16" s="749">
        <f t="shared" si="0"/>
        <v>0</v>
      </c>
      <c r="I16" s="401"/>
      <c r="J16" s="202"/>
    </row>
    <row r="17" spans="1:10" ht="15.95" customHeight="1" outlineLevel="1">
      <c r="A17" s="175"/>
      <c r="B17" s="470" t="s">
        <v>275</v>
      </c>
      <c r="C17" s="487" t="s">
        <v>515</v>
      </c>
      <c r="D17" s="748">
        <f>+'Balance Energético (u.físicas)'!$U$44</f>
        <v>0</v>
      </c>
      <c r="E17" s="748">
        <f>+'Balance Energético (u.físicas)'!$U$45</f>
        <v>0</v>
      </c>
      <c r="F17" s="748">
        <f>+'Balance Energético (u.físicas)'!$U$46</f>
        <v>0</v>
      </c>
      <c r="G17" s="748">
        <f>+'Balance Energético (u.físicas)'!$U$47</f>
        <v>0</v>
      </c>
      <c r="H17" s="749">
        <f t="shared" si="0"/>
        <v>0</v>
      </c>
      <c r="I17" s="401"/>
      <c r="J17" s="202"/>
    </row>
    <row r="18" spans="1:10" outlineLevel="1">
      <c r="A18" s="175"/>
      <c r="B18" s="470" t="s">
        <v>479</v>
      </c>
      <c r="C18" s="487" t="s">
        <v>515</v>
      </c>
      <c r="D18" s="748">
        <f>+'Balance Energético (u.físicas)'!$V$44</f>
        <v>0</v>
      </c>
      <c r="E18" s="748">
        <f>+'Balance Energético (u.físicas)'!$V$45</f>
        <v>0</v>
      </c>
      <c r="F18" s="748">
        <f>+'Balance Energético (u.físicas)'!$V$46</f>
        <v>0</v>
      </c>
      <c r="G18" s="748">
        <f>+'Balance Energético (u.físicas)'!$V$47</f>
        <v>0</v>
      </c>
      <c r="H18" s="749">
        <f t="shared" si="0"/>
        <v>0</v>
      </c>
      <c r="I18" s="401"/>
      <c r="J18" s="202"/>
    </row>
    <row r="19" spans="1:10">
      <c r="A19" s="175"/>
      <c r="B19" s="473" t="s">
        <v>126</v>
      </c>
      <c r="C19" s="487" t="s">
        <v>482</v>
      </c>
      <c r="D19" s="749">
        <f>+'Balance Energético (u.físicas)'!$W$44</f>
        <v>622.26670507629217</v>
      </c>
      <c r="E19" s="749">
        <f>+'Balance Energético (u.físicas)'!$W$45</f>
        <v>466.31056899999999</v>
      </c>
      <c r="F19" s="749">
        <f>+'Balance Energético (u.físicas)'!$W$46</f>
        <v>0</v>
      </c>
      <c r="G19" s="749">
        <f>+'Balance Energético (u.físicas)'!$W$47</f>
        <v>0</v>
      </c>
      <c r="H19" s="749">
        <f t="shared" si="0"/>
        <v>1088.5772740762923</v>
      </c>
      <c r="I19" s="402"/>
      <c r="J19" s="162"/>
    </row>
    <row r="20" spans="1:10">
      <c r="A20" s="175"/>
      <c r="B20" s="473" t="s">
        <v>292</v>
      </c>
      <c r="C20" s="487" t="s">
        <v>515</v>
      </c>
      <c r="D20" s="749">
        <f>+'Balance Energético (u.físicas)'!$X$44</f>
        <v>0</v>
      </c>
      <c r="E20" s="749">
        <f>+'Balance Energético (u.físicas)'!$X$45</f>
        <v>0</v>
      </c>
      <c r="F20" s="749">
        <f>+'Balance Energético (u.físicas)'!$X$46</f>
        <v>0</v>
      </c>
      <c r="G20" s="749">
        <f>+'Balance Energético (u.físicas)'!$X$47</f>
        <v>0</v>
      </c>
      <c r="H20" s="749">
        <f t="shared" si="0"/>
        <v>0</v>
      </c>
      <c r="I20" s="402"/>
      <c r="J20" s="162"/>
    </row>
    <row r="21" spans="1:10" ht="14.25">
      <c r="A21" s="175"/>
      <c r="B21" s="473" t="s">
        <v>277</v>
      </c>
      <c r="C21" s="487" t="s">
        <v>492</v>
      </c>
      <c r="D21" s="749">
        <f>+'Balance Energético (u.físicas)'!$Y$44</f>
        <v>0</v>
      </c>
      <c r="E21" s="749">
        <f>+'Balance Energético (u.físicas)'!$Y$45</f>
        <v>0</v>
      </c>
      <c r="F21" s="749">
        <f>+'Balance Energético (u.físicas)'!$Y$46</f>
        <v>0</v>
      </c>
      <c r="G21" s="749">
        <f>+'Balance Energético (u.físicas)'!$Y$47</f>
        <v>0</v>
      </c>
      <c r="H21" s="749">
        <f t="shared" si="0"/>
        <v>0</v>
      </c>
      <c r="I21" s="401"/>
      <c r="J21" s="202"/>
    </row>
    <row r="22" spans="1:10" ht="14.25">
      <c r="A22" s="175"/>
      <c r="B22" s="473" t="s">
        <v>43</v>
      </c>
      <c r="C22" s="487" t="s">
        <v>492</v>
      </c>
      <c r="D22" s="749">
        <f>+'Balance Energético (u.físicas)'!$Z$44</f>
        <v>0</v>
      </c>
      <c r="E22" s="749">
        <f>+'Balance Energético (u.físicas)'!$Z$45</f>
        <v>0</v>
      </c>
      <c r="F22" s="749">
        <f>+'Balance Energético (u.físicas)'!$Z$46</f>
        <v>0</v>
      </c>
      <c r="G22" s="749">
        <f>+'Balance Energético (u.físicas)'!$Z$47</f>
        <v>0</v>
      </c>
      <c r="H22" s="749">
        <f t="shared" si="0"/>
        <v>0</v>
      </c>
      <c r="I22" s="403"/>
      <c r="J22" s="24"/>
    </row>
    <row r="23" spans="1:10" ht="14.25">
      <c r="A23" s="175"/>
      <c r="B23" s="473" t="s">
        <v>478</v>
      </c>
      <c r="C23" s="487" t="s">
        <v>492</v>
      </c>
      <c r="D23" s="749">
        <f>+'Balance Energético (u.físicas)'!$AA$44</f>
        <v>0</v>
      </c>
      <c r="E23" s="749">
        <f>+'Balance Energético (u.físicas)'!$AA$45</f>
        <v>0</v>
      </c>
      <c r="F23" s="749">
        <f>+'Balance Energético (u.físicas)'!$AA$46</f>
        <v>0</v>
      </c>
      <c r="G23" s="749">
        <f>+'Balance Energético (u.físicas)'!$AA$47</f>
        <v>0</v>
      </c>
      <c r="H23" s="749">
        <f t="shared" si="0"/>
        <v>0</v>
      </c>
      <c r="I23" s="403"/>
      <c r="J23" s="24"/>
    </row>
    <row r="24" spans="1:10" ht="14.25">
      <c r="A24" s="24"/>
      <c r="B24" s="473" t="s">
        <v>279</v>
      </c>
      <c r="C24" s="487" t="s">
        <v>368</v>
      </c>
      <c r="D24" s="749">
        <f>+'Balance Energético (u.físicas)'!$AB$44</f>
        <v>0</v>
      </c>
      <c r="E24" s="749">
        <f>+'Balance Energético (u.físicas)'!$AB$45</f>
        <v>0</v>
      </c>
      <c r="F24" s="749">
        <f>+'Balance Energético (u.físicas)'!$AB$46</f>
        <v>0</v>
      </c>
      <c r="G24" s="749">
        <f>+'Balance Energético (u.físicas)'!$AB$47</f>
        <v>0</v>
      </c>
      <c r="H24" s="749">
        <f t="shared" si="0"/>
        <v>0</v>
      </c>
      <c r="I24" s="403"/>
      <c r="J24" s="24"/>
    </row>
    <row r="25" spans="1:10">
      <c r="A25" s="24"/>
      <c r="B25" s="473" t="s">
        <v>65</v>
      </c>
      <c r="C25" s="487" t="s">
        <v>515</v>
      </c>
      <c r="D25" s="749">
        <f>+'Balance Energético (u.físicas)'!$AC$44</f>
        <v>0</v>
      </c>
      <c r="E25" s="749">
        <f>+'Balance Energético (u.físicas)'!$AC$45</f>
        <v>0</v>
      </c>
      <c r="F25" s="749">
        <f>+'Balance Energético (u.físicas)'!$AC$46</f>
        <v>0</v>
      </c>
      <c r="G25" s="749">
        <f>+'Balance Energético (u.físicas)'!$AC$47</f>
        <v>0</v>
      </c>
      <c r="H25" s="749">
        <f t="shared" si="0"/>
        <v>0</v>
      </c>
      <c r="I25" s="403"/>
      <c r="J25" s="24"/>
    </row>
    <row r="26" spans="1:10" ht="14.25">
      <c r="A26" s="2"/>
      <c r="B26" s="473" t="s">
        <v>135</v>
      </c>
      <c r="C26" s="487" t="s">
        <v>368</v>
      </c>
      <c r="D26" s="749">
        <f>+'Balance Energético (u.físicas)'!$E$44</f>
        <v>31.74993521668986</v>
      </c>
      <c r="E26" s="749">
        <f>+'Balance Energético (u.físicas)'!$E$45</f>
        <v>0</v>
      </c>
      <c r="F26" s="749">
        <f>+'Balance Energético (u.físicas)'!$E$46</f>
        <v>1.3233180000000001E-2</v>
      </c>
      <c r="G26" s="749">
        <f>+'Balance Energético (u.físicas)'!$E$47</f>
        <v>0</v>
      </c>
      <c r="H26" s="749">
        <f t="shared" si="0"/>
        <v>31.76316839668986</v>
      </c>
      <c r="I26" s="368"/>
    </row>
    <row r="27" spans="1:10">
      <c r="A27" s="2"/>
      <c r="B27" s="473" t="s">
        <v>41</v>
      </c>
      <c r="C27" s="487" t="s">
        <v>515</v>
      </c>
      <c r="D27" s="749">
        <f>+'Balance Energético (u.físicas)'!$F$44</f>
        <v>0</v>
      </c>
      <c r="E27" s="749">
        <f>+'Balance Energético (u.físicas)'!$F$45</f>
        <v>0</v>
      </c>
      <c r="F27" s="749">
        <f>+'Balance Energético (u.físicas)'!$F$46</f>
        <v>0</v>
      </c>
      <c r="G27" s="749">
        <f>+'Balance Energético (u.físicas)'!$F$47</f>
        <v>0</v>
      </c>
      <c r="H27" s="749">
        <f t="shared" si="0"/>
        <v>0</v>
      </c>
      <c r="I27" s="368"/>
    </row>
    <row r="28" spans="1:10">
      <c r="A28" s="2"/>
      <c r="B28" s="471" t="s">
        <v>447</v>
      </c>
      <c r="C28" s="487" t="s">
        <v>515</v>
      </c>
      <c r="D28" s="749">
        <f>+'Balance Energético (u.físicas)'!$G$44</f>
        <v>0</v>
      </c>
      <c r="E28" s="749">
        <f>+'Balance Energético (u.físicas)'!$G$45</f>
        <v>0</v>
      </c>
      <c r="F28" s="749">
        <f>+'Balance Energético (u.físicas)'!$G$46</f>
        <v>0</v>
      </c>
      <c r="G28" s="749">
        <f>+'Balance Energético (u.físicas)'!$G$47</f>
        <v>0</v>
      </c>
      <c r="H28" s="749">
        <f t="shared" si="0"/>
        <v>0</v>
      </c>
      <c r="I28" s="368"/>
    </row>
    <row r="29" spans="1:10" ht="14.25">
      <c r="A29" s="2"/>
      <c r="B29" s="473" t="s">
        <v>42</v>
      </c>
      <c r="C29" s="487" t="s">
        <v>368</v>
      </c>
      <c r="D29" s="749">
        <f>+'Balance Energético (u.físicas)'!$K$44</f>
        <v>0</v>
      </c>
      <c r="E29" s="749">
        <f>+'Balance Energético (u.físicas)'!$K$45</f>
        <v>0</v>
      </c>
      <c r="F29" s="749">
        <f>+'Balance Energético (u.físicas)'!$K$46</f>
        <v>0</v>
      </c>
      <c r="G29" s="749">
        <f>+'Balance Energético (u.físicas)'!$K$47</f>
        <v>0</v>
      </c>
      <c r="H29" s="749">
        <f t="shared" si="0"/>
        <v>0</v>
      </c>
      <c r="I29" s="368"/>
    </row>
    <row r="30" spans="1:10">
      <c r="A30" s="2"/>
      <c r="B30" s="2"/>
      <c r="C30" s="2"/>
      <c r="D30" s="2"/>
      <c r="E30" s="2"/>
      <c r="F30" s="2"/>
      <c r="G30" s="2"/>
      <c r="H30" s="2"/>
    </row>
    <row r="31" spans="1:10">
      <c r="A31" s="2"/>
      <c r="B31" s="282" t="s">
        <v>16</v>
      </c>
      <c r="C31" s="2"/>
      <c r="D31" s="2"/>
      <c r="E31" s="2"/>
      <c r="F31" s="2"/>
      <c r="G31" s="2"/>
      <c r="H31" s="2"/>
    </row>
    <row r="32" spans="1:10">
      <c r="A32" s="2"/>
      <c r="B32" s="272" t="s">
        <v>293</v>
      </c>
      <c r="C32" s="2"/>
      <c r="D32" s="2"/>
      <c r="E32" s="2"/>
      <c r="F32" s="2"/>
      <c r="G32" s="2"/>
      <c r="H32" s="2"/>
    </row>
    <row r="33" spans="1:8">
      <c r="A33" s="2"/>
      <c r="B33" s="272" t="s">
        <v>527</v>
      </c>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s="2" customFormat="1"/>
    <row r="38" spans="1:8" s="2" customFormat="1"/>
    <row r="39" spans="1:8" s="2" customFormat="1"/>
    <row r="40" spans="1:8" s="2" customFormat="1"/>
    <row r="41" spans="1:8" s="2" customFormat="1"/>
    <row r="42" spans="1:8" s="2" customFormat="1"/>
    <row r="43" spans="1:8" s="2" customFormat="1"/>
    <row r="44" spans="1:8" s="2" customFormat="1"/>
    <row r="45" spans="1:8" s="2" customFormat="1"/>
    <row r="46" spans="1:8" s="2" customFormat="1"/>
    <row r="47" spans="1:8" s="2" customFormat="1"/>
    <row r="48" spans="1: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pans="4:8" s="2" customFormat="1"/>
    <row r="66" spans="4:8">
      <c r="D66" s="2"/>
      <c r="E66" s="2"/>
      <c r="F66" s="2"/>
      <c r="G66" s="2"/>
      <c r="H66" s="2"/>
    </row>
    <row r="67" spans="4:8">
      <c r="D67" s="2"/>
      <c r="E67" s="2"/>
      <c r="F67" s="2"/>
      <c r="G67" s="2"/>
      <c r="H67" s="2"/>
    </row>
    <row r="68" spans="4:8">
      <c r="D68" s="2"/>
      <c r="E68" s="2"/>
      <c r="F68" s="2"/>
      <c r="G68" s="2"/>
      <c r="H68" s="2"/>
    </row>
    <row r="69" spans="4:8">
      <c r="D69" s="2"/>
      <c r="E69" s="2"/>
      <c r="F69" s="2"/>
      <c r="G69" s="2"/>
      <c r="H69" s="2"/>
    </row>
    <row r="70" spans="4:8">
      <c r="D70" s="2"/>
      <c r="E70" s="2"/>
      <c r="F70" s="2"/>
      <c r="G70" s="2"/>
      <c r="H70" s="2"/>
    </row>
    <row r="71" spans="4:8">
      <c r="D71" s="2"/>
      <c r="E71" s="2"/>
      <c r="F71" s="2"/>
      <c r="G71" s="2"/>
      <c r="H71" s="2"/>
    </row>
    <row r="72" spans="4:8">
      <c r="D72" s="2"/>
      <c r="E72" s="2"/>
      <c r="F72" s="2"/>
      <c r="G72" s="2"/>
      <c r="H72" s="2"/>
    </row>
    <row r="73" spans="4:8">
      <c r="D73" s="2"/>
      <c r="E73" s="2"/>
      <c r="F73" s="2"/>
      <c r="G73" s="2"/>
      <c r="H73" s="2"/>
    </row>
  </sheetData>
  <mergeCells count="4">
    <mergeCell ref="B2:H2"/>
    <mergeCell ref="B3:H3"/>
    <mergeCell ref="B4:H4"/>
    <mergeCell ref="B5:H5"/>
  </mergeCells>
  <phoneticPr fontId="0" type="noConversion"/>
  <hyperlinks>
    <hyperlink ref="J2" location="Índice!A1" display="VOLVER A INDICE"/>
  </hyperlinks>
  <pageMargins left="0.75" right="0.75" top="1" bottom="1" header="0" footer="0"/>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tabColor theme="6" tint="0.39997558519241921"/>
  </sheetPr>
  <dimension ref="A1:AA43"/>
  <sheetViews>
    <sheetView workbookViewId="0"/>
  </sheetViews>
  <sheetFormatPr baseColWidth="10" defaultRowHeight="12.75" outlineLevelRow="1"/>
  <cols>
    <col min="1" max="1" width="1.85546875" style="500" customWidth="1"/>
    <col min="2" max="2" width="31.140625" style="500" customWidth="1"/>
    <col min="3" max="3" width="11.85546875" style="500" bestFit="1" customWidth="1"/>
    <col min="4" max="4" width="10.85546875" style="500" bestFit="1" customWidth="1"/>
    <col min="5" max="5" width="11.28515625" style="500" customWidth="1"/>
    <col min="6" max="6" width="10.140625" style="500" customWidth="1"/>
    <col min="7" max="8" width="11.42578125" style="500"/>
    <col min="9" max="9" width="14.85546875" style="500" bestFit="1" customWidth="1"/>
    <col min="10" max="10" width="10.85546875" style="500" bestFit="1" customWidth="1"/>
    <col min="11" max="11" width="9.7109375" style="500" customWidth="1"/>
    <col min="12" max="12" width="10.140625" style="500" customWidth="1"/>
    <col min="13" max="14" width="11.42578125" style="500"/>
    <col min="15" max="15" width="12" style="500" customWidth="1"/>
    <col min="16" max="16" width="11.42578125" style="500"/>
    <col min="17" max="17" width="19.28515625" style="500" customWidth="1"/>
    <col min="18" max="18" width="19.42578125" style="500" customWidth="1"/>
    <col min="19" max="26" width="11.42578125" style="500"/>
    <col min="27" max="27" width="21.5703125" style="500" customWidth="1"/>
    <col min="28" max="16384" width="11.42578125" style="500"/>
  </cols>
  <sheetData>
    <row r="1" spans="1:27" ht="5.25" customHeight="1">
      <c r="A1" s="404"/>
      <c r="B1" s="405"/>
      <c r="C1" s="405"/>
      <c r="D1" s="405"/>
      <c r="E1" s="405"/>
      <c r="F1" s="405"/>
      <c r="G1" s="405"/>
      <c r="H1" s="405"/>
      <c r="I1" s="405"/>
      <c r="J1" s="405"/>
      <c r="K1" s="405"/>
      <c r="L1" s="405"/>
      <c r="M1" s="405"/>
      <c r="N1" s="405"/>
      <c r="O1" s="405"/>
      <c r="P1" s="504"/>
    </row>
    <row r="2" spans="1:27" ht="15.95" customHeight="1">
      <c r="A2" s="404"/>
      <c r="B2" s="831" t="s">
        <v>127</v>
      </c>
      <c r="C2" s="831"/>
      <c r="D2" s="831"/>
      <c r="E2" s="831"/>
      <c r="F2" s="831"/>
      <c r="G2" s="831"/>
      <c r="H2" s="831"/>
      <c r="I2" s="831"/>
      <c r="J2" s="831"/>
      <c r="K2" s="831"/>
      <c r="L2" s="831"/>
      <c r="M2" s="831"/>
      <c r="N2" s="831"/>
      <c r="O2" s="831"/>
      <c r="P2" s="493"/>
      <c r="Q2" s="696" t="s">
        <v>229</v>
      </c>
    </row>
    <row r="3" spans="1:27" ht="15.95" customHeight="1">
      <c r="A3" s="404"/>
      <c r="B3" s="835" t="s">
        <v>347</v>
      </c>
      <c r="C3" s="835"/>
      <c r="D3" s="835"/>
      <c r="E3" s="835"/>
      <c r="F3" s="835"/>
      <c r="G3" s="835"/>
      <c r="H3" s="835"/>
      <c r="I3" s="835"/>
      <c r="J3" s="835"/>
      <c r="K3" s="835"/>
      <c r="L3" s="835"/>
      <c r="M3" s="835"/>
      <c r="N3" s="835"/>
      <c r="O3" s="835"/>
      <c r="P3" s="493"/>
      <c r="Q3" s="493"/>
    </row>
    <row r="4" spans="1:27" ht="15.95" customHeight="1">
      <c r="A4" s="404"/>
      <c r="B4" s="835" t="s">
        <v>446</v>
      </c>
      <c r="C4" s="835"/>
      <c r="D4" s="835"/>
      <c r="E4" s="835"/>
      <c r="F4" s="835"/>
      <c r="G4" s="835"/>
      <c r="H4" s="835"/>
      <c r="I4" s="835"/>
      <c r="J4" s="835"/>
      <c r="K4" s="835"/>
      <c r="L4" s="835"/>
      <c r="M4" s="835"/>
      <c r="N4" s="835"/>
      <c r="O4" s="835"/>
      <c r="P4" s="493"/>
    </row>
    <row r="5" spans="1:27" ht="15.95" customHeight="1">
      <c r="A5" s="404"/>
      <c r="B5" s="835" t="s">
        <v>284</v>
      </c>
      <c r="C5" s="835"/>
      <c r="D5" s="835"/>
      <c r="E5" s="835"/>
      <c r="F5" s="835"/>
      <c r="G5" s="835"/>
      <c r="H5" s="835"/>
      <c r="I5" s="835"/>
      <c r="J5" s="835"/>
      <c r="K5" s="835"/>
      <c r="L5" s="835"/>
      <c r="M5" s="835"/>
      <c r="N5" s="835"/>
      <c r="O5" s="835"/>
    </row>
    <row r="6" spans="1:27" ht="15.95" customHeight="1">
      <c r="A6" s="404"/>
      <c r="B6" s="819" t="s">
        <v>253</v>
      </c>
      <c r="C6" s="819" t="s">
        <v>483</v>
      </c>
      <c r="D6" s="819" t="s">
        <v>48</v>
      </c>
      <c r="E6" s="819" t="s">
        <v>49</v>
      </c>
      <c r="F6" s="819" t="s">
        <v>50</v>
      </c>
      <c r="G6" s="827" t="s">
        <v>51</v>
      </c>
      <c r="H6" s="819" t="s">
        <v>52</v>
      </c>
      <c r="I6" s="819" t="s">
        <v>53</v>
      </c>
      <c r="J6" s="819" t="s">
        <v>54</v>
      </c>
      <c r="K6" s="819" t="s">
        <v>55</v>
      </c>
      <c r="L6" s="819" t="s">
        <v>56</v>
      </c>
      <c r="M6" s="827" t="s">
        <v>57</v>
      </c>
      <c r="N6" s="827" t="s">
        <v>58</v>
      </c>
      <c r="O6" s="819" t="s">
        <v>33</v>
      </c>
      <c r="Q6" s="494"/>
      <c r="R6" s="494"/>
      <c r="S6" s="494"/>
      <c r="T6" s="494"/>
      <c r="U6" s="494"/>
      <c r="V6" s="494"/>
      <c r="W6" s="494"/>
      <c r="X6" s="494"/>
      <c r="Y6" s="494"/>
      <c r="Z6" s="494"/>
      <c r="AA6" s="494"/>
    </row>
    <row r="7" spans="1:27" ht="15.95" customHeight="1">
      <c r="A7" s="404"/>
      <c r="B7" s="819"/>
      <c r="C7" s="819"/>
      <c r="D7" s="819"/>
      <c r="E7" s="819"/>
      <c r="F7" s="819"/>
      <c r="G7" s="827"/>
      <c r="H7" s="819"/>
      <c r="I7" s="819"/>
      <c r="J7" s="819"/>
      <c r="K7" s="819"/>
      <c r="L7" s="819"/>
      <c r="M7" s="827"/>
      <c r="N7" s="827"/>
      <c r="O7" s="819"/>
      <c r="P7" s="493"/>
      <c r="Q7" s="494"/>
      <c r="R7" s="495"/>
      <c r="S7" s="494"/>
      <c r="T7" s="494"/>
      <c r="U7" s="494"/>
      <c r="V7" s="494"/>
      <c r="W7" s="494"/>
      <c r="X7" s="494"/>
      <c r="Y7" s="494"/>
      <c r="Z7" s="494"/>
      <c r="AA7" s="494"/>
    </row>
    <row r="8" spans="1:27" ht="15.95" customHeight="1">
      <c r="A8" s="404"/>
      <c r="B8" s="491" t="s">
        <v>518</v>
      </c>
      <c r="C8" s="466"/>
      <c r="D8" s="466"/>
      <c r="E8" s="466"/>
      <c r="F8" s="466"/>
      <c r="G8" s="466"/>
      <c r="H8" s="466"/>
      <c r="I8" s="466"/>
      <c r="J8" s="466"/>
      <c r="K8" s="466"/>
      <c r="L8" s="466"/>
      <c r="M8" s="466"/>
      <c r="N8" s="466"/>
      <c r="O8" s="466"/>
      <c r="P8" s="493"/>
      <c r="Q8" s="494"/>
      <c r="R8" s="495"/>
      <c r="S8" s="494"/>
      <c r="T8" s="494"/>
      <c r="U8" s="494"/>
      <c r="V8" s="494"/>
      <c r="W8" s="494"/>
      <c r="X8" s="494"/>
      <c r="Y8" s="494"/>
      <c r="Z8" s="494"/>
      <c r="AA8" s="494"/>
    </row>
    <row r="9" spans="1:27" ht="15.95" customHeight="1" outlineLevel="1">
      <c r="A9" s="404"/>
      <c r="B9" s="469" t="s">
        <v>269</v>
      </c>
      <c r="C9" s="487" t="s">
        <v>492</v>
      </c>
      <c r="D9" s="748">
        <f>+'Balance Energético (u.físicas)'!$L$32</f>
        <v>1786.8934193221814</v>
      </c>
      <c r="E9" s="748">
        <f>+'Balance Energético (u.físicas)'!$L$33</f>
        <v>83.244404000000003</v>
      </c>
      <c r="F9" s="748">
        <f>+'Balance Energético (u.físicas)'!$L$34</f>
        <v>79.641673999999981</v>
      </c>
      <c r="G9" s="748">
        <f>+'Balance Energético (u.físicas)'!$L$35</f>
        <v>1.9649709407697138</v>
      </c>
      <c r="H9" s="748">
        <f>+'Balance Energético (u.físicas)'!$L$36</f>
        <v>0.08</v>
      </c>
      <c r="I9" s="748">
        <f>+'Balance Energético (u.físicas)'!$L$37</f>
        <v>0</v>
      </c>
      <c r="J9" s="748">
        <f>+'Balance Energético (u.físicas)'!$L$38</f>
        <v>6.5918508095238106</v>
      </c>
      <c r="K9" s="748">
        <f>+'Balance Energético (u.físicas)'!$L$39</f>
        <v>0.45925490000000002</v>
      </c>
      <c r="L9" s="748">
        <f>+'Balance Energético (u.físicas)'!$L$40</f>
        <v>157.60380483568801</v>
      </c>
      <c r="M9" s="748">
        <f>+'Balance Energético (u.físicas)'!$L$41</f>
        <v>839.87913130954053</v>
      </c>
      <c r="N9" s="748">
        <f>+'Balance Energético (u.físicas)'!$L$42</f>
        <v>470.25904705248985</v>
      </c>
      <c r="O9" s="749">
        <f t="shared" ref="O9:O30" si="0">SUM(D9:N9)</f>
        <v>3426.6175571701929</v>
      </c>
      <c r="P9" s="496"/>
      <c r="Q9" s="497"/>
      <c r="R9" s="495"/>
      <c r="S9" s="497"/>
      <c r="T9" s="497"/>
      <c r="U9" s="497"/>
      <c r="V9" s="497"/>
      <c r="W9" s="497"/>
      <c r="X9" s="497"/>
      <c r="Y9" s="497"/>
      <c r="Z9" s="497"/>
      <c r="AA9" s="497"/>
    </row>
    <row r="10" spans="1:27" ht="15.95" customHeight="1" outlineLevel="1">
      <c r="A10" s="404"/>
      <c r="B10" s="469" t="s">
        <v>270</v>
      </c>
      <c r="C10" s="487" t="s">
        <v>515</v>
      </c>
      <c r="D10" s="748">
        <f>+'Balance Energético (u.físicas)'!$M$32</f>
        <v>104.284474</v>
      </c>
      <c r="E10" s="748">
        <f>+'Balance Energético (u.físicas)'!$M$33</f>
        <v>35.683321000000007</v>
      </c>
      <c r="F10" s="748">
        <f>+'Balance Energético (u.físicas)'!$M$34</f>
        <v>4.2451999999999996</v>
      </c>
      <c r="G10" s="748">
        <f>+'Balance Energético (u.físicas)'!$M$35</f>
        <v>182.91692722857312</v>
      </c>
      <c r="H10" s="748">
        <f>+'Balance Energético (u.físicas)'!$M$36</f>
        <v>0</v>
      </c>
      <c r="I10" s="748">
        <f>+'Balance Energético (u.físicas)'!$M$37</f>
        <v>0</v>
      </c>
      <c r="J10" s="748">
        <f>+'Balance Energético (u.físicas)'!$M$38</f>
        <v>0</v>
      </c>
      <c r="K10" s="748">
        <f>+'Balance Energético (u.físicas)'!$M$39</f>
        <v>0.57277099999999992</v>
      </c>
      <c r="L10" s="748">
        <f>+'Balance Energético (u.físicas)'!$M$40</f>
        <v>55.012000000000015</v>
      </c>
      <c r="M10" s="748">
        <f>+'Balance Energético (u.físicas)'!$M$41</f>
        <v>141.80314861338621</v>
      </c>
      <c r="N10" s="748">
        <f>+'Balance Energético (u.físicas)'!$M$42</f>
        <v>15.483004999999995</v>
      </c>
      <c r="O10" s="749">
        <f t="shared" si="0"/>
        <v>540.0008468419594</v>
      </c>
      <c r="P10" s="496"/>
      <c r="Q10" s="497"/>
      <c r="R10" s="495"/>
      <c r="S10" s="497"/>
      <c r="T10" s="497"/>
      <c r="U10" s="497"/>
      <c r="V10" s="497"/>
      <c r="W10" s="497"/>
      <c r="X10" s="497"/>
      <c r="Y10" s="497"/>
      <c r="Z10" s="497"/>
      <c r="AA10" s="497"/>
    </row>
    <row r="11" spans="1:27" ht="15.95" customHeight="1" outlineLevel="1">
      <c r="A11" s="404"/>
      <c r="B11" s="469" t="s">
        <v>330</v>
      </c>
      <c r="C11" s="487" t="s">
        <v>492</v>
      </c>
      <c r="D11" s="748">
        <f>+'Balance Energético (u.físicas)'!$N$32</f>
        <v>0</v>
      </c>
      <c r="E11" s="748">
        <f>+'Balance Energético (u.físicas)'!$N$33</f>
        <v>0</v>
      </c>
      <c r="F11" s="748">
        <f>+'Balance Energético (u.físicas)'!$N$34</f>
        <v>0</v>
      </c>
      <c r="G11" s="748">
        <f>+'Balance Energético (u.físicas)'!$N$35</f>
        <v>0</v>
      </c>
      <c r="H11" s="748">
        <f>+'Balance Energético (u.físicas)'!$N$36</f>
        <v>0</v>
      </c>
      <c r="I11" s="748">
        <f>+'Balance Energético (u.físicas)'!$N$37</f>
        <v>0</v>
      </c>
      <c r="J11" s="748">
        <f>+'Balance Energético (u.físicas)'!$N$38</f>
        <v>0</v>
      </c>
      <c r="K11" s="748">
        <f>+'Balance Energético (u.físicas)'!$N$39</f>
        <v>0</v>
      </c>
      <c r="L11" s="748">
        <f>+'Balance Energético (u.físicas)'!$N$40</f>
        <v>0</v>
      </c>
      <c r="M11" s="748">
        <f>+'Balance Energético (u.físicas)'!$N$41</f>
        <v>0</v>
      </c>
      <c r="N11" s="748">
        <f>+'Balance Energético (u.físicas)'!$N$42</f>
        <v>0</v>
      </c>
      <c r="O11" s="749">
        <f t="shared" si="0"/>
        <v>0</v>
      </c>
      <c r="P11" s="496"/>
      <c r="Q11" s="497"/>
      <c r="R11" s="495"/>
      <c r="S11" s="497"/>
      <c r="T11" s="497"/>
      <c r="U11" s="497"/>
      <c r="V11" s="497"/>
      <c r="W11" s="497"/>
      <c r="X11" s="497"/>
      <c r="Y11" s="497"/>
      <c r="Z11" s="497"/>
      <c r="AA11" s="497"/>
    </row>
    <row r="12" spans="1:27" ht="15.95" customHeight="1" outlineLevel="1">
      <c r="A12" s="404"/>
      <c r="B12" s="469" t="s">
        <v>38</v>
      </c>
      <c r="C12" s="487" t="s">
        <v>492</v>
      </c>
      <c r="D12" s="748">
        <f>+'Balance Energético (u.físicas)'!$O$32</f>
        <v>7.9088860000000007</v>
      </c>
      <c r="E12" s="748">
        <f>+'Balance Energético (u.físicas)'!$O$33</f>
        <v>0</v>
      </c>
      <c r="F12" s="748">
        <f>+'Balance Energético (u.físicas)'!$O$34</f>
        <v>0</v>
      </c>
      <c r="G12" s="748">
        <f>+'Balance Energético (u.físicas)'!$O$35</f>
        <v>4.7000000000000002E-3</v>
      </c>
      <c r="H12" s="748">
        <f>+'Balance Energético (u.físicas)'!$O$36</f>
        <v>0</v>
      </c>
      <c r="I12" s="748">
        <f>+'Balance Energético (u.físicas)'!$O$37</f>
        <v>0</v>
      </c>
      <c r="J12" s="748">
        <f>+'Balance Energético (u.físicas)'!$O$38</f>
        <v>6.9240000000000005E-3</v>
      </c>
      <c r="K12" s="748">
        <f>+'Balance Energético (u.físicas)'!$O$39</f>
        <v>0</v>
      </c>
      <c r="L12" s="748">
        <f>+'Balance Energético (u.físicas)'!$O$40</f>
        <v>0</v>
      </c>
      <c r="M12" s="748">
        <f>+'Balance Energético (u.físicas)'!$O$41</f>
        <v>8.3271704186553013</v>
      </c>
      <c r="N12" s="748">
        <f>+'Balance Energético (u.físicas)'!$O$42</f>
        <v>1.3759999999999997</v>
      </c>
      <c r="O12" s="749">
        <f t="shared" si="0"/>
        <v>17.623680418655301</v>
      </c>
      <c r="P12" s="496"/>
      <c r="Q12" s="497"/>
      <c r="R12" s="498"/>
      <c r="S12" s="497"/>
      <c r="T12" s="497"/>
      <c r="U12" s="497"/>
      <c r="V12" s="497"/>
      <c r="W12" s="497"/>
      <c r="X12" s="497"/>
      <c r="Y12" s="497"/>
      <c r="Z12" s="497"/>
      <c r="AA12" s="497"/>
    </row>
    <row r="13" spans="1:27" ht="15.95" customHeight="1" outlineLevel="1">
      <c r="A13" s="404"/>
      <c r="B13" s="469" t="s">
        <v>271</v>
      </c>
      <c r="C13" s="487" t="s">
        <v>515</v>
      </c>
      <c r="D13" s="748">
        <f>+'Balance Energético (u.físicas)'!$P$32</f>
        <v>2.8069994600000001</v>
      </c>
      <c r="E13" s="748">
        <f>+'Balance Energético (u.físicas)'!$P$33</f>
        <v>0</v>
      </c>
      <c r="F13" s="748">
        <f>+'Balance Energético (u.físicas)'!$P$34</f>
        <v>0</v>
      </c>
      <c r="G13" s="748">
        <f>+'Balance Energético (u.físicas)'!$P$35</f>
        <v>5.2196447448127303</v>
      </c>
      <c r="H13" s="748">
        <f>+'Balance Energético (u.físicas)'!$P$36</f>
        <v>2.3523000000000005</v>
      </c>
      <c r="I13" s="748">
        <f>+'Balance Energético (u.físicas)'!$P$37</f>
        <v>3.2372933163985702</v>
      </c>
      <c r="J13" s="748">
        <f>+'Balance Energético (u.físicas)'!$P$38</f>
        <v>1.0175780000000001</v>
      </c>
      <c r="K13" s="748">
        <f>+'Balance Energético (u.físicas)'!$P$39</f>
        <v>0.27763395000000002</v>
      </c>
      <c r="L13" s="748">
        <f>+'Balance Energético (u.físicas)'!$P$40</f>
        <v>8.2544957700000037</v>
      </c>
      <c r="M13" s="748">
        <f>+'Balance Energético (u.físicas)'!$P$41</f>
        <v>237.62561669784992</v>
      </c>
      <c r="N13" s="748">
        <f>+'Balance Energético (u.físicas)'!$P$42</f>
        <v>0.88401249999999998</v>
      </c>
      <c r="O13" s="749">
        <f t="shared" si="0"/>
        <v>261.67557443906122</v>
      </c>
      <c r="P13" s="496"/>
      <c r="Q13" s="497"/>
      <c r="R13" s="498"/>
      <c r="S13" s="497"/>
      <c r="T13" s="497"/>
      <c r="U13" s="497"/>
      <c r="V13" s="497"/>
      <c r="W13" s="497"/>
      <c r="X13" s="497"/>
      <c r="Y13" s="497"/>
      <c r="Z13" s="497"/>
      <c r="AA13" s="497"/>
    </row>
    <row r="14" spans="1:27" ht="15.95" customHeight="1" outlineLevel="1">
      <c r="A14" s="404"/>
      <c r="B14" s="469" t="s">
        <v>272</v>
      </c>
      <c r="C14" s="487" t="s">
        <v>492</v>
      </c>
      <c r="D14" s="748">
        <f>+'Balance Energético (u.físicas)'!$Q$32</f>
        <v>0</v>
      </c>
      <c r="E14" s="748">
        <f>+'Balance Energético (u.físicas)'!$Q$33</f>
        <v>0</v>
      </c>
      <c r="F14" s="748">
        <f>+'Balance Energético (u.físicas)'!$Q$34</f>
        <v>0</v>
      </c>
      <c r="G14" s="748">
        <f>+'Balance Energético (u.físicas)'!$Q$35</f>
        <v>0</v>
      </c>
      <c r="H14" s="748">
        <f>+'Balance Energético (u.físicas)'!$Q$36</f>
        <v>0</v>
      </c>
      <c r="I14" s="748">
        <f>+'Balance Energético (u.físicas)'!$Q$37</f>
        <v>0</v>
      </c>
      <c r="J14" s="748">
        <f>+'Balance Energético (u.físicas)'!$Q$38</f>
        <v>0</v>
      </c>
      <c r="K14" s="748">
        <f>+'Balance Energético (u.físicas)'!$Q$39</f>
        <v>0</v>
      </c>
      <c r="L14" s="748">
        <f>+'Balance Energético (u.físicas)'!$Q$40</f>
        <v>0</v>
      </c>
      <c r="M14" s="748">
        <f>+'Balance Energético (u.físicas)'!$Q$41</f>
        <v>0.99499999999999988</v>
      </c>
      <c r="N14" s="748">
        <f>+'Balance Energético (u.físicas)'!$Q$42</f>
        <v>0</v>
      </c>
      <c r="O14" s="749">
        <f t="shared" si="0"/>
        <v>0.99499999999999988</v>
      </c>
      <c r="P14" s="496"/>
      <c r="Q14" s="497"/>
      <c r="R14" s="498"/>
      <c r="S14" s="497"/>
      <c r="T14" s="497"/>
      <c r="U14" s="497"/>
      <c r="V14" s="497"/>
      <c r="W14" s="497"/>
      <c r="X14" s="497"/>
      <c r="Y14" s="497"/>
      <c r="Z14" s="497"/>
      <c r="AA14" s="497"/>
    </row>
    <row r="15" spans="1:27" ht="15.95" customHeight="1" outlineLevel="1">
      <c r="A15" s="404"/>
      <c r="B15" s="469" t="s">
        <v>273</v>
      </c>
      <c r="C15" s="487" t="s">
        <v>492</v>
      </c>
      <c r="D15" s="748">
        <f>+'Balance Energético (u.físicas)'!$R$32</f>
        <v>0</v>
      </c>
      <c r="E15" s="748">
        <f>+'Balance Energético (u.físicas)'!$R$33</f>
        <v>0</v>
      </c>
      <c r="F15" s="748">
        <f>+'Balance Energético (u.físicas)'!$R$34</f>
        <v>0</v>
      </c>
      <c r="G15" s="748">
        <f>+'Balance Energético (u.físicas)'!$R$35</f>
        <v>0</v>
      </c>
      <c r="H15" s="748">
        <f>+'Balance Energético (u.físicas)'!$R$36</f>
        <v>0</v>
      </c>
      <c r="I15" s="748">
        <f>+'Balance Energético (u.físicas)'!$R$37</f>
        <v>0</v>
      </c>
      <c r="J15" s="748">
        <f>+'Balance Energético (u.físicas)'!$R$38</f>
        <v>0</v>
      </c>
      <c r="K15" s="748">
        <f>+'Balance Energético (u.físicas)'!$R$39</f>
        <v>0</v>
      </c>
      <c r="L15" s="748">
        <f>+'Balance Energético (u.físicas)'!$R$40</f>
        <v>2.8000000000000004E-2</v>
      </c>
      <c r="M15" s="748">
        <f>+'Balance Energético (u.físicas)'!$R$41</f>
        <v>67.080027725498582</v>
      </c>
      <c r="N15" s="748">
        <f>+'Balance Energético (u.físicas)'!$R$42</f>
        <v>11.175000000000002</v>
      </c>
      <c r="O15" s="749">
        <f t="shared" si="0"/>
        <v>78.283027725498584</v>
      </c>
      <c r="P15" s="496"/>
      <c r="Q15" s="497"/>
      <c r="R15" s="498"/>
      <c r="S15" s="497"/>
      <c r="T15" s="497"/>
      <c r="U15" s="497"/>
      <c r="V15" s="497"/>
      <c r="W15" s="497"/>
      <c r="X15" s="497"/>
      <c r="Y15" s="497"/>
      <c r="Z15" s="497"/>
      <c r="AA15" s="497"/>
    </row>
    <row r="16" spans="1:27" ht="15.95" customHeight="1" outlineLevel="1">
      <c r="A16" s="404"/>
      <c r="B16" s="469" t="s">
        <v>40</v>
      </c>
      <c r="C16" s="487" t="s">
        <v>492</v>
      </c>
      <c r="D16" s="748">
        <f>+'Balance Energético (u.físicas)'!$S$32</f>
        <v>0</v>
      </c>
      <c r="E16" s="748">
        <f>+'Balance Energético (u.físicas)'!$S$33</f>
        <v>0</v>
      </c>
      <c r="F16" s="748">
        <f>+'Balance Energético (u.físicas)'!$S$34</f>
        <v>0</v>
      </c>
      <c r="G16" s="748">
        <f>+'Balance Energético (u.físicas)'!$S$35</f>
        <v>0</v>
      </c>
      <c r="H16" s="748">
        <f>+'Balance Energético (u.físicas)'!$S$36</f>
        <v>0</v>
      </c>
      <c r="I16" s="748">
        <f>+'Balance Energético (u.físicas)'!$S$37</f>
        <v>0</v>
      </c>
      <c r="J16" s="748">
        <f>+'Balance Energético (u.físicas)'!$S$38</f>
        <v>0</v>
      </c>
      <c r="K16" s="748">
        <f>+'Balance Energético (u.físicas)'!$S$39</f>
        <v>0</v>
      </c>
      <c r="L16" s="748">
        <f>+'Balance Energético (u.físicas)'!$S$40</f>
        <v>0</v>
      </c>
      <c r="M16" s="748">
        <f>+'Balance Energético (u.físicas)'!$S$41</f>
        <v>0</v>
      </c>
      <c r="N16" s="748">
        <f>+'Balance Energético (u.físicas)'!$S$42</f>
        <v>0</v>
      </c>
      <c r="O16" s="749">
        <f t="shared" si="0"/>
        <v>0</v>
      </c>
      <c r="P16" s="496"/>
      <c r="Q16" s="497"/>
      <c r="R16" s="498"/>
      <c r="S16" s="497"/>
      <c r="T16" s="497"/>
      <c r="U16" s="497"/>
      <c r="V16" s="497"/>
      <c r="W16" s="497"/>
      <c r="X16" s="497"/>
      <c r="Y16" s="497"/>
      <c r="Z16" s="497"/>
      <c r="AA16" s="497"/>
    </row>
    <row r="17" spans="1:27" ht="15.95" customHeight="1" outlineLevel="1">
      <c r="A17" s="404"/>
      <c r="B17" s="469" t="s">
        <v>274</v>
      </c>
      <c r="C17" s="487" t="s">
        <v>492</v>
      </c>
      <c r="D17" s="748">
        <f>+'Balance Energético (u.físicas)'!$T$32</f>
        <v>0</v>
      </c>
      <c r="E17" s="748">
        <f>+'Balance Energético (u.físicas)'!$T$33</f>
        <v>0</v>
      </c>
      <c r="F17" s="748">
        <f>+'Balance Energético (u.físicas)'!$T$34</f>
        <v>0</v>
      </c>
      <c r="G17" s="748">
        <f>+'Balance Energético (u.físicas)'!$T$35</f>
        <v>0</v>
      </c>
      <c r="H17" s="748">
        <f>+'Balance Energético (u.físicas)'!$T$36</f>
        <v>0</v>
      </c>
      <c r="I17" s="748">
        <f>+'Balance Energético (u.físicas)'!$T$37</f>
        <v>0</v>
      </c>
      <c r="J17" s="748">
        <f>+'Balance Energético (u.físicas)'!$T$38</f>
        <v>0</v>
      </c>
      <c r="K17" s="748">
        <f>+'Balance Energético (u.físicas)'!$T$39</f>
        <v>0</v>
      </c>
      <c r="L17" s="748">
        <f>+'Balance Energético (u.físicas)'!$T$40</f>
        <v>0</v>
      </c>
      <c r="M17" s="748">
        <f>+'Balance Energético (u.físicas)'!$T$41</f>
        <v>0</v>
      </c>
      <c r="N17" s="748">
        <f>+'Balance Energético (u.físicas)'!$T$42</f>
        <v>0</v>
      </c>
      <c r="O17" s="749">
        <f t="shared" si="0"/>
        <v>0</v>
      </c>
      <c r="P17" s="496"/>
      <c r="Q17" s="497"/>
      <c r="R17" s="498"/>
      <c r="S17" s="497"/>
      <c r="T17" s="497"/>
      <c r="U17" s="497"/>
      <c r="V17" s="497"/>
      <c r="W17" s="497"/>
      <c r="X17" s="497"/>
      <c r="Y17" s="497"/>
      <c r="Z17" s="497"/>
      <c r="AA17" s="497"/>
    </row>
    <row r="18" spans="1:27" ht="15.95" customHeight="1" outlineLevel="1">
      <c r="A18" s="404"/>
      <c r="B18" s="470" t="s">
        <v>275</v>
      </c>
      <c r="C18" s="487" t="s">
        <v>515</v>
      </c>
      <c r="D18" s="748">
        <f>+'Balance Energético (u.físicas)'!$U$32</f>
        <v>1.2797100000000001</v>
      </c>
      <c r="E18" s="748">
        <f>+'Balance Energético (u.físicas)'!$U$33</f>
        <v>0</v>
      </c>
      <c r="F18" s="748">
        <f>+'Balance Energético (u.físicas)'!$U$34</f>
        <v>0</v>
      </c>
      <c r="G18" s="748">
        <f>+'Balance Energético (u.físicas)'!$U$35</f>
        <v>0</v>
      </c>
      <c r="H18" s="748">
        <f>+'Balance Energético (u.físicas)'!$U$36</f>
        <v>0</v>
      </c>
      <c r="I18" s="748">
        <f>+'Balance Energético (u.físicas)'!$U$37</f>
        <v>0</v>
      </c>
      <c r="J18" s="748">
        <f>+'Balance Energético (u.físicas)'!$U$38</f>
        <v>288.39449099999996</v>
      </c>
      <c r="K18" s="748">
        <f>+'Balance Energético (u.físicas)'!$U$39</f>
        <v>0</v>
      </c>
      <c r="L18" s="748">
        <f>+'Balance Energético (u.físicas)'!$U$40</f>
        <v>0</v>
      </c>
      <c r="M18" s="748">
        <f>+'Balance Energético (u.físicas)'!$U$41</f>
        <v>14.106367000000001</v>
      </c>
      <c r="N18" s="748">
        <f>+'Balance Energético (u.físicas)'!$U$42</f>
        <v>0</v>
      </c>
      <c r="O18" s="749">
        <f t="shared" si="0"/>
        <v>303.78056799999996</v>
      </c>
      <c r="P18" s="496"/>
      <c r="Q18" s="497"/>
      <c r="R18" s="498"/>
      <c r="S18" s="497"/>
      <c r="T18" s="497"/>
      <c r="U18" s="497"/>
      <c r="V18" s="497"/>
      <c r="W18" s="497"/>
      <c r="X18" s="497"/>
      <c r="Y18" s="497"/>
      <c r="Z18" s="497"/>
      <c r="AA18" s="497"/>
    </row>
    <row r="19" spans="1:27" ht="15.95" customHeight="1" outlineLevel="1">
      <c r="A19" s="404"/>
      <c r="B19" s="470" t="s">
        <v>479</v>
      </c>
      <c r="C19" s="487" t="s">
        <v>515</v>
      </c>
      <c r="D19" s="748">
        <f>+'Balance Energético (u.físicas)'!$V$32</f>
        <v>0</v>
      </c>
      <c r="E19" s="748">
        <f>+'Balance Energético (u.físicas)'!$V$33</f>
        <v>0</v>
      </c>
      <c r="F19" s="748">
        <f>+'Balance Energético (u.físicas)'!$V$34</f>
        <v>0</v>
      </c>
      <c r="G19" s="748">
        <f>+'Balance Energético (u.físicas)'!$V$35</f>
        <v>0</v>
      </c>
      <c r="H19" s="748">
        <f>+'Balance Energético (u.físicas)'!$V$36</f>
        <v>0</v>
      </c>
      <c r="I19" s="748">
        <f>+'Balance Energético (u.físicas)'!$V$37</f>
        <v>0</v>
      </c>
      <c r="J19" s="748">
        <f>+'Balance Energético (u.físicas)'!$V$38</f>
        <v>0</v>
      </c>
      <c r="K19" s="748">
        <f>+'Balance Energético (u.físicas)'!$V$39</f>
        <v>0</v>
      </c>
      <c r="L19" s="748">
        <f>+'Balance Energético (u.físicas)'!$V$40</f>
        <v>0</v>
      </c>
      <c r="M19" s="748">
        <f>+'Balance Energético (u.físicas)'!$V$41</f>
        <v>0</v>
      </c>
      <c r="N19" s="748">
        <f>+'Balance Energético (u.físicas)'!$V$42</f>
        <v>0</v>
      </c>
      <c r="O19" s="749">
        <f t="shared" si="0"/>
        <v>0</v>
      </c>
      <c r="P19" s="496"/>
      <c r="Q19" s="497"/>
      <c r="R19" s="498"/>
      <c r="S19" s="497"/>
      <c r="T19" s="497"/>
      <c r="U19" s="497"/>
      <c r="V19" s="497"/>
      <c r="W19" s="497"/>
      <c r="X19" s="497"/>
      <c r="Y19" s="497"/>
      <c r="Z19" s="497"/>
      <c r="AA19" s="497"/>
    </row>
    <row r="20" spans="1:27" ht="15.95" customHeight="1">
      <c r="A20" s="404"/>
      <c r="B20" s="473" t="s">
        <v>126</v>
      </c>
      <c r="C20" s="487" t="s">
        <v>482</v>
      </c>
      <c r="D20" s="749">
        <f>+'Balance Energético (u.físicas)'!$W$32</f>
        <v>22469.575712102229</v>
      </c>
      <c r="E20" s="749">
        <f>+'Balance Energético (u.físicas)'!$W$33</f>
        <v>371.86028099999999</v>
      </c>
      <c r="F20" s="749">
        <f>+'Balance Energético (u.físicas)'!$W$34</f>
        <v>750.87300000000016</v>
      </c>
      <c r="G20" s="749">
        <f>+'Balance Energético (u.físicas)'!$W$35</f>
        <v>4795.3417431089774</v>
      </c>
      <c r="H20" s="749">
        <f>+'Balance Energético (u.físicas)'!$W$36</f>
        <v>374.32280900000001</v>
      </c>
      <c r="I20" s="749">
        <f>+'Balance Energético (u.físicas)'!$W$37</f>
        <v>37.006</v>
      </c>
      <c r="J20" s="749">
        <f>+'Balance Energético (u.físicas)'!$W$38</f>
        <v>470.9209247482533</v>
      </c>
      <c r="K20" s="749">
        <f>+'Balance Energético (u.físicas)'!$W$39</f>
        <v>18.545144000000004</v>
      </c>
      <c r="L20" s="749">
        <f>+'Balance Energético (u.físicas)'!$W$40</f>
        <v>104.27076</v>
      </c>
      <c r="M20" s="749">
        <f>+'Balance Energético (u.físicas)'!$W$41</f>
        <v>11538.207405252409</v>
      </c>
      <c r="N20" s="749">
        <f>+'Balance Energético (u.físicas)'!$W$42</f>
        <v>910.80016611976725</v>
      </c>
      <c r="O20" s="749">
        <f t="shared" si="0"/>
        <v>41841.723945331643</v>
      </c>
      <c r="P20" s="496"/>
      <c r="Q20" s="497"/>
      <c r="R20" s="498"/>
      <c r="S20" s="497"/>
      <c r="T20" s="497"/>
      <c r="U20" s="497"/>
      <c r="V20" s="497"/>
      <c r="W20" s="497"/>
      <c r="X20" s="497"/>
      <c r="Y20" s="497"/>
      <c r="Z20" s="497"/>
      <c r="AA20" s="497"/>
    </row>
    <row r="21" spans="1:27" ht="15.95" customHeight="1">
      <c r="A21" s="404"/>
      <c r="B21" s="473" t="s">
        <v>292</v>
      </c>
      <c r="C21" s="487" t="s">
        <v>515</v>
      </c>
      <c r="D21" s="749">
        <f>+'Balance Energético (u.físicas)'!$X$32</f>
        <v>5.3408571428571419</v>
      </c>
      <c r="E21" s="749">
        <f>+'Balance Energético (u.físicas)'!$X$33</f>
        <v>0</v>
      </c>
      <c r="F21" s="749">
        <f>+'Balance Energético (u.físicas)'!$X$34</f>
        <v>0</v>
      </c>
      <c r="G21" s="749">
        <f>+'Balance Energético (u.físicas)'!$X$35</f>
        <v>0</v>
      </c>
      <c r="H21" s="749">
        <f>+'Balance Energético (u.físicas)'!$X$36</f>
        <v>0</v>
      </c>
      <c r="I21" s="749">
        <f>+'Balance Energético (u.físicas)'!$X$37</f>
        <v>0</v>
      </c>
      <c r="J21" s="749">
        <f>+'Balance Energético (u.físicas)'!$X$38</f>
        <v>0</v>
      </c>
      <c r="K21" s="749">
        <f>+'Balance Energético (u.físicas)'!$X$39</f>
        <v>5.9428215</v>
      </c>
      <c r="L21" s="749">
        <f>+'Balance Energético (u.físicas)'!$X$40</f>
        <v>0</v>
      </c>
      <c r="M21" s="749">
        <f>+'Balance Energético (u.físicas)'!$X$41</f>
        <v>1.577655</v>
      </c>
      <c r="N21" s="749">
        <f>+'Balance Energético (u.físicas)'!$X$42</f>
        <v>0</v>
      </c>
      <c r="O21" s="749">
        <f t="shared" si="0"/>
        <v>12.861333642857142</v>
      </c>
      <c r="P21" s="496"/>
      <c r="Q21" s="497"/>
      <c r="R21" s="498"/>
      <c r="S21" s="497"/>
      <c r="T21" s="497"/>
      <c r="U21" s="497"/>
      <c r="V21" s="497"/>
      <c r="W21" s="497"/>
      <c r="X21" s="497"/>
      <c r="Y21" s="497"/>
      <c r="Z21" s="497"/>
      <c r="AA21" s="497"/>
    </row>
    <row r="22" spans="1:27" ht="15.95" customHeight="1">
      <c r="A22" s="404"/>
      <c r="B22" s="473" t="s">
        <v>277</v>
      </c>
      <c r="C22" s="487" t="s">
        <v>492</v>
      </c>
      <c r="D22" s="749">
        <f>+'Balance Energético (u.físicas)'!$Y$32</f>
        <v>0</v>
      </c>
      <c r="E22" s="749">
        <f>+'Balance Energético (u.físicas)'!$Y$33</f>
        <v>0</v>
      </c>
      <c r="F22" s="749">
        <f>+'Balance Energético (u.físicas)'!$Y$34</f>
        <v>0</v>
      </c>
      <c r="G22" s="749">
        <f>+'Balance Energético (u.físicas)'!$Y$35</f>
        <v>0</v>
      </c>
      <c r="H22" s="749">
        <f>+'Balance Energético (u.físicas)'!$Y$36</f>
        <v>119690.1875463372</v>
      </c>
      <c r="I22" s="749">
        <f>+'Balance Energético (u.físicas)'!$Y$37</f>
        <v>0</v>
      </c>
      <c r="J22" s="749">
        <f>+'Balance Energético (u.físicas)'!$Y$38</f>
        <v>0</v>
      </c>
      <c r="K22" s="749">
        <f>+'Balance Energético (u.físicas)'!$Y$39</f>
        <v>0</v>
      </c>
      <c r="L22" s="749">
        <f>+'Balance Energético (u.físicas)'!$Y$40</f>
        <v>0</v>
      </c>
      <c r="M22" s="749">
        <f>+'Balance Energético (u.físicas)'!$Y$41</f>
        <v>0</v>
      </c>
      <c r="N22" s="749">
        <f>+'Balance Energético (u.físicas)'!$Y$42</f>
        <v>0</v>
      </c>
      <c r="O22" s="749">
        <f t="shared" si="0"/>
        <v>119690.1875463372</v>
      </c>
      <c r="P22" s="496"/>
      <c r="Q22" s="497"/>
      <c r="R22" s="498"/>
      <c r="S22" s="497"/>
      <c r="T22" s="497"/>
      <c r="U22" s="497"/>
      <c r="V22" s="497"/>
      <c r="W22" s="497"/>
      <c r="X22" s="497"/>
      <c r="Y22" s="497"/>
      <c r="Z22" s="497"/>
      <c r="AA22" s="497"/>
    </row>
    <row r="23" spans="1:27" ht="15.95" customHeight="1">
      <c r="A23" s="404"/>
      <c r="B23" s="473" t="s">
        <v>341</v>
      </c>
      <c r="C23" s="487" t="s">
        <v>492</v>
      </c>
      <c r="D23" s="749">
        <f>+'Balance Energético (u.físicas)'!$Z$32</f>
        <v>0</v>
      </c>
      <c r="E23" s="749">
        <f>+'Balance Energético (u.físicas)'!$Z$33</f>
        <v>0</v>
      </c>
      <c r="F23" s="749">
        <f>+'Balance Energético (u.físicas)'!$Z$34</f>
        <v>0</v>
      </c>
      <c r="G23" s="749">
        <f>+'Balance Energético (u.físicas)'!$Z$35</f>
        <v>0</v>
      </c>
      <c r="H23" s="749">
        <f>+'Balance Energético (u.físicas)'!$Z$36</f>
        <v>0</v>
      </c>
      <c r="I23" s="749">
        <f>+'Balance Energético (u.físicas)'!$Z$37</f>
        <v>0</v>
      </c>
      <c r="J23" s="749">
        <f>+'Balance Energético (u.físicas)'!$Z$38</f>
        <v>0</v>
      </c>
      <c r="K23" s="749">
        <f>+'Balance Energético (u.físicas)'!$Z$39</f>
        <v>0</v>
      </c>
      <c r="L23" s="749">
        <f>+'Balance Energético (u.físicas)'!$Z$40</f>
        <v>0</v>
      </c>
      <c r="M23" s="749">
        <f>+'Balance Energético (u.físicas)'!$Z$41</f>
        <v>0</v>
      </c>
      <c r="N23" s="749">
        <f>+'Balance Energético (u.físicas)'!$Z$42</f>
        <v>0</v>
      </c>
      <c r="O23" s="749">
        <f t="shared" si="0"/>
        <v>0</v>
      </c>
      <c r="P23" s="496"/>
      <c r="Q23" s="497"/>
      <c r="R23" s="497"/>
      <c r="S23" s="497"/>
      <c r="T23" s="497"/>
      <c r="U23" s="497"/>
      <c r="V23" s="497"/>
      <c r="W23" s="497"/>
      <c r="X23" s="497"/>
      <c r="Y23" s="497"/>
      <c r="Z23" s="497"/>
      <c r="AA23" s="497"/>
    </row>
    <row r="24" spans="1:27" ht="14.25">
      <c r="A24" s="404"/>
      <c r="B24" s="473" t="s">
        <v>478</v>
      </c>
      <c r="C24" s="487" t="s">
        <v>492</v>
      </c>
      <c r="D24" s="749">
        <f>+'Balance Energético (u.físicas)'!$AA$32</f>
        <v>0</v>
      </c>
      <c r="E24" s="749">
        <f>+'Balance Energético (u.físicas)'!$AA$33</f>
        <v>0</v>
      </c>
      <c r="F24" s="749">
        <f>+'Balance Energético (u.físicas)'!$AA$34</f>
        <v>0</v>
      </c>
      <c r="G24" s="749">
        <f>+'Balance Energético (u.físicas)'!$AA$35</f>
        <v>0</v>
      </c>
      <c r="H24" s="749">
        <f>+'Balance Energético (u.físicas)'!$AA$36</f>
        <v>216222.9244031198</v>
      </c>
      <c r="I24" s="749">
        <f>+'Balance Energético (u.físicas)'!$AA$37</f>
        <v>0</v>
      </c>
      <c r="J24" s="749">
        <f>+'Balance Energético (u.físicas)'!$AA$38</f>
        <v>0</v>
      </c>
      <c r="K24" s="749">
        <f>+'Balance Energético (u.físicas)'!$AA$39</f>
        <v>0</v>
      </c>
      <c r="L24" s="749">
        <f>+'Balance Energético (u.físicas)'!$AA$40</f>
        <v>0</v>
      </c>
      <c r="M24" s="749">
        <f>+'Balance Energético (u.físicas)'!$AA$41</f>
        <v>0</v>
      </c>
      <c r="N24" s="749">
        <f>+'Balance Energético (u.físicas)'!$AA$42</f>
        <v>0</v>
      </c>
      <c r="O24" s="749">
        <f t="shared" si="0"/>
        <v>216222.9244031198</v>
      </c>
      <c r="P24" s="499"/>
    </row>
    <row r="25" spans="1:27" ht="14.25">
      <c r="A25" s="404"/>
      <c r="B25" s="473" t="s">
        <v>279</v>
      </c>
      <c r="C25" s="487" t="s">
        <v>368</v>
      </c>
      <c r="D25" s="749">
        <f>+'Balance Energético (u.físicas)'!$AB$32</f>
        <v>0</v>
      </c>
      <c r="E25" s="749">
        <f>+'Balance Energético (u.físicas)'!$AB$33</f>
        <v>0</v>
      </c>
      <c r="F25" s="749">
        <f>+'Balance Energético (u.físicas)'!$AB$34</f>
        <v>0</v>
      </c>
      <c r="G25" s="749">
        <f>+'Balance Energético (u.físicas)'!$AB$35</f>
        <v>0</v>
      </c>
      <c r="H25" s="749">
        <f>+'Balance Energético (u.físicas)'!$AB$36</f>
        <v>0</v>
      </c>
      <c r="I25" s="749">
        <f>+'Balance Energético (u.físicas)'!$AB$37</f>
        <v>0</v>
      </c>
      <c r="J25" s="749">
        <f>+'Balance Energético (u.físicas)'!$AB$38</f>
        <v>0</v>
      </c>
      <c r="K25" s="749">
        <f>+'Balance Energético (u.físicas)'!$AB$39</f>
        <v>4.5242608695652176E-5</v>
      </c>
      <c r="L25" s="749">
        <f>+'Balance Energético (u.físicas)'!$AB$40</f>
        <v>6.529565217391305E-5</v>
      </c>
      <c r="M25" s="749">
        <f>+'Balance Energético (u.físicas)'!$AB$41</f>
        <v>0.2489903947826087</v>
      </c>
      <c r="N25" s="749">
        <f>+'Balance Energético (u.físicas)'!$AB$42</f>
        <v>0</v>
      </c>
      <c r="O25" s="749">
        <f t="shared" si="0"/>
        <v>0.24910093304347827</v>
      </c>
      <c r="P25" s="499"/>
    </row>
    <row r="26" spans="1:27">
      <c r="A26" s="404"/>
      <c r="B26" s="473" t="s">
        <v>65</v>
      </c>
      <c r="C26" s="487" t="s">
        <v>515</v>
      </c>
      <c r="D26" s="749">
        <f>+'Balance Energético (u.físicas)'!$AC$32</f>
        <v>0</v>
      </c>
      <c r="E26" s="749">
        <f>+'Balance Energético (u.físicas)'!$AC$33</f>
        <v>0</v>
      </c>
      <c r="F26" s="749">
        <f>+'Balance Energético (u.físicas)'!$AC$34</f>
        <v>0</v>
      </c>
      <c r="G26" s="749">
        <f>+'Balance Energético (u.físicas)'!$AC$35</f>
        <v>0</v>
      </c>
      <c r="H26" s="749">
        <f>+'Balance Energético (u.físicas)'!$AC$36</f>
        <v>0</v>
      </c>
      <c r="I26" s="749">
        <f>+'Balance Energético (u.físicas)'!$AC$37</f>
        <v>0</v>
      </c>
      <c r="J26" s="749">
        <f>+'Balance Energético (u.físicas)'!$AC$38</f>
        <v>0</v>
      </c>
      <c r="K26" s="749">
        <f>+'Balance Energético (u.físicas)'!$AC$39</f>
        <v>0</v>
      </c>
      <c r="L26" s="749">
        <f>+'Balance Energético (u.físicas)'!$AC$40</f>
        <v>0</v>
      </c>
      <c r="M26" s="749">
        <f>+'Balance Energético (u.físicas)'!$AC$41</f>
        <v>0</v>
      </c>
      <c r="N26" s="749">
        <f>+'Balance Energético (u.físicas)'!$AC$42</f>
        <v>0</v>
      </c>
      <c r="O26" s="749">
        <f t="shared" si="0"/>
        <v>0</v>
      </c>
      <c r="P26" s="501"/>
      <c r="Q26" s="502"/>
    </row>
    <row r="27" spans="1:27" ht="14.25">
      <c r="A27" s="404"/>
      <c r="B27" s="473" t="s">
        <v>135</v>
      </c>
      <c r="C27" s="487" t="s">
        <v>368</v>
      </c>
      <c r="D27" s="749">
        <f>+'Balance Energético (u.físicas)'!$E$32</f>
        <v>101.39997882121017</v>
      </c>
      <c r="E27" s="749">
        <f>+'Balance Energético (u.físicas)'!$E$33</f>
        <v>17.480557999999995</v>
      </c>
      <c r="F27" s="749">
        <f>+'Balance Energético (u.físicas)'!$E$34</f>
        <v>0</v>
      </c>
      <c r="G27" s="749">
        <f>+'Balance Energético (u.físicas)'!$E$35</f>
        <v>108.99487192600834</v>
      </c>
      <c r="H27" s="749">
        <f>+'Balance Energético (u.físicas)'!$E$36</f>
        <v>37</v>
      </c>
      <c r="I27" s="749">
        <f>+'Balance Energético (u.físicas)'!$E$37</f>
        <v>0</v>
      </c>
      <c r="J27" s="749">
        <f>+'Balance Energético (u.físicas)'!$E$38</f>
        <v>11.225585962852158</v>
      </c>
      <c r="K27" s="749">
        <f>+'Balance Energético (u.físicas)'!$E$39</f>
        <v>0.91222906499999989</v>
      </c>
      <c r="L27" s="749">
        <f>+'Balance Energético (u.físicas)'!$E$40</f>
        <v>4.6636586299999996</v>
      </c>
      <c r="M27" s="749">
        <f>+'Balance Energético (u.físicas)'!$E$41</f>
        <v>478.60373977581833</v>
      </c>
      <c r="N27" s="749">
        <f>+'Balance Energético (u.físicas)'!$E$42</f>
        <v>87.957286454727623</v>
      </c>
      <c r="O27" s="749">
        <f t="shared" si="0"/>
        <v>848.23790863561658</v>
      </c>
      <c r="P27" s="501"/>
    </row>
    <row r="28" spans="1:27">
      <c r="A28" s="404"/>
      <c r="B28" s="473" t="s">
        <v>41</v>
      </c>
      <c r="C28" s="487" t="s">
        <v>515</v>
      </c>
      <c r="D28" s="749">
        <f>+'Balance Energético (u.físicas)'!$F$32</f>
        <v>1.6460000000000002E-2</v>
      </c>
      <c r="E28" s="749">
        <f>+'Balance Energético (u.físicas)'!$F$33</f>
        <v>0</v>
      </c>
      <c r="F28" s="749">
        <f>+'Balance Energético (u.físicas)'!$F$34</f>
        <v>72.874533200000002</v>
      </c>
      <c r="G28" s="749">
        <f>+'Balance Energético (u.físicas)'!$F$35</f>
        <v>0</v>
      </c>
      <c r="H28" s="749">
        <f>+'Balance Energético (u.físicas)'!$F$36</f>
        <v>0</v>
      </c>
      <c r="I28" s="749">
        <f>+'Balance Energético (u.físicas)'!$F$37</f>
        <v>0</v>
      </c>
      <c r="J28" s="749">
        <f>+'Balance Energético (u.físicas)'!$F$38</f>
        <v>0.99078571428571438</v>
      </c>
      <c r="K28" s="749">
        <f>+'Balance Energético (u.físicas)'!$F$39</f>
        <v>101.93061299999999</v>
      </c>
      <c r="L28" s="749">
        <f>+'Balance Energético (u.físicas)'!$F$40</f>
        <v>0.30336414285714292</v>
      </c>
      <c r="M28" s="749">
        <f>+'Balance Energético (u.físicas)'!$F$41</f>
        <v>205.5481345331014</v>
      </c>
      <c r="N28" s="749">
        <f>+'Balance Energético (u.físicas)'!$F$42</f>
        <v>0</v>
      </c>
      <c r="O28" s="749">
        <f t="shared" si="0"/>
        <v>381.66389059024425</v>
      </c>
      <c r="P28" s="501"/>
    </row>
    <row r="29" spans="1:27">
      <c r="A29" s="404"/>
      <c r="B29" s="471" t="s">
        <v>447</v>
      </c>
      <c r="C29" s="487" t="s">
        <v>515</v>
      </c>
      <c r="D29" s="749">
        <f>+'Balance Energético (u.físicas)'!$G$32</f>
        <v>0</v>
      </c>
      <c r="E29" s="749">
        <f>+'Balance Energético (u.físicas)'!$G$33</f>
        <v>0</v>
      </c>
      <c r="F29" s="749">
        <f>+'Balance Energético (u.físicas)'!$G$34</f>
        <v>0</v>
      </c>
      <c r="G29" s="749">
        <f>+'Balance Energético (u.físicas)'!$G$35</f>
        <v>4423.0656648794893</v>
      </c>
      <c r="H29" s="749">
        <f>+'Balance Energético (u.físicas)'!$G$36</f>
        <v>0</v>
      </c>
      <c r="I29" s="749">
        <f>+'Balance Energético (u.físicas)'!$G$37</f>
        <v>0</v>
      </c>
      <c r="J29" s="749">
        <f>+'Balance Energético (u.físicas)'!$G$38</f>
        <v>40.703615972739364</v>
      </c>
      <c r="K29" s="749">
        <f>+'Balance Energético (u.físicas)'!$G$39</f>
        <v>0</v>
      </c>
      <c r="L29" s="749">
        <f>+'Balance Energético (u.físicas)'!$G$40</f>
        <v>0</v>
      </c>
      <c r="M29" s="749">
        <f>+'Balance Energético (u.físicas)'!$G$41</f>
        <v>1366.2154562227561</v>
      </c>
      <c r="N29" s="749">
        <f>+'Balance Energético (u.físicas)'!$G$42</f>
        <v>2.7603038126688686</v>
      </c>
      <c r="O29" s="749">
        <f t="shared" si="0"/>
        <v>5832.7450408876539</v>
      </c>
      <c r="P29" s="501"/>
    </row>
    <row r="30" spans="1:27" ht="14.25">
      <c r="A30" s="404"/>
      <c r="B30" s="473" t="s">
        <v>42</v>
      </c>
      <c r="C30" s="487" t="s">
        <v>368</v>
      </c>
      <c r="D30" s="749">
        <f>+'Balance Energético (u.físicas)'!$K$32</f>
        <v>0</v>
      </c>
      <c r="E30" s="749">
        <f>+'Balance Energético (u.físicas)'!$K$33</f>
        <v>0</v>
      </c>
      <c r="F30" s="749">
        <f>+'Balance Energético (u.físicas)'!$K$34</f>
        <v>0</v>
      </c>
      <c r="G30" s="749">
        <f>+'Balance Energético (u.físicas)'!$K$35</f>
        <v>0</v>
      </c>
      <c r="H30" s="749">
        <f>+'Balance Energético (u.físicas)'!$K$36</f>
        <v>0</v>
      </c>
      <c r="I30" s="749">
        <f>+'Balance Energético (u.físicas)'!$K$37</f>
        <v>0</v>
      </c>
      <c r="J30" s="749">
        <f>+'Balance Energético (u.físicas)'!$K$38</f>
        <v>0</v>
      </c>
      <c r="K30" s="749">
        <f>+'Balance Energético (u.físicas)'!$K$39</f>
        <v>0</v>
      </c>
      <c r="L30" s="749">
        <f>+'Balance Energético (u.físicas)'!$K$40</f>
        <v>0</v>
      </c>
      <c r="M30" s="749">
        <f>+'Balance Energético (u.físicas)'!$K$41</f>
        <v>0</v>
      </c>
      <c r="N30" s="749">
        <f>+'Balance Energético (u.físicas)'!$K$42</f>
        <v>0</v>
      </c>
      <c r="O30" s="749">
        <f t="shared" si="0"/>
        <v>0</v>
      </c>
      <c r="P30" s="503"/>
    </row>
    <row r="31" spans="1:27">
      <c r="A31" s="504"/>
      <c r="B31" s="501"/>
      <c r="C31" s="501"/>
      <c r="D31" s="501"/>
      <c r="E31" s="501"/>
      <c r="F31" s="501"/>
      <c r="G31" s="501"/>
      <c r="H31" s="501"/>
      <c r="I31" s="501"/>
      <c r="J31" s="501"/>
      <c r="K31" s="501"/>
      <c r="L31" s="501"/>
      <c r="M31" s="501"/>
      <c r="N31" s="501"/>
      <c r="O31" s="501"/>
      <c r="P31" s="503"/>
    </row>
    <row r="32" spans="1:27">
      <c r="B32" s="503"/>
      <c r="C32" s="503"/>
      <c r="D32" s="503"/>
      <c r="E32" s="503"/>
      <c r="F32" s="503"/>
      <c r="G32" s="503"/>
      <c r="H32" s="503"/>
      <c r="I32" s="503"/>
      <c r="J32" s="503"/>
      <c r="K32" s="503"/>
      <c r="L32" s="503"/>
      <c r="M32" s="503"/>
      <c r="N32" s="503"/>
      <c r="O32" s="503"/>
      <c r="P32" s="503"/>
    </row>
    <row r="33" spans="2:16">
      <c r="B33" s="503"/>
      <c r="C33" s="503"/>
      <c r="D33" s="503"/>
      <c r="E33" s="503"/>
      <c r="F33" s="503"/>
      <c r="G33" s="503"/>
      <c r="H33" s="503"/>
      <c r="I33" s="503"/>
      <c r="J33" s="503"/>
      <c r="K33" s="503"/>
      <c r="L33" s="503"/>
      <c r="M33" s="503"/>
      <c r="N33" s="503"/>
      <c r="O33" s="503"/>
      <c r="P33" s="503"/>
    </row>
    <row r="34" spans="2:16">
      <c r="B34" s="505" t="s">
        <v>293</v>
      </c>
      <c r="C34" s="503"/>
      <c r="D34" s="503"/>
      <c r="E34" s="503"/>
      <c r="F34" s="503"/>
      <c r="G34" s="503"/>
      <c r="H34" s="503"/>
      <c r="I34" s="503"/>
      <c r="J34" s="503"/>
      <c r="K34" s="503"/>
      <c r="L34" s="503"/>
      <c r="M34" s="503"/>
      <c r="N34" s="503"/>
      <c r="O34" s="503"/>
      <c r="P34" s="503"/>
    </row>
    <row r="35" spans="2:16">
      <c r="B35" s="272" t="s">
        <v>527</v>
      </c>
      <c r="C35" s="503"/>
      <c r="D35" s="503"/>
      <c r="E35" s="503"/>
      <c r="F35" s="503"/>
      <c r="G35" s="503"/>
      <c r="H35" s="503"/>
      <c r="I35" s="503"/>
      <c r="J35" s="503"/>
      <c r="K35" s="503"/>
      <c r="L35" s="503"/>
      <c r="M35" s="503"/>
      <c r="N35" s="503"/>
      <c r="O35" s="503"/>
      <c r="P35" s="503"/>
    </row>
    <row r="36" spans="2:16">
      <c r="B36" s="503"/>
      <c r="C36" s="503"/>
      <c r="D36" s="503"/>
      <c r="E36" s="503"/>
      <c r="F36" s="503"/>
      <c r="G36" s="503"/>
      <c r="H36" s="503"/>
      <c r="I36" s="503"/>
      <c r="J36" s="503"/>
      <c r="K36" s="503"/>
      <c r="L36" s="503"/>
      <c r="M36" s="503"/>
      <c r="N36" s="503"/>
      <c r="O36" s="503"/>
      <c r="P36" s="503"/>
    </row>
    <row r="37" spans="2:16">
      <c r="B37" s="503"/>
      <c r="C37" s="503"/>
      <c r="D37" s="503"/>
      <c r="E37" s="503"/>
      <c r="F37" s="503"/>
      <c r="G37" s="503"/>
      <c r="H37" s="503"/>
      <c r="I37" s="503"/>
      <c r="J37" s="503"/>
      <c r="K37" s="503"/>
      <c r="L37" s="503"/>
      <c r="M37" s="503"/>
      <c r="N37" s="503"/>
      <c r="O37" s="503"/>
      <c r="P37" s="503"/>
    </row>
    <row r="38" spans="2:16">
      <c r="B38" s="503"/>
      <c r="C38" s="503"/>
      <c r="D38" s="503"/>
      <c r="E38" s="503"/>
      <c r="F38" s="503"/>
      <c r="G38" s="503"/>
      <c r="H38" s="503"/>
      <c r="I38" s="503"/>
      <c r="J38" s="503"/>
      <c r="K38" s="503"/>
      <c r="L38" s="503"/>
      <c r="M38" s="503"/>
      <c r="N38" s="503"/>
      <c r="O38" s="503"/>
      <c r="P38" s="503"/>
    </row>
    <row r="39" spans="2:16">
      <c r="C39" s="503"/>
      <c r="D39" s="503"/>
      <c r="E39" s="503"/>
      <c r="F39" s="503"/>
      <c r="G39" s="503"/>
      <c r="H39" s="503"/>
      <c r="I39" s="503"/>
      <c r="J39" s="503"/>
      <c r="K39" s="503"/>
      <c r="L39" s="503"/>
      <c r="M39" s="503"/>
      <c r="N39" s="503"/>
      <c r="O39" s="503"/>
      <c r="P39" s="503"/>
    </row>
    <row r="40" spans="2:16">
      <c r="C40" s="503"/>
      <c r="D40" s="503"/>
      <c r="E40" s="503"/>
      <c r="F40" s="503"/>
      <c r="G40" s="503"/>
      <c r="H40" s="503"/>
      <c r="I40" s="503"/>
      <c r="J40" s="503"/>
      <c r="K40" s="503"/>
      <c r="L40" s="503"/>
      <c r="M40" s="503"/>
      <c r="N40" s="503"/>
      <c r="O40" s="503"/>
      <c r="P40" s="503"/>
    </row>
    <row r="41" spans="2:16">
      <c r="B41" s="503"/>
      <c r="C41" s="503"/>
      <c r="D41" s="503"/>
      <c r="E41" s="503"/>
      <c r="F41" s="503"/>
      <c r="G41" s="503"/>
      <c r="H41" s="503"/>
      <c r="I41" s="503"/>
      <c r="J41" s="503"/>
      <c r="K41" s="503"/>
      <c r="L41" s="503"/>
      <c r="M41" s="503"/>
      <c r="N41" s="503"/>
      <c r="O41" s="503"/>
      <c r="P41" s="503"/>
    </row>
    <row r="42" spans="2:16">
      <c r="B42" s="503"/>
      <c r="C42" s="503"/>
      <c r="D42" s="503"/>
      <c r="E42" s="503"/>
      <c r="F42" s="503"/>
      <c r="G42" s="503"/>
      <c r="H42" s="503"/>
      <c r="I42" s="503"/>
      <c r="J42" s="503"/>
      <c r="K42" s="503"/>
      <c r="L42" s="503"/>
      <c r="M42" s="503"/>
      <c r="N42" s="503"/>
      <c r="O42" s="503"/>
      <c r="P42" s="503"/>
    </row>
    <row r="43" spans="2:16">
      <c r="B43" s="503"/>
      <c r="C43" s="503"/>
      <c r="D43" s="503"/>
      <c r="E43" s="503"/>
      <c r="F43" s="503"/>
      <c r="G43" s="503"/>
      <c r="H43" s="503"/>
      <c r="I43" s="503"/>
      <c r="J43" s="503"/>
      <c r="K43" s="503"/>
      <c r="L43" s="503"/>
      <c r="M43" s="503"/>
      <c r="N43" s="503"/>
      <c r="O43" s="503"/>
      <c r="P43" s="503"/>
    </row>
  </sheetData>
  <mergeCells count="18">
    <mergeCell ref="B2:O2"/>
    <mergeCell ref="B3:O3"/>
    <mergeCell ref="B4:O4"/>
    <mergeCell ref="B5:O5"/>
    <mergeCell ref="B6:B7"/>
    <mergeCell ref="C6:C7"/>
    <mergeCell ref="D6:D7"/>
    <mergeCell ref="E6:E7"/>
    <mergeCell ref="F6:F7"/>
    <mergeCell ref="H6:H7"/>
    <mergeCell ref="I6:I7"/>
    <mergeCell ref="J6:J7"/>
    <mergeCell ref="K6:K7"/>
    <mergeCell ref="L6:L7"/>
    <mergeCell ref="O6:O7"/>
    <mergeCell ref="G6:G7"/>
    <mergeCell ref="M6:M7"/>
    <mergeCell ref="N6:N7"/>
  </mergeCells>
  <phoneticPr fontId="0" type="noConversion"/>
  <hyperlinks>
    <hyperlink ref="Q2" location="Índice!A1" display="VOLVER A INDICE"/>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tabColor theme="6" tint="0.39997558519241921"/>
  </sheetPr>
  <dimension ref="A1:R80"/>
  <sheetViews>
    <sheetView workbookViewId="0"/>
  </sheetViews>
  <sheetFormatPr baseColWidth="10" defaultRowHeight="12.75" outlineLevelRow="1"/>
  <cols>
    <col min="1" max="1" width="1.42578125" style="411" customWidth="1"/>
    <col min="2" max="2" width="30.85546875" style="411" customWidth="1"/>
    <col min="3" max="3" width="11.85546875" style="411" bestFit="1" customWidth="1"/>
    <col min="4" max="4" width="13.85546875" style="411" customWidth="1"/>
    <col min="5" max="5" width="11.42578125" style="411"/>
    <col min="6" max="6" width="13.28515625" style="411" bestFit="1" customWidth="1"/>
    <col min="7" max="7" width="11.42578125" style="411"/>
    <col min="8" max="18" width="11.42578125" style="410"/>
    <col min="19" max="16384" width="11.42578125" style="411"/>
  </cols>
  <sheetData>
    <row r="1" spans="1:18" ht="6.75" customHeight="1">
      <c r="A1" s="408"/>
      <c r="B1" s="408"/>
      <c r="C1" s="408"/>
      <c r="D1" s="408"/>
      <c r="E1" s="408"/>
      <c r="F1" s="408"/>
      <c r="G1" s="408"/>
      <c r="H1" s="409"/>
      <c r="I1" s="409"/>
      <c r="J1" s="409"/>
    </row>
    <row r="2" spans="1:18" s="415" customFormat="1" ht="15.95" customHeight="1">
      <c r="A2" s="412"/>
      <c r="B2" s="875" t="s">
        <v>127</v>
      </c>
      <c r="C2" s="875"/>
      <c r="D2" s="875"/>
      <c r="E2" s="875" t="s">
        <v>127</v>
      </c>
      <c r="F2" s="875"/>
      <c r="G2" s="875"/>
      <c r="I2" s="695" t="s">
        <v>229</v>
      </c>
      <c r="J2" s="413"/>
      <c r="K2" s="414"/>
      <c r="L2" s="414"/>
      <c r="M2" s="414"/>
      <c r="N2" s="414"/>
      <c r="O2" s="414"/>
      <c r="P2" s="414"/>
      <c r="Q2" s="414"/>
      <c r="R2" s="414"/>
    </row>
    <row r="3" spans="1:18" s="415" customFormat="1" ht="15.95" customHeight="1">
      <c r="A3" s="412"/>
      <c r="B3" s="875" t="s">
        <v>347</v>
      </c>
      <c r="C3" s="875"/>
      <c r="D3" s="875"/>
      <c r="E3" s="875"/>
      <c r="F3" s="875"/>
      <c r="G3" s="875"/>
      <c r="I3" s="413"/>
      <c r="J3" s="413"/>
      <c r="K3" s="414"/>
      <c r="L3" s="414"/>
      <c r="M3" s="414"/>
      <c r="N3" s="414"/>
      <c r="O3" s="414"/>
      <c r="P3" s="414"/>
      <c r="Q3" s="414"/>
      <c r="R3" s="414"/>
    </row>
    <row r="4" spans="1:18" s="415" customFormat="1" ht="15.95" customHeight="1">
      <c r="A4" s="412"/>
      <c r="B4" s="875" t="s">
        <v>446</v>
      </c>
      <c r="C4" s="875"/>
      <c r="D4" s="875"/>
      <c r="E4" s="875"/>
      <c r="F4" s="875"/>
      <c r="G4" s="875"/>
      <c r="H4" s="413"/>
      <c r="I4" s="413"/>
      <c r="J4" s="413"/>
      <c r="K4" s="414"/>
      <c r="L4" s="414"/>
      <c r="M4" s="414"/>
      <c r="N4" s="414"/>
      <c r="O4" s="414"/>
      <c r="P4" s="414"/>
      <c r="Q4" s="414"/>
      <c r="R4" s="414"/>
    </row>
    <row r="5" spans="1:18" s="415" customFormat="1" ht="15.95" customHeight="1">
      <c r="A5" s="412"/>
      <c r="B5" s="875" t="s">
        <v>342</v>
      </c>
      <c r="C5" s="875"/>
      <c r="D5" s="875"/>
      <c r="E5" s="875"/>
      <c r="F5" s="875"/>
      <c r="G5" s="875"/>
      <c r="H5" s="413"/>
      <c r="I5" s="413"/>
      <c r="J5" s="413"/>
      <c r="K5" s="414"/>
      <c r="L5" s="414"/>
      <c r="M5" s="414"/>
      <c r="N5" s="414"/>
      <c r="O5" s="414"/>
      <c r="P5" s="414"/>
      <c r="Q5" s="414"/>
      <c r="R5" s="414"/>
    </row>
    <row r="6" spans="1:18" s="415" customFormat="1" ht="15.95" customHeight="1">
      <c r="A6" s="412"/>
      <c r="B6" s="458" t="s">
        <v>253</v>
      </c>
      <c r="C6" s="458" t="s">
        <v>483</v>
      </c>
      <c r="D6" s="458" t="s">
        <v>59</v>
      </c>
      <c r="E6" s="458" t="s">
        <v>60</v>
      </c>
      <c r="F6" s="458" t="s">
        <v>61</v>
      </c>
      <c r="G6" s="458" t="s">
        <v>33</v>
      </c>
      <c r="H6" s="413"/>
      <c r="I6" s="413"/>
      <c r="J6" s="413"/>
      <c r="K6" s="414"/>
      <c r="L6" s="414"/>
      <c r="M6" s="414"/>
      <c r="N6" s="414"/>
      <c r="O6" s="414"/>
      <c r="P6" s="414"/>
      <c r="Q6" s="414"/>
      <c r="R6" s="414"/>
    </row>
    <row r="7" spans="1:18" s="415" customFormat="1" ht="15.95" customHeight="1">
      <c r="A7" s="412"/>
      <c r="B7" s="491" t="s">
        <v>518</v>
      </c>
      <c r="C7" s="506"/>
      <c r="D7" s="506"/>
      <c r="E7" s="506"/>
      <c r="F7" s="506"/>
      <c r="G7" s="506"/>
      <c r="H7" s="413"/>
      <c r="I7" s="413"/>
      <c r="J7" s="413"/>
      <c r="K7" s="414"/>
      <c r="L7" s="414"/>
      <c r="M7" s="414"/>
      <c r="N7" s="414"/>
      <c r="O7" s="414"/>
      <c r="P7" s="414"/>
      <c r="Q7" s="414"/>
      <c r="R7" s="414"/>
    </row>
    <row r="8" spans="1:18" s="415" customFormat="1" ht="15.95" customHeight="1" outlineLevel="1">
      <c r="A8" s="412"/>
      <c r="B8" s="469" t="s">
        <v>269</v>
      </c>
      <c r="C8" s="487" t="s">
        <v>492</v>
      </c>
      <c r="D8" s="748">
        <f>+'Balance Energético (u.físicas)'!$L$49</f>
        <v>264.55580344865763</v>
      </c>
      <c r="E8" s="748">
        <f>+'Balance Energético (u.físicas)'!$L$50</f>
        <v>13.286279420381581</v>
      </c>
      <c r="F8" s="748">
        <f>+'Balance Energético (u.físicas)'!$L$51</f>
        <v>0</v>
      </c>
      <c r="G8" s="749">
        <f t="shared" ref="G8:G29" si="0">SUM(D8:F8)</f>
        <v>277.84208286903919</v>
      </c>
      <c r="H8" s="413"/>
      <c r="I8" s="413"/>
      <c r="J8" s="413"/>
      <c r="K8" s="414"/>
      <c r="L8" s="414"/>
      <c r="M8" s="414"/>
      <c r="N8" s="414"/>
      <c r="O8" s="414"/>
      <c r="P8" s="414"/>
      <c r="Q8" s="414"/>
      <c r="R8" s="414"/>
    </row>
    <row r="9" spans="1:18" s="415" customFormat="1" ht="15.95" customHeight="1" outlineLevel="1">
      <c r="A9" s="412"/>
      <c r="B9" s="469" t="s">
        <v>270</v>
      </c>
      <c r="C9" s="487" t="s">
        <v>515</v>
      </c>
      <c r="D9" s="748">
        <f>+'Balance Energético (u.físicas)'!$M$49</f>
        <v>6.3410000000000002</v>
      </c>
      <c r="E9" s="748">
        <f>+'Balance Energético (u.físicas)'!$M$50</f>
        <v>3.2040000000000006</v>
      </c>
      <c r="F9" s="748">
        <f>+'Balance Energético (u.físicas)'!$M$51</f>
        <v>0</v>
      </c>
      <c r="G9" s="749">
        <f t="shared" si="0"/>
        <v>9.5450000000000017</v>
      </c>
      <c r="H9" s="413"/>
      <c r="I9" s="413"/>
      <c r="J9" s="413"/>
      <c r="K9" s="414"/>
      <c r="L9" s="414"/>
      <c r="M9" s="414"/>
      <c r="N9" s="414"/>
      <c r="O9" s="414"/>
      <c r="P9" s="414"/>
      <c r="Q9" s="414"/>
      <c r="R9" s="414"/>
    </row>
    <row r="10" spans="1:18" s="415" customFormat="1" ht="15.95" customHeight="1" outlineLevel="1">
      <c r="A10" s="412"/>
      <c r="B10" s="469" t="s">
        <v>477</v>
      </c>
      <c r="C10" s="487" t="s">
        <v>492</v>
      </c>
      <c r="D10" s="748">
        <f>+'Balance Energético (u.físicas)'!$N$49</f>
        <v>0</v>
      </c>
      <c r="E10" s="748">
        <f>+'Balance Energético (u.físicas)'!$N$50</f>
        <v>0</v>
      </c>
      <c r="F10" s="748">
        <f>+'Balance Energético (u.físicas)'!$N$51</f>
        <v>0</v>
      </c>
      <c r="G10" s="749">
        <f t="shared" si="0"/>
        <v>0</v>
      </c>
      <c r="H10" s="413"/>
      <c r="I10" s="413"/>
      <c r="J10" s="413"/>
      <c r="K10" s="414"/>
      <c r="L10" s="414"/>
      <c r="M10" s="414"/>
      <c r="N10" s="414"/>
      <c r="O10" s="414"/>
      <c r="P10" s="414"/>
      <c r="Q10" s="414"/>
      <c r="R10" s="414"/>
    </row>
    <row r="11" spans="1:18" s="415" customFormat="1" ht="15.95" customHeight="1" outlineLevel="1">
      <c r="A11" s="412"/>
      <c r="B11" s="469" t="s">
        <v>38</v>
      </c>
      <c r="C11" s="487" t="s">
        <v>492</v>
      </c>
      <c r="D11" s="748">
        <f>+'Balance Energético (u.físicas)'!$O$49</f>
        <v>1.6520691187297272</v>
      </c>
      <c r="E11" s="748">
        <f>+'Balance Energético (u.físicas)'!$O$50</f>
        <v>1.1380460000000003</v>
      </c>
      <c r="F11" s="748">
        <f>+'Balance Energético (u.físicas)'!$O$51</f>
        <v>148.56052157789372</v>
      </c>
      <c r="G11" s="749">
        <f t="shared" si="0"/>
        <v>151.35063669662344</v>
      </c>
      <c r="H11" s="413"/>
      <c r="I11" s="413"/>
      <c r="J11" s="413"/>
      <c r="K11" s="414"/>
      <c r="L11" s="414"/>
      <c r="M11" s="414"/>
      <c r="N11" s="414"/>
      <c r="O11" s="414"/>
      <c r="P11" s="414"/>
      <c r="Q11" s="414"/>
      <c r="R11" s="414"/>
    </row>
    <row r="12" spans="1:18" s="415" customFormat="1" ht="15.95" customHeight="1" outlineLevel="1">
      <c r="A12" s="412"/>
      <c r="B12" s="469" t="s">
        <v>271</v>
      </c>
      <c r="C12" s="487" t="s">
        <v>515</v>
      </c>
      <c r="D12" s="748">
        <f>+'Balance Energético (u.físicas)'!$P$49</f>
        <v>91.547434329999987</v>
      </c>
      <c r="E12" s="748">
        <f>+'Balance Energético (u.físicas)'!$P$50</f>
        <v>18.023121999999997</v>
      </c>
      <c r="F12" s="748">
        <f>+'Balance Energético (u.físicas)'!$P$51</f>
        <v>743.40243819289844</v>
      </c>
      <c r="G12" s="749">
        <f t="shared" si="0"/>
        <v>852.97299452289849</v>
      </c>
      <c r="H12" s="413"/>
      <c r="I12" s="413"/>
      <c r="J12" s="413"/>
      <c r="K12" s="414"/>
      <c r="L12" s="414"/>
      <c r="M12" s="414"/>
      <c r="N12" s="414"/>
      <c r="O12" s="414"/>
      <c r="P12" s="414"/>
      <c r="Q12" s="414"/>
      <c r="R12" s="414"/>
    </row>
    <row r="13" spans="1:18" s="415" customFormat="1" ht="15.95" customHeight="1" outlineLevel="1">
      <c r="A13" s="412"/>
      <c r="B13" s="469" t="s">
        <v>272</v>
      </c>
      <c r="C13" s="487" t="s">
        <v>492</v>
      </c>
      <c r="D13" s="748">
        <f>+'Balance Energético (u.físicas)'!$Q$49</f>
        <v>0.22530651872399446</v>
      </c>
      <c r="E13" s="748">
        <f>+'Balance Energético (u.físicas)'!$Q$50</f>
        <v>0</v>
      </c>
      <c r="F13" s="748">
        <f>+'Balance Energético (u.físicas)'!$Q$51</f>
        <v>0</v>
      </c>
      <c r="G13" s="749">
        <f t="shared" si="0"/>
        <v>0.22530651872399446</v>
      </c>
      <c r="H13" s="413"/>
      <c r="I13" s="413"/>
      <c r="J13" s="413"/>
      <c r="K13" s="414"/>
      <c r="L13" s="414"/>
      <c r="M13" s="414"/>
      <c r="N13" s="414"/>
      <c r="O13" s="414"/>
      <c r="P13" s="414"/>
      <c r="Q13" s="414"/>
      <c r="R13" s="414"/>
    </row>
    <row r="14" spans="1:18" s="415" customFormat="1" ht="15.95" customHeight="1" outlineLevel="1">
      <c r="A14" s="412"/>
      <c r="B14" s="469" t="s">
        <v>273</v>
      </c>
      <c r="C14" s="487" t="s">
        <v>492</v>
      </c>
      <c r="D14" s="748">
        <f>+'Balance Energético (u.físicas)'!$R$49</f>
        <v>7.7276539999999967</v>
      </c>
      <c r="E14" s="748">
        <f>+'Balance Energético (u.físicas)'!$R$50</f>
        <v>37.125999999999998</v>
      </c>
      <c r="F14" s="748">
        <f>+'Balance Energético (u.físicas)'!$R$51</f>
        <v>0</v>
      </c>
      <c r="G14" s="749">
        <f t="shared" si="0"/>
        <v>44.853653999999992</v>
      </c>
      <c r="H14" s="413"/>
      <c r="I14" s="413"/>
      <c r="J14" s="413"/>
      <c r="K14" s="414"/>
      <c r="L14" s="414"/>
      <c r="M14" s="414"/>
      <c r="N14" s="414"/>
      <c r="O14" s="414"/>
      <c r="P14" s="414"/>
      <c r="Q14" s="414"/>
      <c r="R14" s="414"/>
    </row>
    <row r="15" spans="1:18" s="415" customFormat="1" ht="15.95" customHeight="1" outlineLevel="1">
      <c r="A15" s="412"/>
      <c r="B15" s="469" t="s">
        <v>40</v>
      </c>
      <c r="C15" s="487" t="s">
        <v>492</v>
      </c>
      <c r="D15" s="748">
        <f>+'Balance Energético (u.físicas)'!$S$49</f>
        <v>0</v>
      </c>
      <c r="E15" s="748">
        <f>+'Balance Energético (u.físicas)'!$S$50</f>
        <v>0</v>
      </c>
      <c r="F15" s="748">
        <f>+'Balance Energético (u.físicas)'!$S$51</f>
        <v>0</v>
      </c>
      <c r="G15" s="749">
        <f t="shared" si="0"/>
        <v>0</v>
      </c>
      <c r="H15" s="413"/>
      <c r="I15" s="413"/>
      <c r="J15" s="413"/>
      <c r="K15" s="414"/>
      <c r="L15" s="414"/>
      <c r="M15" s="414"/>
      <c r="N15" s="414"/>
      <c r="O15" s="414"/>
      <c r="P15" s="414"/>
      <c r="Q15" s="414"/>
      <c r="R15" s="414"/>
    </row>
    <row r="16" spans="1:18" s="415" customFormat="1" ht="15.95" customHeight="1" outlineLevel="1">
      <c r="A16" s="412"/>
      <c r="B16" s="469" t="s">
        <v>274</v>
      </c>
      <c r="C16" s="487" t="s">
        <v>492</v>
      </c>
      <c r="D16" s="748">
        <f>+'Balance Energético (u.físicas)'!$T$49</f>
        <v>0</v>
      </c>
      <c r="E16" s="748">
        <f>+'Balance Energético (u.físicas)'!$T$50</f>
        <v>0</v>
      </c>
      <c r="F16" s="748">
        <f>+'Balance Energético (u.físicas)'!$T$51</f>
        <v>0</v>
      </c>
      <c r="G16" s="749">
        <f t="shared" si="0"/>
        <v>0</v>
      </c>
      <c r="H16" s="413"/>
      <c r="I16" s="413"/>
      <c r="J16" s="413"/>
      <c r="K16" s="414"/>
      <c r="L16" s="414"/>
      <c r="M16" s="414"/>
      <c r="N16" s="414"/>
      <c r="O16" s="414"/>
      <c r="P16" s="414"/>
      <c r="Q16" s="414"/>
      <c r="R16" s="414"/>
    </row>
    <row r="17" spans="1:18" s="415" customFormat="1" ht="15.95" customHeight="1" outlineLevel="1">
      <c r="A17" s="412"/>
      <c r="B17" s="470" t="s">
        <v>275</v>
      </c>
      <c r="C17" s="487" t="s">
        <v>515</v>
      </c>
      <c r="D17" s="748">
        <f>+'Balance Energético (u.físicas)'!$U$49</f>
        <v>0</v>
      </c>
      <c r="E17" s="748">
        <f>+'Balance Energético (u.físicas)'!$U$50</f>
        <v>0</v>
      </c>
      <c r="F17" s="748">
        <f>+'Balance Energético (u.físicas)'!$U$51</f>
        <v>0</v>
      </c>
      <c r="G17" s="749">
        <f t="shared" si="0"/>
        <v>0</v>
      </c>
      <c r="H17" s="413"/>
      <c r="I17" s="413"/>
      <c r="J17" s="413"/>
      <c r="K17" s="414"/>
      <c r="L17" s="414"/>
      <c r="M17" s="414"/>
      <c r="N17" s="414"/>
      <c r="O17" s="414"/>
      <c r="P17" s="414"/>
      <c r="Q17" s="414"/>
      <c r="R17" s="414"/>
    </row>
    <row r="18" spans="1:18" outlineLevel="1">
      <c r="A18" s="408"/>
      <c r="B18" s="470" t="s">
        <v>479</v>
      </c>
      <c r="C18" s="487" t="s">
        <v>515</v>
      </c>
      <c r="D18" s="748">
        <f>+'Balance Energético (u.físicas)'!$V$49</f>
        <v>0</v>
      </c>
      <c r="E18" s="748">
        <f>+'Balance Energético (u.físicas)'!$V$50</f>
        <v>0</v>
      </c>
      <c r="F18" s="748">
        <f>+'Balance Energético (u.físicas)'!$V$51</f>
        <v>0</v>
      </c>
      <c r="G18" s="749">
        <f t="shared" si="0"/>
        <v>0</v>
      </c>
      <c r="H18" s="416"/>
      <c r="I18" s="416"/>
      <c r="J18" s="416"/>
    </row>
    <row r="19" spans="1:18">
      <c r="A19" s="408"/>
      <c r="B19" s="473" t="s">
        <v>126</v>
      </c>
      <c r="C19" s="487" t="s">
        <v>482</v>
      </c>
      <c r="D19" s="749">
        <f>+'Balance Energético (u.físicas)'!$W$49</f>
        <v>9769.2803748671104</v>
      </c>
      <c r="E19" s="749">
        <f>+'Balance Energético (u.físicas)'!$W$50</f>
        <v>2024.3044025459999</v>
      </c>
      <c r="F19" s="749">
        <f>+'Balance Energético (u.físicas)'!$W$51</f>
        <v>11755.030977163004</v>
      </c>
      <c r="G19" s="749">
        <f t="shared" si="0"/>
        <v>23548.615754576116</v>
      </c>
      <c r="H19" s="417"/>
      <c r="I19" s="417"/>
      <c r="J19" s="418"/>
    </row>
    <row r="20" spans="1:18">
      <c r="A20" s="408"/>
      <c r="B20" s="473" t="s">
        <v>292</v>
      </c>
      <c r="C20" s="487" t="s">
        <v>515</v>
      </c>
      <c r="D20" s="749">
        <f>+'Balance Energético (u.físicas)'!$X$49</f>
        <v>0</v>
      </c>
      <c r="E20" s="749">
        <f>+'Balance Energético (u.físicas)'!$X$50</f>
        <v>0</v>
      </c>
      <c r="F20" s="749">
        <f>+'Balance Energético (u.físicas)'!$X$51</f>
        <v>0</v>
      </c>
      <c r="G20" s="749">
        <f t="shared" si="0"/>
        <v>0</v>
      </c>
      <c r="H20" s="417"/>
      <c r="I20" s="417"/>
      <c r="J20" s="418"/>
    </row>
    <row r="21" spans="1:18" ht="14.25">
      <c r="A21" s="408"/>
      <c r="B21" s="473" t="s">
        <v>277</v>
      </c>
      <c r="C21" s="487" t="s">
        <v>492</v>
      </c>
      <c r="D21" s="749">
        <f>+'Balance Energético (u.físicas)'!$Y$49</f>
        <v>0</v>
      </c>
      <c r="E21" s="749">
        <f>+'Balance Energético (u.físicas)'!$Y$50</f>
        <v>0</v>
      </c>
      <c r="F21" s="749">
        <f>+'Balance Energético (u.físicas)'!$Y$51</f>
        <v>0</v>
      </c>
      <c r="G21" s="749">
        <f t="shared" si="0"/>
        <v>0</v>
      </c>
      <c r="H21" s="416"/>
      <c r="I21" s="416"/>
      <c r="J21" s="416"/>
    </row>
    <row r="22" spans="1:18" ht="14.25">
      <c r="A22" s="408"/>
      <c r="B22" s="473" t="s">
        <v>341</v>
      </c>
      <c r="C22" s="487" t="s">
        <v>492</v>
      </c>
      <c r="D22" s="749">
        <f>+'Balance Energético (u.físicas)'!$Z$49</f>
        <v>0</v>
      </c>
      <c r="E22" s="749">
        <f>+'Balance Energético (u.físicas)'!$Z$50</f>
        <v>0</v>
      </c>
      <c r="F22" s="749">
        <f>+'Balance Energético (u.físicas)'!$Z$51</f>
        <v>0</v>
      </c>
      <c r="G22" s="749">
        <f t="shared" si="0"/>
        <v>0</v>
      </c>
      <c r="H22" s="416"/>
      <c r="I22" s="416"/>
      <c r="J22" s="416"/>
    </row>
    <row r="23" spans="1:18" ht="14.25">
      <c r="A23" s="408"/>
      <c r="B23" s="473" t="s">
        <v>478</v>
      </c>
      <c r="C23" s="487" t="s">
        <v>492</v>
      </c>
      <c r="D23" s="749">
        <f>+'Balance Energético (u.físicas)'!$AA$49</f>
        <v>0</v>
      </c>
      <c r="E23" s="749">
        <f>+'Balance Energético (u.físicas)'!$AA$50</f>
        <v>0</v>
      </c>
      <c r="F23" s="749">
        <f>+'Balance Energético (u.físicas)'!$AA$51</f>
        <v>0</v>
      </c>
      <c r="G23" s="749">
        <f t="shared" si="0"/>
        <v>0</v>
      </c>
      <c r="H23" s="409"/>
      <c r="I23" s="409"/>
      <c r="J23" s="409"/>
    </row>
    <row r="24" spans="1:18" ht="14.25">
      <c r="A24" s="408"/>
      <c r="B24" s="473" t="s">
        <v>279</v>
      </c>
      <c r="C24" s="487" t="s">
        <v>368</v>
      </c>
      <c r="D24" s="749">
        <f>+'Balance Energético (u.físicas)'!$AB$49</f>
        <v>10.540729434782609</v>
      </c>
      <c r="E24" s="749">
        <f>+'Balance Energético (u.físicas)'!$AB$50</f>
        <v>0.78206299999999995</v>
      </c>
      <c r="F24" s="749">
        <f>+'Balance Energético (u.físicas)'!$AB$51</f>
        <v>5.6525246521739128</v>
      </c>
      <c r="G24" s="749">
        <f t="shared" si="0"/>
        <v>16.975317086956522</v>
      </c>
      <c r="H24" s="409"/>
      <c r="I24" s="409"/>
      <c r="J24" s="409"/>
    </row>
    <row r="25" spans="1:18">
      <c r="A25" s="408"/>
      <c r="B25" s="473" t="s">
        <v>65</v>
      </c>
      <c r="C25" s="487" t="s">
        <v>515</v>
      </c>
      <c r="D25" s="749">
        <f>+'Balance Energético (u.físicas)'!$AC$49</f>
        <v>0</v>
      </c>
      <c r="E25" s="749">
        <f>+'Balance Energético (u.físicas)'!$AC$50</f>
        <v>0</v>
      </c>
      <c r="F25" s="749">
        <f>+'Balance Energético (u.físicas)'!$AC$51</f>
        <v>0</v>
      </c>
      <c r="G25" s="749">
        <f t="shared" si="0"/>
        <v>0</v>
      </c>
      <c r="H25" s="409"/>
      <c r="I25" s="409"/>
      <c r="J25" s="409"/>
    </row>
    <row r="26" spans="1:18" ht="14.25">
      <c r="A26" s="408"/>
      <c r="B26" s="473" t="s">
        <v>135</v>
      </c>
      <c r="C26" s="487" t="s">
        <v>368</v>
      </c>
      <c r="D26" s="749">
        <f>+'Balance Energético (u.físicas)'!$E$49</f>
        <v>148.9919350583441</v>
      </c>
      <c r="E26" s="749">
        <f>+'Balance Energético (u.físicas)'!$E$50</f>
        <v>26.198229873381866</v>
      </c>
      <c r="F26" s="749">
        <f>+'Balance Energético (u.físicas)'!$E$51</f>
        <v>525.37681172560315</v>
      </c>
      <c r="G26" s="749">
        <f t="shared" si="0"/>
        <v>700.56697665732918</v>
      </c>
      <c r="H26" s="409"/>
      <c r="I26" s="409"/>
      <c r="J26" s="409"/>
    </row>
    <row r="27" spans="1:18">
      <c r="B27" s="473" t="s">
        <v>41</v>
      </c>
      <c r="C27" s="487" t="s">
        <v>515</v>
      </c>
      <c r="D27" s="749">
        <f>+'Balance Energético (u.físicas)'!$F$49</f>
        <v>0.13185714285714287</v>
      </c>
      <c r="E27" s="749">
        <f>+'Balance Energético (u.físicas)'!$F$50</f>
        <v>4.4263626496561308</v>
      </c>
      <c r="F27" s="749">
        <f>+'Balance Energético (u.físicas)'!$F$51</f>
        <v>0</v>
      </c>
      <c r="G27" s="749">
        <f t="shared" si="0"/>
        <v>4.5582197925132739</v>
      </c>
    </row>
    <row r="28" spans="1:18">
      <c r="B28" s="471" t="s">
        <v>447</v>
      </c>
      <c r="C28" s="487" t="s">
        <v>515</v>
      </c>
      <c r="D28" s="749">
        <f>+'Balance Energético (u.físicas)'!$G$49</f>
        <v>16.148874252575514</v>
      </c>
      <c r="E28" s="749">
        <f>+'Balance Energético (u.físicas)'!$G$50</f>
        <v>20.1345249074508</v>
      </c>
      <c r="F28" s="749">
        <f>+'Balance Energético (u.físicas)'!$G$51</f>
        <v>5317.9696409546041</v>
      </c>
      <c r="G28" s="749">
        <f t="shared" si="0"/>
        <v>5354.2530401146305</v>
      </c>
    </row>
    <row r="29" spans="1:18" ht="14.25">
      <c r="B29" s="473" t="s">
        <v>42</v>
      </c>
      <c r="C29" s="487" t="s">
        <v>368</v>
      </c>
      <c r="D29" s="749">
        <f>+'Balance Energético (u.físicas)'!$K$49</f>
        <v>29.266479</v>
      </c>
      <c r="E29" s="749">
        <f>+'Balance Energético (u.físicas)'!$K$50</f>
        <v>0</v>
      </c>
      <c r="F29" s="749">
        <f>+'Balance Energético (u.físicas)'!$K$51</f>
        <v>0</v>
      </c>
      <c r="G29" s="749">
        <f t="shared" si="0"/>
        <v>29.266479</v>
      </c>
    </row>
    <row r="30" spans="1:18">
      <c r="B30" s="410"/>
      <c r="C30" s="410"/>
      <c r="D30" s="410"/>
      <c r="E30" s="410"/>
      <c r="F30" s="410"/>
      <c r="G30" s="410"/>
    </row>
    <row r="31" spans="1:18">
      <c r="B31" s="410"/>
      <c r="C31" s="410"/>
      <c r="D31" s="410"/>
      <c r="E31" s="410"/>
      <c r="F31" s="410"/>
      <c r="G31" s="410"/>
    </row>
    <row r="32" spans="1:18">
      <c r="B32" s="419" t="s">
        <v>293</v>
      </c>
      <c r="C32" s="410"/>
      <c r="D32" s="410"/>
      <c r="E32" s="410"/>
      <c r="F32" s="410"/>
      <c r="G32" s="410"/>
    </row>
    <row r="33" spans="2:7">
      <c r="B33" s="272" t="s">
        <v>527</v>
      </c>
      <c r="C33" s="410"/>
      <c r="D33" s="410"/>
      <c r="E33" s="410"/>
      <c r="F33" s="410"/>
      <c r="G33" s="410"/>
    </row>
    <row r="34" spans="2:7">
      <c r="B34" s="410"/>
      <c r="C34" s="410"/>
      <c r="D34" s="410"/>
      <c r="E34" s="410"/>
      <c r="F34" s="410"/>
      <c r="G34" s="410"/>
    </row>
    <row r="35" spans="2:7">
      <c r="B35" s="410"/>
      <c r="C35" s="410"/>
      <c r="D35" s="410"/>
      <c r="E35" s="410"/>
      <c r="F35" s="410"/>
      <c r="G35" s="410"/>
    </row>
    <row r="36" spans="2:7" s="410" customFormat="1"/>
    <row r="37" spans="2:7" s="410" customFormat="1"/>
    <row r="38" spans="2:7" s="410" customFormat="1"/>
    <row r="39" spans="2:7" s="410" customFormat="1"/>
    <row r="40" spans="2:7" s="410" customFormat="1"/>
    <row r="41" spans="2:7" s="410" customFormat="1"/>
    <row r="42" spans="2:7" s="410" customFormat="1"/>
    <row r="43" spans="2:7" s="410" customFormat="1"/>
    <row r="44" spans="2:7" s="410" customFormat="1"/>
    <row r="45" spans="2:7" s="410" customFormat="1"/>
    <row r="46" spans="2:7" s="410" customFormat="1"/>
    <row r="47" spans="2:7" s="410" customFormat="1"/>
    <row r="48" spans="2:7" s="410" customFormat="1"/>
    <row r="49" s="410" customFormat="1"/>
    <row r="50" s="410" customFormat="1"/>
    <row r="51" s="410" customFormat="1"/>
    <row r="52" s="410" customFormat="1"/>
    <row r="53" s="410" customFormat="1"/>
    <row r="54" s="410" customFormat="1"/>
    <row r="55" s="410" customFormat="1"/>
    <row r="56" s="410" customFormat="1"/>
    <row r="57" s="410" customFormat="1"/>
    <row r="58" s="410" customFormat="1"/>
    <row r="59" s="410" customFormat="1"/>
    <row r="60" s="410" customFormat="1"/>
    <row r="61" s="410" customFormat="1"/>
    <row r="62" s="410" customFormat="1"/>
    <row r="63" s="410" customFormat="1"/>
    <row r="64" s="410" customFormat="1"/>
    <row r="65" s="410" customFormat="1"/>
    <row r="66" s="410" customFormat="1"/>
    <row r="67" s="410" customFormat="1"/>
    <row r="68" s="410" customFormat="1"/>
    <row r="69" s="410" customFormat="1"/>
    <row r="70" s="410" customFormat="1"/>
    <row r="71" s="410" customFormat="1"/>
    <row r="72" s="410" customFormat="1"/>
    <row r="73" s="410" customFormat="1"/>
    <row r="74" s="410" customFormat="1"/>
    <row r="75" s="410" customFormat="1"/>
    <row r="76" s="410" customFormat="1"/>
    <row r="77" s="410" customFormat="1"/>
    <row r="78" s="410" customFormat="1"/>
    <row r="79" s="410" customFormat="1"/>
    <row r="80" s="410" customFormat="1"/>
  </sheetData>
  <mergeCells count="4">
    <mergeCell ref="B2:G2"/>
    <mergeCell ref="B3:G3"/>
    <mergeCell ref="B4:G4"/>
    <mergeCell ref="B5:G5"/>
  </mergeCells>
  <phoneticPr fontId="0" type="noConversion"/>
  <hyperlinks>
    <hyperlink ref="I2" location="Índice!A1" display="VOLVER A INDICE"/>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tabColor theme="6" tint="0.39997558519241921"/>
  </sheetPr>
  <dimension ref="A1:M37"/>
  <sheetViews>
    <sheetView workbookViewId="0"/>
  </sheetViews>
  <sheetFormatPr baseColWidth="10" defaultRowHeight="12.75" outlineLevelRow="1"/>
  <cols>
    <col min="1" max="1" width="2.85546875" style="500" customWidth="1"/>
    <col min="2" max="2" width="30.85546875" style="500" customWidth="1"/>
    <col min="3" max="3" width="11.85546875" style="500" bestFit="1" customWidth="1"/>
    <col min="4" max="4" width="10.28515625" style="500" customWidth="1"/>
    <col min="5" max="5" width="14.28515625" style="500" customWidth="1"/>
    <col min="6" max="6" width="13.85546875" style="500" customWidth="1"/>
    <col min="7" max="7" width="13.42578125" style="500" bestFit="1" customWidth="1"/>
    <col min="8" max="8" width="12.5703125" style="500" bestFit="1" customWidth="1"/>
    <col min="9" max="9" width="12.85546875" style="500" customWidth="1"/>
    <col min="10" max="10" width="17.140625" style="500" bestFit="1" customWidth="1"/>
    <col min="11" max="11" width="13.42578125" style="500" bestFit="1" customWidth="1"/>
    <col min="12" max="16384" width="11.42578125" style="500"/>
  </cols>
  <sheetData>
    <row r="1" spans="1:13" ht="7.5" customHeight="1">
      <c r="A1" s="492"/>
      <c r="B1" s="405"/>
      <c r="C1" s="405"/>
      <c r="D1" s="405"/>
      <c r="E1" s="405"/>
      <c r="F1" s="405"/>
      <c r="G1" s="405"/>
      <c r="H1" s="405"/>
      <c r="I1" s="405"/>
      <c r="J1" s="405"/>
      <c r="K1" s="369"/>
    </row>
    <row r="2" spans="1:13" s="508" customFormat="1" ht="15.95" customHeight="1">
      <c r="A2" s="510"/>
      <c r="B2" s="835" t="s">
        <v>127</v>
      </c>
      <c r="C2" s="835"/>
      <c r="D2" s="835"/>
      <c r="E2" s="835"/>
      <c r="F2" s="835"/>
      <c r="G2" s="835"/>
      <c r="H2" s="835"/>
      <c r="I2" s="835"/>
      <c r="J2" s="835"/>
      <c r="K2" s="835"/>
      <c r="M2" s="694" t="s">
        <v>229</v>
      </c>
    </row>
    <row r="3" spans="1:13" s="508" customFormat="1" ht="15.95" customHeight="1">
      <c r="A3" s="510"/>
      <c r="B3" s="835" t="s">
        <v>347</v>
      </c>
      <c r="C3" s="835"/>
      <c r="D3" s="835"/>
      <c r="E3" s="835"/>
      <c r="F3" s="835"/>
      <c r="G3" s="835"/>
      <c r="H3" s="835"/>
      <c r="I3" s="835"/>
      <c r="J3" s="835"/>
      <c r="K3" s="835"/>
    </row>
    <row r="4" spans="1:13" s="508" customFormat="1" ht="15.95" customHeight="1">
      <c r="A4" s="510"/>
      <c r="B4" s="835" t="s">
        <v>446</v>
      </c>
      <c r="C4" s="835"/>
      <c r="D4" s="835"/>
      <c r="E4" s="835"/>
      <c r="F4" s="835"/>
      <c r="G4" s="835"/>
      <c r="H4" s="835"/>
      <c r="I4" s="835"/>
      <c r="J4" s="835"/>
      <c r="K4" s="835"/>
    </row>
    <row r="5" spans="1:13" s="508" customFormat="1" ht="15.95" customHeight="1">
      <c r="A5" s="510"/>
      <c r="B5" s="835" t="s">
        <v>615</v>
      </c>
      <c r="C5" s="835"/>
      <c r="D5" s="835"/>
      <c r="E5" s="835"/>
      <c r="F5" s="835"/>
      <c r="G5" s="835"/>
      <c r="H5" s="835"/>
      <c r="I5" s="835"/>
      <c r="J5" s="835"/>
      <c r="K5" s="835"/>
    </row>
    <row r="6" spans="1:13" s="508" customFormat="1" ht="15.95" customHeight="1">
      <c r="A6" s="510"/>
      <c r="B6" s="819" t="s">
        <v>253</v>
      </c>
      <c r="C6" s="819" t="s">
        <v>483</v>
      </c>
      <c r="D6" s="827" t="s">
        <v>63</v>
      </c>
      <c r="E6" s="819" t="s">
        <v>126</v>
      </c>
      <c r="F6" s="827" t="s">
        <v>450</v>
      </c>
      <c r="G6" s="827" t="s">
        <v>451</v>
      </c>
      <c r="H6" s="827" t="s">
        <v>282</v>
      </c>
      <c r="I6" s="827" t="s">
        <v>452</v>
      </c>
      <c r="J6" s="827" t="s">
        <v>453</v>
      </c>
      <c r="K6" s="819" t="s">
        <v>33</v>
      </c>
    </row>
    <row r="7" spans="1:13" s="508" customFormat="1" ht="21.75" customHeight="1">
      <c r="A7" s="510"/>
      <c r="B7" s="819"/>
      <c r="C7" s="819"/>
      <c r="D7" s="827"/>
      <c r="E7" s="819"/>
      <c r="F7" s="827"/>
      <c r="G7" s="827"/>
      <c r="H7" s="827"/>
      <c r="I7" s="827"/>
      <c r="J7" s="827"/>
      <c r="K7" s="819"/>
    </row>
    <row r="8" spans="1:13" s="508" customFormat="1" ht="21.75" customHeight="1">
      <c r="A8" s="510"/>
      <c r="B8" s="491" t="s">
        <v>518</v>
      </c>
      <c r="C8" s="466"/>
      <c r="D8" s="507"/>
      <c r="E8" s="466"/>
      <c r="F8" s="507"/>
      <c r="G8" s="507"/>
      <c r="H8" s="507"/>
      <c r="I8" s="507"/>
      <c r="J8" s="507"/>
      <c r="K8" s="466"/>
    </row>
    <row r="9" spans="1:13" s="508" customFormat="1" ht="15.95" customHeight="1" outlineLevel="1">
      <c r="A9" s="510"/>
      <c r="B9" s="469" t="s">
        <v>269</v>
      </c>
      <c r="C9" s="487" t="s">
        <v>492</v>
      </c>
      <c r="D9" s="748">
        <f>+'Balance Energético (u.físicas)'!$L$24</f>
        <v>9.2574000000000004E-2</v>
      </c>
      <c r="E9" s="748">
        <f>+'Balance Energético (u.físicas)'!$L$25</f>
        <v>0</v>
      </c>
      <c r="F9" s="748">
        <f>+'Balance Energético (u.físicas)'!$L$26</f>
        <v>0</v>
      </c>
      <c r="G9" s="748">
        <f>+'Balance Energético (u.físicas)'!$L$27</f>
        <v>0</v>
      </c>
      <c r="H9" s="748">
        <f>+'Balance Energético (u.físicas)'!$L$28</f>
        <v>0</v>
      </c>
      <c r="I9" s="748">
        <f>+'Balance Energético (u.físicas)'!$L$29</f>
        <v>0</v>
      </c>
      <c r="J9" s="748">
        <f>+'Balance Energético (u.físicas)'!$L$30</f>
        <v>0</v>
      </c>
      <c r="K9" s="749">
        <f>SUM(D9:J9)</f>
        <v>9.2574000000000004E-2</v>
      </c>
    </row>
    <row r="10" spans="1:13" s="508" customFormat="1" ht="15.95" customHeight="1" outlineLevel="1">
      <c r="A10" s="510"/>
      <c r="B10" s="469" t="s">
        <v>270</v>
      </c>
      <c r="C10" s="487" t="s">
        <v>515</v>
      </c>
      <c r="D10" s="748">
        <f>+'Balance Energético (u.físicas)'!$M$24</f>
        <v>0</v>
      </c>
      <c r="E10" s="748">
        <f>+'Balance Energético (u.físicas)'!$M$25</f>
        <v>0</v>
      </c>
      <c r="F10" s="748">
        <f>+'Balance Energético (u.físicas)'!$M$26</f>
        <v>0</v>
      </c>
      <c r="G10" s="748">
        <f>+'Balance Energético (u.físicas)'!$M$27</f>
        <v>3.2391129999999997</v>
      </c>
      <c r="H10" s="748">
        <f>+'Balance Energético (u.físicas)'!$M$28</f>
        <v>0</v>
      </c>
      <c r="I10" s="748">
        <f>+'Balance Energético (u.físicas)'!$M$29</f>
        <v>0</v>
      </c>
      <c r="J10" s="748">
        <f>+'Balance Energético (u.físicas)'!$M$30</f>
        <v>0</v>
      </c>
      <c r="K10" s="749">
        <f t="shared" ref="K10:K30" si="0">SUM(D10:J10)</f>
        <v>3.2391129999999997</v>
      </c>
    </row>
    <row r="11" spans="1:13" s="508" customFormat="1" ht="15.95" customHeight="1" outlineLevel="1">
      <c r="A11" s="510"/>
      <c r="B11" s="469" t="s">
        <v>330</v>
      </c>
      <c r="C11" s="487" t="s">
        <v>492</v>
      </c>
      <c r="D11" s="748">
        <f>+'Balance Energético (u.físicas)'!$N$24</f>
        <v>0</v>
      </c>
      <c r="E11" s="748">
        <f>+'Balance Energético (u.físicas)'!$N$25</f>
        <v>0</v>
      </c>
      <c r="F11" s="748">
        <f>+'Balance Energético (u.físicas)'!$N$26</f>
        <v>0</v>
      </c>
      <c r="G11" s="748">
        <f>+'Balance Energético (u.físicas)'!$N$27</f>
        <v>0</v>
      </c>
      <c r="H11" s="748">
        <f>+'Balance Energético (u.físicas)'!$N$28</f>
        <v>0</v>
      </c>
      <c r="I11" s="748">
        <f>+'Balance Energético (u.físicas)'!$N$29</f>
        <v>0</v>
      </c>
      <c r="J11" s="748">
        <f>+'Balance Energético (u.físicas)'!$N$30</f>
        <v>0</v>
      </c>
      <c r="K11" s="749">
        <f t="shared" si="0"/>
        <v>0</v>
      </c>
    </row>
    <row r="12" spans="1:13" s="508" customFormat="1" ht="15.95" customHeight="1" outlineLevel="1">
      <c r="A12" s="510"/>
      <c r="B12" s="469" t="s">
        <v>38</v>
      </c>
      <c r="C12" s="487" t="s">
        <v>492</v>
      </c>
      <c r="D12" s="748">
        <f>+'Balance Energético (u.físicas)'!$O$24</f>
        <v>0</v>
      </c>
      <c r="E12" s="748">
        <f>+'Balance Energético (u.físicas)'!$O$25</f>
        <v>0</v>
      </c>
      <c r="F12" s="748">
        <f>+'Balance Energético (u.físicas)'!$O$26</f>
        <v>0</v>
      </c>
      <c r="G12" s="748">
        <f>+'Balance Energético (u.físicas)'!$O$27</f>
        <v>5.669999999999999E-4</v>
      </c>
      <c r="H12" s="748">
        <f>+'Balance Energético (u.físicas)'!$O$28</f>
        <v>0</v>
      </c>
      <c r="I12" s="748">
        <f>+'Balance Energético (u.físicas)'!$O$29</f>
        <v>0</v>
      </c>
      <c r="J12" s="748">
        <f>+'Balance Energético (u.físicas)'!$O$30</f>
        <v>0</v>
      </c>
      <c r="K12" s="749">
        <f t="shared" si="0"/>
        <v>5.669999999999999E-4</v>
      </c>
    </row>
    <row r="13" spans="1:13" s="508" customFormat="1" ht="15.95" customHeight="1" outlineLevel="1">
      <c r="A13" s="510"/>
      <c r="B13" s="469" t="s">
        <v>271</v>
      </c>
      <c r="C13" s="487" t="s">
        <v>515</v>
      </c>
      <c r="D13" s="748">
        <f>+'Balance Energético (u.físicas)'!$P$24</f>
        <v>0.337113</v>
      </c>
      <c r="E13" s="748">
        <f>+'Balance Energético (u.físicas)'!$P$25</f>
        <v>0</v>
      </c>
      <c r="F13" s="748">
        <f>+'Balance Energético (u.físicas)'!$P$26</f>
        <v>0</v>
      </c>
      <c r="G13" s="748">
        <f>+'Balance Energético (u.físicas)'!$P$27</f>
        <v>0.15130500000000002</v>
      </c>
      <c r="H13" s="748">
        <f>+'Balance Energético (u.físicas)'!$P$28</f>
        <v>5.13E-4</v>
      </c>
      <c r="I13" s="748">
        <f>+'Balance Energético (u.físicas)'!$P$29</f>
        <v>12.1957</v>
      </c>
      <c r="J13" s="748">
        <f>+'Balance Energético (u.físicas)'!$P$30</f>
        <v>0</v>
      </c>
      <c r="K13" s="749">
        <f t="shared" si="0"/>
        <v>12.684631</v>
      </c>
    </row>
    <row r="14" spans="1:13" s="508" customFormat="1" ht="15.95" customHeight="1" outlineLevel="1">
      <c r="A14" s="510"/>
      <c r="B14" s="469" t="s">
        <v>272</v>
      </c>
      <c r="C14" s="487" t="s">
        <v>492</v>
      </c>
      <c r="D14" s="748">
        <f>+'Balance Energético (u.físicas)'!$Q$24</f>
        <v>0</v>
      </c>
      <c r="E14" s="748">
        <f>+'Balance Energético (u.físicas)'!$Q$25</f>
        <v>0</v>
      </c>
      <c r="F14" s="748">
        <f>+'Balance Energético (u.físicas)'!$Q$26</f>
        <v>0</v>
      </c>
      <c r="G14" s="748">
        <f>+'Balance Energético (u.físicas)'!$Q$27</f>
        <v>0</v>
      </c>
      <c r="H14" s="748">
        <f>+'Balance Energético (u.físicas)'!$Q$28</f>
        <v>0</v>
      </c>
      <c r="I14" s="748">
        <f>+'Balance Energético (u.físicas)'!$Q$29</f>
        <v>0</v>
      </c>
      <c r="J14" s="748">
        <f>+'Balance Energético (u.físicas)'!$Q$30</f>
        <v>0</v>
      </c>
      <c r="K14" s="749">
        <f t="shared" si="0"/>
        <v>0</v>
      </c>
    </row>
    <row r="15" spans="1:13" s="508" customFormat="1" ht="15.95" customHeight="1" outlineLevel="1">
      <c r="A15" s="510"/>
      <c r="B15" s="469" t="s">
        <v>273</v>
      </c>
      <c r="C15" s="487" t="s">
        <v>492</v>
      </c>
      <c r="D15" s="748">
        <f>+'Balance Energético (u.físicas)'!$R$24</f>
        <v>0</v>
      </c>
      <c r="E15" s="748">
        <f>+'Balance Energético (u.físicas)'!$R$25</f>
        <v>0</v>
      </c>
      <c r="F15" s="748">
        <f>+'Balance Energético (u.físicas)'!$R$26</f>
        <v>0</v>
      </c>
      <c r="G15" s="748">
        <f>+'Balance Energético (u.físicas)'!$R$27</f>
        <v>0</v>
      </c>
      <c r="H15" s="748">
        <f>+'Balance Energético (u.físicas)'!$R$28</f>
        <v>0</v>
      </c>
      <c r="I15" s="748">
        <f>+'Balance Energético (u.físicas)'!$R$29</f>
        <v>2.29E-2</v>
      </c>
      <c r="J15" s="748">
        <f>+'Balance Energético (u.físicas)'!$R$30</f>
        <v>0</v>
      </c>
      <c r="K15" s="749">
        <f t="shared" si="0"/>
        <v>2.29E-2</v>
      </c>
    </row>
    <row r="16" spans="1:13" s="508" customFormat="1" ht="15.95" customHeight="1" outlineLevel="1">
      <c r="A16" s="510"/>
      <c r="B16" s="469" t="s">
        <v>40</v>
      </c>
      <c r="C16" s="487" t="s">
        <v>492</v>
      </c>
      <c r="D16" s="748">
        <f>+'Balance Energético (u.físicas)'!$S$24</f>
        <v>0</v>
      </c>
      <c r="E16" s="748">
        <f>+'Balance Energético (u.físicas)'!$S$25</f>
        <v>0</v>
      </c>
      <c r="F16" s="748">
        <f>+'Balance Energético (u.físicas)'!$S$26</f>
        <v>0</v>
      </c>
      <c r="G16" s="748">
        <f>+'Balance Energético (u.físicas)'!$S$27</f>
        <v>0</v>
      </c>
      <c r="H16" s="748">
        <f>+'Balance Energético (u.físicas)'!$S$28</f>
        <v>0</v>
      </c>
      <c r="I16" s="748">
        <f>+'Balance Energético (u.físicas)'!$S$29</f>
        <v>174.44467132381567</v>
      </c>
      <c r="J16" s="748">
        <f>+'Balance Energético (u.físicas)'!$S$30</f>
        <v>0</v>
      </c>
      <c r="K16" s="749">
        <f t="shared" si="0"/>
        <v>174.44467132381567</v>
      </c>
    </row>
    <row r="17" spans="1:11" s="508" customFormat="1" ht="15.95" customHeight="1" outlineLevel="1">
      <c r="A17" s="510"/>
      <c r="B17" s="469" t="s">
        <v>274</v>
      </c>
      <c r="C17" s="487" t="s">
        <v>492</v>
      </c>
      <c r="D17" s="748">
        <f>+'Balance Energético (u.físicas)'!$T$24</f>
        <v>0</v>
      </c>
      <c r="E17" s="748">
        <f>+'Balance Energético (u.físicas)'!$T$25</f>
        <v>0</v>
      </c>
      <c r="F17" s="748">
        <f>+'Balance Energético (u.físicas)'!$T$26</f>
        <v>0</v>
      </c>
      <c r="G17" s="748">
        <f>+'Balance Energético (u.físicas)'!$T$27</f>
        <v>0</v>
      </c>
      <c r="H17" s="748">
        <f>+'Balance Energético (u.físicas)'!$T$28</f>
        <v>0</v>
      </c>
      <c r="I17" s="748">
        <f>+'Balance Energético (u.físicas)'!$T$29</f>
        <v>346.50899547228465</v>
      </c>
      <c r="J17" s="748">
        <f>+'Balance Energético (u.físicas)'!$T$30</f>
        <v>0</v>
      </c>
      <c r="K17" s="749">
        <f t="shared" si="0"/>
        <v>346.50899547228465</v>
      </c>
    </row>
    <row r="18" spans="1:11" s="508" customFormat="1" ht="15.95" customHeight="1" outlineLevel="1">
      <c r="A18" s="510"/>
      <c r="B18" s="470" t="s">
        <v>275</v>
      </c>
      <c r="C18" s="487" t="s">
        <v>515</v>
      </c>
      <c r="D18" s="748">
        <f>+'Balance Energético (u.físicas)'!$U$24</f>
        <v>0</v>
      </c>
      <c r="E18" s="748">
        <f>+'Balance Energético (u.físicas)'!$U$25</f>
        <v>0</v>
      </c>
      <c r="F18" s="748">
        <f>+'Balance Energético (u.físicas)'!$U$26</f>
        <v>0</v>
      </c>
      <c r="G18" s="748">
        <f>+'Balance Energético (u.físicas)'!$U$27</f>
        <v>0</v>
      </c>
      <c r="H18" s="748">
        <f>+'Balance Energético (u.físicas)'!$U$28</f>
        <v>0</v>
      </c>
      <c r="I18" s="748">
        <f>+'Balance Energético (u.físicas)'!$U$29</f>
        <v>0</v>
      </c>
      <c r="J18" s="748">
        <f>+'Balance Energético (u.físicas)'!$U$30</f>
        <v>0</v>
      </c>
      <c r="K18" s="749">
        <f t="shared" si="0"/>
        <v>0</v>
      </c>
    </row>
    <row r="19" spans="1:11" s="508" customFormat="1" ht="15.95" customHeight="1" outlineLevel="1">
      <c r="A19" s="510"/>
      <c r="B19" s="470" t="s">
        <v>479</v>
      </c>
      <c r="C19" s="487" t="s">
        <v>515</v>
      </c>
      <c r="D19" s="748">
        <f>+'Balance Energético (u.físicas)'!$V$24</f>
        <v>0</v>
      </c>
      <c r="E19" s="748">
        <f>+'Balance Energético (u.físicas)'!$V$25</f>
        <v>0</v>
      </c>
      <c r="F19" s="748">
        <f>+'Balance Energético (u.físicas)'!$V$26</f>
        <v>0</v>
      </c>
      <c r="G19" s="748">
        <f>+'Balance Energético (u.físicas)'!$V$27</f>
        <v>0</v>
      </c>
      <c r="H19" s="748">
        <f>+'Balance Energético (u.físicas)'!$V$28</f>
        <v>0</v>
      </c>
      <c r="I19" s="748">
        <f>+'Balance Energético (u.físicas)'!$V$29</f>
        <v>69.635434913785147</v>
      </c>
      <c r="J19" s="748">
        <f>+'Balance Energético (u.físicas)'!$V$30</f>
        <v>0</v>
      </c>
      <c r="K19" s="749">
        <f t="shared" si="0"/>
        <v>69.635434913785147</v>
      </c>
    </row>
    <row r="20" spans="1:11" s="508" customFormat="1" ht="15.95" customHeight="1">
      <c r="A20" s="510"/>
      <c r="B20" s="473" t="s">
        <v>126</v>
      </c>
      <c r="C20" s="487" t="s">
        <v>482</v>
      </c>
      <c r="D20" s="749">
        <f>+'Balance Energético (u.físicas)'!$W$24</f>
        <v>2.8376670000000002</v>
      </c>
      <c r="E20" s="749">
        <f>+'Balance Energético (u.físicas)'!$W$25</f>
        <v>3189.0839973066832</v>
      </c>
      <c r="F20" s="749">
        <f>+'Balance Energético (u.físicas)'!$W$26</f>
        <v>0</v>
      </c>
      <c r="G20" s="749">
        <f>+'Balance Energético (u.físicas)'!$W$27</f>
        <v>0</v>
      </c>
      <c r="H20" s="749">
        <f>+'Balance Energético (u.físicas)'!$W$28</f>
        <v>0</v>
      </c>
      <c r="I20" s="749">
        <f>+'Balance Energético (u.físicas)'!$W$29</f>
        <v>625.22297369976752</v>
      </c>
      <c r="J20" s="749">
        <f>+'Balance Energético (u.físicas)'!$W$30</f>
        <v>15.036</v>
      </c>
      <c r="K20" s="749">
        <f t="shared" si="0"/>
        <v>3832.1806380064504</v>
      </c>
    </row>
    <row r="21" spans="1:11" s="508" customFormat="1" ht="15.95" customHeight="1">
      <c r="A21" s="510"/>
      <c r="B21" s="473" t="s">
        <v>292</v>
      </c>
      <c r="C21" s="487" t="s">
        <v>515</v>
      </c>
      <c r="D21" s="749">
        <f>+'Balance Energético (u.físicas)'!$X$24</f>
        <v>0</v>
      </c>
      <c r="E21" s="749">
        <f>+'Balance Energético (u.físicas)'!$X$25</f>
        <v>0</v>
      </c>
      <c r="F21" s="749">
        <f>+'Balance Energético (u.físicas)'!$X$26</f>
        <v>0</v>
      </c>
      <c r="G21" s="749">
        <f>+'Balance Energético (u.físicas)'!$X$27</f>
        <v>0</v>
      </c>
      <c r="H21" s="749">
        <f>+'Balance Energético (u.físicas)'!$X$28</f>
        <v>0</v>
      </c>
      <c r="I21" s="749">
        <f>+'Balance Energético (u.físicas)'!$X$29</f>
        <v>0</v>
      </c>
      <c r="J21" s="749">
        <f>+'Balance Energético (u.físicas)'!$X$30</f>
        <v>0</v>
      </c>
      <c r="K21" s="749">
        <f t="shared" si="0"/>
        <v>0</v>
      </c>
    </row>
    <row r="22" spans="1:11" ht="14.25">
      <c r="A22" s="492"/>
      <c r="B22" s="473" t="s">
        <v>277</v>
      </c>
      <c r="C22" s="487" t="s">
        <v>492</v>
      </c>
      <c r="D22" s="749">
        <f>+'Balance Energético (u.físicas)'!$Y$24</f>
        <v>0</v>
      </c>
      <c r="E22" s="749">
        <f>+'Balance Energético (u.físicas)'!$Y$25</f>
        <v>0</v>
      </c>
      <c r="F22" s="749">
        <f>+'Balance Energético (u.físicas)'!$Y$26</f>
        <v>23221.111512796993</v>
      </c>
      <c r="G22" s="749">
        <f>+'Balance Energético (u.físicas)'!$Y$27</f>
        <v>25156.049673337024</v>
      </c>
      <c r="H22" s="749">
        <f>+'Balance Energético (u.físicas)'!$Y$28</f>
        <v>0</v>
      </c>
      <c r="I22" s="749">
        <f>+'Balance Energético (u.físicas)'!$Y$29</f>
        <v>0</v>
      </c>
      <c r="J22" s="749">
        <f>+'Balance Energético (u.físicas)'!$Y$30</f>
        <v>0</v>
      </c>
      <c r="K22" s="749">
        <f t="shared" si="0"/>
        <v>48377.161186134021</v>
      </c>
    </row>
    <row r="23" spans="1:11" ht="14.25">
      <c r="A23" s="368"/>
      <c r="B23" s="473" t="s">
        <v>341</v>
      </c>
      <c r="C23" s="487" t="s">
        <v>492</v>
      </c>
      <c r="D23" s="749">
        <f>+'Balance Energético (u.físicas)'!$Z$24</f>
        <v>0</v>
      </c>
      <c r="E23" s="749">
        <f>+'Balance Energético (u.físicas)'!$Z$25</f>
        <v>0</v>
      </c>
      <c r="F23" s="749">
        <f>+'Balance Energético (u.físicas)'!$Z$26</f>
        <v>0</v>
      </c>
      <c r="G23" s="749">
        <f>+'Balance Energético (u.físicas)'!$Z$27</f>
        <v>19.545100000000001</v>
      </c>
      <c r="H23" s="749">
        <f>+'Balance Energético (u.físicas)'!$Z$28</f>
        <v>0</v>
      </c>
      <c r="I23" s="749">
        <f>+'Balance Energético (u.físicas)'!$Z$29</f>
        <v>0</v>
      </c>
      <c r="J23" s="749">
        <f>+'Balance Energético (u.físicas)'!$Z$30</f>
        <v>0</v>
      </c>
      <c r="K23" s="749">
        <f t="shared" si="0"/>
        <v>19.545100000000001</v>
      </c>
    </row>
    <row r="24" spans="1:11" ht="14.25">
      <c r="A24" s="368"/>
      <c r="B24" s="473" t="s">
        <v>478</v>
      </c>
      <c r="C24" s="487" t="s">
        <v>492</v>
      </c>
      <c r="D24" s="749">
        <f>+'Balance Energético (u.físicas)'!$AA$24</f>
        <v>0</v>
      </c>
      <c r="E24" s="749">
        <f>+'Balance Energético (u.físicas)'!$AA$25</f>
        <v>0</v>
      </c>
      <c r="F24" s="749">
        <f>+'Balance Energético (u.físicas)'!$AA$26</f>
        <v>415481.65684992331</v>
      </c>
      <c r="G24" s="749">
        <f>+'Balance Energético (u.físicas)'!$AA$27</f>
        <v>375622.17788512039</v>
      </c>
      <c r="H24" s="749">
        <f>+'Balance Energético (u.físicas)'!$AA$28</f>
        <v>0</v>
      </c>
      <c r="I24" s="749">
        <f>+'Balance Energético (u.físicas)'!$AA$29</f>
        <v>0</v>
      </c>
      <c r="J24" s="749">
        <f>+'Balance Energético (u.físicas)'!$AA$30</f>
        <v>0</v>
      </c>
      <c r="K24" s="749">
        <f t="shared" si="0"/>
        <v>791103.8347350437</v>
      </c>
    </row>
    <row r="25" spans="1:11" ht="14.25">
      <c r="A25" s="368"/>
      <c r="B25" s="473" t="s">
        <v>279</v>
      </c>
      <c r="C25" s="487" t="s">
        <v>368</v>
      </c>
      <c r="D25" s="749">
        <f>+'Balance Energético (u.físicas)'!$AB$24</f>
        <v>0</v>
      </c>
      <c r="E25" s="749">
        <f>+'Balance Energético (u.físicas)'!$AB$25</f>
        <v>0</v>
      </c>
      <c r="F25" s="749">
        <f>+'Balance Energético (u.físicas)'!$AB$26</f>
        <v>0</v>
      </c>
      <c r="G25" s="749">
        <f>+'Balance Energético (u.físicas)'!$AB$27</f>
        <v>0</v>
      </c>
      <c r="H25" s="749">
        <f>+'Balance Energético (u.físicas)'!$AB$28</f>
        <v>5.6454935420000012E-2</v>
      </c>
      <c r="I25" s="749">
        <f>+'Balance Energético (u.físicas)'!$AB$29</f>
        <v>0</v>
      </c>
      <c r="J25" s="749">
        <f>+'Balance Energético (u.físicas)'!$AB$30</f>
        <v>0</v>
      </c>
      <c r="K25" s="749">
        <f t="shared" si="0"/>
        <v>5.6454935420000012E-2</v>
      </c>
    </row>
    <row r="26" spans="1:11">
      <c r="A26" s="368"/>
      <c r="B26" s="473" t="s">
        <v>65</v>
      </c>
      <c r="C26" s="487" t="s">
        <v>515</v>
      </c>
      <c r="D26" s="749">
        <f>+'Balance Energético (u.físicas)'!$AC$24</f>
        <v>0</v>
      </c>
      <c r="E26" s="749">
        <f>+'Balance Energético (u.físicas)'!$AC$25</f>
        <v>0</v>
      </c>
      <c r="F26" s="749">
        <f>+'Balance Energético (u.físicas)'!$AC$26</f>
        <v>0</v>
      </c>
      <c r="G26" s="749">
        <f>+'Balance Energético (u.físicas)'!$AC$27</f>
        <v>0</v>
      </c>
      <c r="H26" s="749">
        <f>+'Balance Energético (u.físicas)'!$AC$28</f>
        <v>0</v>
      </c>
      <c r="I26" s="749">
        <f>+'Balance Energético (u.físicas)'!$AC$29</f>
        <v>0</v>
      </c>
      <c r="J26" s="749">
        <f>+'Balance Energético (u.físicas)'!$AC$30</f>
        <v>0</v>
      </c>
      <c r="K26" s="749">
        <f t="shared" si="0"/>
        <v>0</v>
      </c>
    </row>
    <row r="27" spans="1:11" ht="14.25">
      <c r="A27" s="368"/>
      <c r="B27" s="473" t="s">
        <v>135</v>
      </c>
      <c r="C27" s="487" t="s">
        <v>368</v>
      </c>
      <c r="D27" s="749">
        <f>+'Balance Energético (u.físicas)'!$E$24</f>
        <v>0</v>
      </c>
      <c r="E27" s="749">
        <f>+'Balance Energético (u.físicas)'!$E$25</f>
        <v>0</v>
      </c>
      <c r="F27" s="749">
        <f>+'Balance Energético (u.físicas)'!$E$26</f>
        <v>0</v>
      </c>
      <c r="G27" s="749">
        <f>+'Balance Energético (u.físicas)'!$E$27</f>
        <v>2.4887057060271922</v>
      </c>
      <c r="H27" s="749">
        <f>+'Balance Energético (u.físicas)'!$E$28</f>
        <v>0</v>
      </c>
      <c r="I27" s="749">
        <f>+'Balance Energético (u.físicas)'!$E$29</f>
        <v>229.75951963128233</v>
      </c>
      <c r="J27" s="749">
        <f>+'Balance Energético (u.físicas)'!$E$30</f>
        <v>73.286783727652278</v>
      </c>
      <c r="K27" s="749">
        <f t="shared" si="0"/>
        <v>305.5350090649618</v>
      </c>
    </row>
    <row r="28" spans="1:11">
      <c r="A28" s="368"/>
      <c r="B28" s="473" t="s">
        <v>41</v>
      </c>
      <c r="C28" s="487" t="s">
        <v>515</v>
      </c>
      <c r="D28" s="749">
        <f>+'Balance Energético (u.físicas)'!$F$24</f>
        <v>0</v>
      </c>
      <c r="E28" s="749">
        <f>+'Balance Energético (u.físicas)'!$F$25</f>
        <v>0</v>
      </c>
      <c r="F28" s="749">
        <f>+'Balance Energético (u.físicas)'!$F$26</f>
        <v>0</v>
      </c>
      <c r="G28" s="749">
        <f>+'Balance Energético (u.físicas)'!$F$27</f>
        <v>0</v>
      </c>
      <c r="H28" s="749">
        <f>+'Balance Energético (u.físicas)'!$F$28</f>
        <v>0</v>
      </c>
      <c r="I28" s="749">
        <f>+'Balance Energético (u.físicas)'!$F$29</f>
        <v>0</v>
      </c>
      <c r="J28" s="749">
        <f>+'Balance Energético (u.físicas)'!$F$30</f>
        <v>0</v>
      </c>
      <c r="K28" s="749">
        <f t="shared" si="0"/>
        <v>0</v>
      </c>
    </row>
    <row r="29" spans="1:11">
      <c r="A29" s="492"/>
      <c r="B29" s="471" t="s">
        <v>447</v>
      </c>
      <c r="C29" s="487" t="s">
        <v>515</v>
      </c>
      <c r="D29" s="749">
        <f>+'Balance Energético (u.físicas)'!$G$24</f>
        <v>0</v>
      </c>
      <c r="E29" s="749">
        <f>+'Balance Energético (u.físicas)'!$G$25</f>
        <v>0</v>
      </c>
      <c r="F29" s="749">
        <f>+'Balance Energético (u.físicas)'!$G$26</f>
        <v>0</v>
      </c>
      <c r="G29" s="749">
        <f>+'Balance Energético (u.físicas)'!$G$27</f>
        <v>0</v>
      </c>
      <c r="H29" s="749">
        <f>+'Balance Energético (u.físicas)'!$G$28</f>
        <v>0</v>
      </c>
      <c r="I29" s="749">
        <f>+'Balance Energético (u.físicas)'!$G$29</f>
        <v>0</v>
      </c>
      <c r="J29" s="749">
        <f>+'Balance Energético (u.físicas)'!$G$30</f>
        <v>0</v>
      </c>
      <c r="K29" s="749">
        <f t="shared" si="0"/>
        <v>0</v>
      </c>
    </row>
    <row r="30" spans="1:11" ht="14.25">
      <c r="A30" s="492"/>
      <c r="B30" s="473" t="s">
        <v>42</v>
      </c>
      <c r="C30" s="487" t="s">
        <v>368</v>
      </c>
      <c r="D30" s="749">
        <f>+'Balance Energético (u.físicas)'!$K$24</f>
        <v>0</v>
      </c>
      <c r="E30" s="749">
        <f>+'Balance Energético (u.físicas)'!$K$25</f>
        <v>0</v>
      </c>
      <c r="F30" s="749">
        <f>+'Balance Energético (u.físicas)'!$K$26</f>
        <v>0</v>
      </c>
      <c r="G30" s="749">
        <f>+'Balance Energético (u.físicas)'!$K$27</f>
        <v>0</v>
      </c>
      <c r="H30" s="749">
        <f>+'Balance Energético (u.físicas)'!$K$28</f>
        <v>0</v>
      </c>
      <c r="I30" s="749">
        <f>+'Balance Energético (u.físicas)'!$K$29</f>
        <v>0</v>
      </c>
      <c r="J30" s="749">
        <f>+'Balance Energético (u.físicas)'!$K$30</f>
        <v>0</v>
      </c>
      <c r="K30" s="749">
        <f t="shared" si="0"/>
        <v>0</v>
      </c>
    </row>
    <row r="33" spans="1:2">
      <c r="A33" s="504"/>
      <c r="B33" s="509" t="s">
        <v>370</v>
      </c>
    </row>
    <row r="34" spans="1:2">
      <c r="A34" s="504"/>
      <c r="B34" s="509" t="s">
        <v>371</v>
      </c>
    </row>
    <row r="35" spans="1:2">
      <c r="A35" s="504"/>
      <c r="B35" s="509" t="s">
        <v>372</v>
      </c>
    </row>
    <row r="36" spans="1:2">
      <c r="A36" s="504"/>
      <c r="B36" s="505" t="s">
        <v>293</v>
      </c>
    </row>
    <row r="37" spans="1:2">
      <c r="A37" s="504"/>
      <c r="B37" s="272" t="s">
        <v>527</v>
      </c>
    </row>
  </sheetData>
  <mergeCells count="14">
    <mergeCell ref="C6:C7"/>
    <mergeCell ref="K6:K7"/>
    <mergeCell ref="B2:K2"/>
    <mergeCell ref="B3:K3"/>
    <mergeCell ref="B4:K4"/>
    <mergeCell ref="B5:K5"/>
    <mergeCell ref="I6:I7"/>
    <mergeCell ref="J6:J7"/>
    <mergeCell ref="D6:D7"/>
    <mergeCell ref="E6:E7"/>
    <mergeCell ref="F6:F7"/>
    <mergeCell ref="G6:G7"/>
    <mergeCell ref="H6:H7"/>
    <mergeCell ref="B6:B7"/>
  </mergeCells>
  <phoneticPr fontId="28" type="noConversion"/>
  <hyperlinks>
    <hyperlink ref="M2" location="Índice!A1" display="VOLVER A INDICE"/>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tabColor theme="6" tint="0.39997558519241921"/>
  </sheetPr>
  <dimension ref="A1:O39"/>
  <sheetViews>
    <sheetView workbookViewId="0">
      <selection activeCell="N2" sqref="N2"/>
    </sheetView>
  </sheetViews>
  <sheetFormatPr baseColWidth="10" defaultRowHeight="12.75" outlineLevelRow="1"/>
  <cols>
    <col min="1" max="1" width="1.85546875" style="406" customWidth="1"/>
    <col min="2" max="2" width="30.140625" style="406" customWidth="1"/>
    <col min="3" max="3" width="11.85546875" style="406" bestFit="1" customWidth="1"/>
    <col min="4" max="4" width="15.42578125" style="406" customWidth="1"/>
    <col min="5" max="5" width="13.5703125" style="406" customWidth="1"/>
    <col min="6" max="6" width="15.140625" style="406" customWidth="1"/>
    <col min="7" max="7" width="11.7109375" style="406" customWidth="1"/>
    <col min="8" max="8" width="12.140625" style="406" customWidth="1"/>
    <col min="9" max="9" width="10.140625" style="406" customWidth="1"/>
    <col min="10" max="10" width="11.42578125" style="406"/>
    <col min="11" max="15" width="11.42578125" style="368"/>
    <col min="16" max="16384" width="11.42578125" style="406"/>
  </cols>
  <sheetData>
    <row r="1" spans="1:15" ht="6" customHeight="1">
      <c r="A1" s="404"/>
      <c r="B1" s="404"/>
      <c r="C1" s="404"/>
      <c r="D1" s="404"/>
      <c r="E1" s="404"/>
      <c r="F1" s="404"/>
      <c r="G1" s="404"/>
      <c r="H1" s="404"/>
      <c r="I1" s="404"/>
      <c r="J1" s="404"/>
    </row>
    <row r="2" spans="1:15" s="421" customFormat="1" ht="15.95" customHeight="1">
      <c r="A2" s="430"/>
      <c r="B2" s="826" t="s">
        <v>127</v>
      </c>
      <c r="C2" s="826"/>
      <c r="D2" s="826"/>
      <c r="E2" s="826"/>
      <c r="F2" s="826"/>
      <c r="G2" s="826"/>
      <c r="H2" s="826"/>
      <c r="I2" s="826"/>
      <c r="J2" s="826"/>
      <c r="K2" s="826"/>
      <c r="L2" s="826"/>
      <c r="N2" s="693" t="s">
        <v>229</v>
      </c>
      <c r="O2" s="378"/>
    </row>
    <row r="3" spans="1:15" s="421" customFormat="1" ht="15.95" customHeight="1">
      <c r="A3" s="430"/>
      <c r="B3" s="837" t="s">
        <v>347</v>
      </c>
      <c r="C3" s="837"/>
      <c r="D3" s="837"/>
      <c r="E3" s="837"/>
      <c r="F3" s="837"/>
      <c r="G3" s="837"/>
      <c r="H3" s="837"/>
      <c r="I3" s="837"/>
      <c r="J3" s="837"/>
      <c r="K3" s="837"/>
      <c r="L3" s="837"/>
      <c r="N3" s="431"/>
      <c r="O3" s="378"/>
    </row>
    <row r="4" spans="1:15" s="421" customFormat="1" ht="15.95" customHeight="1">
      <c r="A4" s="430"/>
      <c r="B4" s="837" t="s">
        <v>446</v>
      </c>
      <c r="C4" s="837"/>
      <c r="D4" s="837"/>
      <c r="E4" s="837"/>
      <c r="F4" s="837"/>
      <c r="G4" s="837"/>
      <c r="H4" s="837"/>
      <c r="I4" s="837"/>
      <c r="J4" s="837"/>
      <c r="K4" s="837"/>
      <c r="L4" s="837"/>
      <c r="M4" s="378"/>
      <c r="N4" s="378"/>
      <c r="O4" s="378"/>
    </row>
    <row r="5" spans="1:15" s="421" customFormat="1" ht="15.95" customHeight="1">
      <c r="A5" s="430"/>
      <c r="B5" s="837" t="s">
        <v>337</v>
      </c>
      <c r="C5" s="837"/>
      <c r="D5" s="837"/>
      <c r="E5" s="837"/>
      <c r="F5" s="837"/>
      <c r="G5" s="837"/>
      <c r="H5" s="837"/>
      <c r="I5" s="837"/>
      <c r="J5" s="837"/>
      <c r="K5" s="837"/>
      <c r="L5" s="837"/>
      <c r="M5" s="378"/>
      <c r="N5" s="378"/>
      <c r="O5" s="378"/>
    </row>
    <row r="6" spans="1:15" s="421" customFormat="1" ht="15.95" customHeight="1">
      <c r="A6" s="430"/>
      <c r="B6" s="819" t="s">
        <v>253</v>
      </c>
      <c r="C6" s="819" t="s">
        <v>483</v>
      </c>
      <c r="D6" s="827" t="s">
        <v>63</v>
      </c>
      <c r="E6" s="827" t="s">
        <v>448</v>
      </c>
      <c r="F6" s="827" t="s">
        <v>449</v>
      </c>
      <c r="G6" s="827" t="s">
        <v>450</v>
      </c>
      <c r="H6" s="827" t="s">
        <v>451</v>
      </c>
      <c r="I6" s="827" t="s">
        <v>282</v>
      </c>
      <c r="J6" s="827" t="s">
        <v>452</v>
      </c>
      <c r="K6" s="827" t="s">
        <v>453</v>
      </c>
      <c r="L6" s="819" t="s">
        <v>33</v>
      </c>
      <c r="M6" s="378"/>
      <c r="N6" s="378"/>
      <c r="O6" s="378"/>
    </row>
    <row r="7" spans="1:15" s="421" customFormat="1" ht="22.5" customHeight="1">
      <c r="A7" s="430"/>
      <c r="B7" s="819"/>
      <c r="C7" s="819"/>
      <c r="D7" s="827"/>
      <c r="E7" s="827"/>
      <c r="F7" s="827"/>
      <c r="G7" s="827"/>
      <c r="H7" s="827"/>
      <c r="I7" s="827"/>
      <c r="J7" s="827"/>
      <c r="K7" s="827"/>
      <c r="L7" s="819"/>
      <c r="M7" s="378"/>
      <c r="N7" s="378"/>
      <c r="O7" s="378"/>
    </row>
    <row r="8" spans="1:15" s="421" customFormat="1" ht="22.5" customHeight="1">
      <c r="A8" s="430"/>
      <c r="B8" s="491" t="s">
        <v>518</v>
      </c>
      <c r="C8" s="466"/>
      <c r="D8" s="507"/>
      <c r="E8" s="507"/>
      <c r="F8" s="507"/>
      <c r="G8" s="507"/>
      <c r="H8" s="507"/>
      <c r="I8" s="507"/>
      <c r="J8" s="507"/>
      <c r="K8" s="507"/>
      <c r="L8" s="466"/>
      <c r="M8" s="378"/>
      <c r="N8" s="378"/>
      <c r="O8" s="378"/>
    </row>
    <row r="9" spans="1:15" s="421" customFormat="1" ht="15.95" customHeight="1" outlineLevel="1">
      <c r="A9" s="430"/>
      <c r="B9" s="469" t="s">
        <v>269</v>
      </c>
      <c r="C9" s="487" t="s">
        <v>492</v>
      </c>
      <c r="D9" s="748">
        <f>'Cuadro Consumo (u.físicas)'!L$9</f>
        <v>0</v>
      </c>
      <c r="E9" s="748">
        <f>'Cuadro Consumo (u.físicas)'!$L$10</f>
        <v>545.13959135518644</v>
      </c>
      <c r="F9" s="748">
        <f>'Cuadro Consumo (u.físicas)'!$L$11</f>
        <v>52.711050512380922</v>
      </c>
      <c r="G9" s="748">
        <f>'Cuadro Consumo (u.físicas)'!$L$12</f>
        <v>0</v>
      </c>
      <c r="H9" s="748">
        <f>'Cuadro Consumo (u.físicas)'!$L$13</f>
        <v>0</v>
      </c>
      <c r="I9" s="748">
        <f>'Cuadro Consumo (u.físicas)'!$L$14</f>
        <v>0</v>
      </c>
      <c r="J9" s="748">
        <f>'Cuadro Consumo (u.físicas)'!$L$15</f>
        <v>131.291</v>
      </c>
      <c r="K9" s="748">
        <f>'Cuadro Consumo (u.físicas)'!$L$16</f>
        <v>0</v>
      </c>
      <c r="L9" s="749">
        <f>SUM(D9:K9)</f>
        <v>729.14164186756739</v>
      </c>
      <c r="M9" s="378"/>
      <c r="N9" s="378"/>
      <c r="O9" s="378"/>
    </row>
    <row r="10" spans="1:15" s="421" customFormat="1" ht="15.95" customHeight="1" outlineLevel="1">
      <c r="A10" s="430"/>
      <c r="B10" s="469" t="s">
        <v>270</v>
      </c>
      <c r="C10" s="487" t="s">
        <v>515</v>
      </c>
      <c r="D10" s="748">
        <f>'Cuadro Consumo (u.físicas)'!$M$9</f>
        <v>0</v>
      </c>
      <c r="E10" s="748">
        <f>'Cuadro Consumo (u.físicas)'!$M$10</f>
        <v>12.317000000000002</v>
      </c>
      <c r="F10" s="748">
        <f>'Cuadro Consumo (u.físicas)'!$M$11</f>
        <v>77.273658691904103</v>
      </c>
      <c r="G10" s="748">
        <f>'Cuadro Consumo (u.físicas)'!$M$12</f>
        <v>0</v>
      </c>
      <c r="H10" s="748">
        <f>'Cuadro Consumo (u.físicas)'!$M$13</f>
        <v>0</v>
      </c>
      <c r="I10" s="748">
        <f>'Cuadro Consumo (u.físicas)'!$M$14</f>
        <v>0</v>
      </c>
      <c r="J10" s="748">
        <f>'Cuadro Consumo (u.físicas)'!$M$15</f>
        <v>60.970999999999997</v>
      </c>
      <c r="K10" s="748">
        <f>'Cuadro Consumo (u.físicas)'!$M$16</f>
        <v>0</v>
      </c>
      <c r="L10" s="749">
        <f t="shared" ref="L10:L30" si="0">SUM(D10:K10)</f>
        <v>150.56165869190411</v>
      </c>
      <c r="M10" s="378"/>
      <c r="N10" s="378"/>
      <c r="O10" s="378"/>
    </row>
    <row r="11" spans="1:15" s="421" customFormat="1" ht="15.95" customHeight="1" outlineLevel="1">
      <c r="A11" s="430"/>
      <c r="B11" s="469" t="s">
        <v>330</v>
      </c>
      <c r="C11" s="487" t="s">
        <v>492</v>
      </c>
      <c r="D11" s="748">
        <f>'Cuadro Consumo (u.físicas)'!$N$9</f>
        <v>0</v>
      </c>
      <c r="E11" s="748">
        <f>'Cuadro Consumo (u.físicas)'!$N$10</f>
        <v>0</v>
      </c>
      <c r="F11" s="748">
        <f>'Cuadro Consumo (u.físicas)'!$N$11</f>
        <v>0</v>
      </c>
      <c r="G11" s="748">
        <f>'Cuadro Consumo (u.físicas)'!$N$12</f>
        <v>0</v>
      </c>
      <c r="H11" s="748">
        <f>'Cuadro Consumo (u.físicas)'!$N$13</f>
        <v>0</v>
      </c>
      <c r="I11" s="748">
        <f>'Cuadro Consumo (u.físicas)'!$N$14</f>
        <v>0</v>
      </c>
      <c r="J11" s="748">
        <f>'Cuadro Consumo (u.físicas)'!$N$15</f>
        <v>342.24599999999992</v>
      </c>
      <c r="K11" s="748">
        <f>'Cuadro Consumo (u.físicas)'!$N$16</f>
        <v>0</v>
      </c>
      <c r="L11" s="749">
        <f t="shared" si="0"/>
        <v>342.24599999999992</v>
      </c>
      <c r="M11" s="378"/>
      <c r="N11" s="378"/>
      <c r="O11" s="378"/>
    </row>
    <row r="12" spans="1:15" s="421" customFormat="1" ht="15.95" customHeight="1" outlineLevel="1">
      <c r="A12" s="430"/>
      <c r="B12" s="469" t="s">
        <v>38</v>
      </c>
      <c r="C12" s="487" t="s">
        <v>492</v>
      </c>
      <c r="D12" s="748">
        <f>'Cuadro Consumo (u.físicas)'!$O$9</f>
        <v>0</v>
      </c>
      <c r="E12" s="748">
        <f>'Cuadro Consumo (u.físicas)'!$O$10</f>
        <v>0</v>
      </c>
      <c r="F12" s="748">
        <f>'Cuadro Consumo (u.físicas)'!$O$11</f>
        <v>0</v>
      </c>
      <c r="G12" s="748">
        <f>'Cuadro Consumo (u.físicas)'!$O$12</f>
        <v>0</v>
      </c>
      <c r="H12" s="748">
        <f>'Cuadro Consumo (u.físicas)'!$O$13</f>
        <v>0</v>
      </c>
      <c r="I12" s="748">
        <f>'Cuadro Consumo (u.físicas)'!$O$14</f>
        <v>0</v>
      </c>
      <c r="J12" s="748">
        <f>'Cuadro Consumo (u.físicas)'!$O$15</f>
        <v>6.4910000000000014</v>
      </c>
      <c r="K12" s="748">
        <f>'Cuadro Consumo (u.físicas)'!$O$16</f>
        <v>0</v>
      </c>
      <c r="L12" s="749">
        <f t="shared" si="0"/>
        <v>6.4910000000000014</v>
      </c>
      <c r="M12" s="378"/>
      <c r="N12" s="378"/>
      <c r="O12" s="378"/>
    </row>
    <row r="13" spans="1:15" s="421" customFormat="1" ht="15.95" customHeight="1" outlineLevel="1">
      <c r="A13" s="430"/>
      <c r="B13" s="469" t="s">
        <v>271</v>
      </c>
      <c r="C13" s="487" t="s">
        <v>515</v>
      </c>
      <c r="D13" s="748">
        <f>'Cuadro Consumo (u.físicas)'!$P$9</f>
        <v>0</v>
      </c>
      <c r="E13" s="748">
        <f>'Cuadro Consumo (u.físicas)'!$P$10</f>
        <v>0.32647000000000009</v>
      </c>
      <c r="F13" s="748">
        <f>'Cuadro Consumo (u.físicas)'!$P$11</f>
        <v>1.294481755187215</v>
      </c>
      <c r="G13" s="748">
        <f>'Cuadro Consumo (u.físicas)'!$P$12</f>
        <v>0</v>
      </c>
      <c r="H13" s="748">
        <f>'Cuadro Consumo (u.físicas)'!$P$13</f>
        <v>0</v>
      </c>
      <c r="I13" s="748">
        <f>'Cuadro Consumo (u.físicas)'!$P$14</f>
        <v>0</v>
      </c>
      <c r="J13" s="748">
        <f>'Cuadro Consumo (u.físicas)'!$P$15</f>
        <v>5.5885500000000015</v>
      </c>
      <c r="K13" s="748">
        <f>'Cuadro Consumo (u.físicas)'!$P$16</f>
        <v>0</v>
      </c>
      <c r="L13" s="749">
        <f t="shared" si="0"/>
        <v>7.2095017551872163</v>
      </c>
      <c r="M13" s="378"/>
      <c r="N13" s="378"/>
      <c r="O13" s="378"/>
    </row>
    <row r="14" spans="1:15" s="421" customFormat="1" ht="15.95" customHeight="1" outlineLevel="1">
      <c r="A14" s="430"/>
      <c r="B14" s="469" t="s">
        <v>272</v>
      </c>
      <c r="C14" s="487" t="s">
        <v>492</v>
      </c>
      <c r="D14" s="748">
        <f>'Cuadro Consumo (u.físicas)'!$Q$9</f>
        <v>0</v>
      </c>
      <c r="E14" s="748">
        <f>'Cuadro Consumo (u.físicas)'!$Q$10</f>
        <v>0</v>
      </c>
      <c r="F14" s="748">
        <f>'Cuadro Consumo (u.físicas)'!$Q$11</f>
        <v>0</v>
      </c>
      <c r="G14" s="748">
        <f>'Cuadro Consumo (u.físicas)'!$Q$12</f>
        <v>0</v>
      </c>
      <c r="H14" s="748">
        <f>'Cuadro Consumo (u.físicas)'!$Q$13</f>
        <v>0</v>
      </c>
      <c r="I14" s="748">
        <f>'Cuadro Consumo (u.físicas)'!$Q$14</f>
        <v>0</v>
      </c>
      <c r="J14" s="748">
        <f>'Cuadro Consumo (u.físicas)'!$Q$15</f>
        <v>0</v>
      </c>
      <c r="K14" s="748">
        <f>'Cuadro Consumo (u.físicas)'!$Q$16</f>
        <v>0</v>
      </c>
      <c r="L14" s="749">
        <f t="shared" si="0"/>
        <v>0</v>
      </c>
      <c r="M14" s="378"/>
      <c r="N14" s="378"/>
      <c r="O14" s="378"/>
    </row>
    <row r="15" spans="1:15" s="421" customFormat="1" ht="15.95" customHeight="1" outlineLevel="1">
      <c r="A15" s="430"/>
      <c r="B15" s="469" t="s">
        <v>273</v>
      </c>
      <c r="C15" s="487" t="s">
        <v>492</v>
      </c>
      <c r="D15" s="748">
        <f>'Cuadro Consumo (u.físicas)'!$R$9</f>
        <v>0</v>
      </c>
      <c r="E15" s="748">
        <f>'Cuadro Consumo (u.físicas)'!$R$10</f>
        <v>0.19500000000000001</v>
      </c>
      <c r="F15" s="748">
        <f>'Cuadro Consumo (u.físicas)'!$R$11</f>
        <v>5.0999999999999995E-3</v>
      </c>
      <c r="G15" s="748">
        <f>'Cuadro Consumo (u.físicas)'!$R$12</f>
        <v>0</v>
      </c>
      <c r="H15" s="748">
        <f>'Cuadro Consumo (u.físicas)'!$R$13</f>
        <v>0</v>
      </c>
      <c r="I15" s="748">
        <f>'Cuadro Consumo (u.físicas)'!$R$14</f>
        <v>0</v>
      </c>
      <c r="J15" s="748">
        <f>'Cuadro Consumo (u.físicas)'!$R$15</f>
        <v>0</v>
      </c>
      <c r="K15" s="748">
        <f>'Cuadro Consumo (u.físicas)'!$R$16</f>
        <v>0</v>
      </c>
      <c r="L15" s="749">
        <f t="shared" si="0"/>
        <v>0.2001</v>
      </c>
      <c r="M15" s="378"/>
      <c r="N15" s="378"/>
      <c r="O15" s="378"/>
    </row>
    <row r="16" spans="1:15" s="421" customFormat="1" ht="15.95" customHeight="1" outlineLevel="1">
      <c r="A16" s="430"/>
      <c r="B16" s="469" t="s">
        <v>40</v>
      </c>
      <c r="C16" s="487" t="s">
        <v>492</v>
      </c>
      <c r="D16" s="748">
        <f>'Cuadro Consumo (u.físicas)'!$S$9</f>
        <v>0</v>
      </c>
      <c r="E16" s="748">
        <f>'Cuadro Consumo (u.físicas)'!$S$10</f>
        <v>0</v>
      </c>
      <c r="F16" s="748">
        <f>'Cuadro Consumo (u.físicas)'!$S$11</f>
        <v>0</v>
      </c>
      <c r="G16" s="748">
        <f>'Cuadro Consumo (u.físicas)'!$S$12</f>
        <v>0</v>
      </c>
      <c r="H16" s="748">
        <f>'Cuadro Consumo (u.físicas)'!$S$13</f>
        <v>0</v>
      </c>
      <c r="I16" s="748">
        <f>'Cuadro Consumo (u.físicas)'!$S$14</f>
        <v>0</v>
      </c>
      <c r="J16" s="748">
        <f>'Cuadro Consumo (u.físicas)'!$S$15</f>
        <v>54.039299999999997</v>
      </c>
      <c r="K16" s="748">
        <f>'Cuadro Consumo (u.físicas)'!$S$16</f>
        <v>0</v>
      </c>
      <c r="L16" s="749">
        <f t="shared" si="0"/>
        <v>54.039299999999997</v>
      </c>
      <c r="M16" s="378"/>
      <c r="N16" s="378"/>
      <c r="O16" s="378"/>
    </row>
    <row r="17" spans="1:15" s="421" customFormat="1" ht="15.95" customHeight="1" outlineLevel="1">
      <c r="A17" s="430"/>
      <c r="B17" s="469" t="s">
        <v>274</v>
      </c>
      <c r="C17" s="487" t="s">
        <v>492</v>
      </c>
      <c r="D17" s="748">
        <f>'Cuadro Consumo (u.físicas)'!$T$9</f>
        <v>0</v>
      </c>
      <c r="E17" s="748">
        <f>'Cuadro Consumo (u.físicas)'!$T$10</f>
        <v>0</v>
      </c>
      <c r="F17" s="748">
        <f>'Cuadro Consumo (u.físicas)'!$T$11</f>
        <v>0</v>
      </c>
      <c r="G17" s="748">
        <f>'Cuadro Consumo (u.físicas)'!$T$12</f>
        <v>0</v>
      </c>
      <c r="H17" s="748">
        <f>'Cuadro Consumo (u.físicas)'!$T$13</f>
        <v>0</v>
      </c>
      <c r="I17" s="748">
        <f>'Cuadro Consumo (u.físicas)'!$T$14</f>
        <v>0</v>
      </c>
      <c r="J17" s="748">
        <f>'Cuadro Consumo (u.físicas)'!$T$15</f>
        <v>0</v>
      </c>
      <c r="K17" s="748">
        <f>'Cuadro Consumo (u.físicas)'!$T$16</f>
        <v>0</v>
      </c>
      <c r="L17" s="749">
        <f t="shared" si="0"/>
        <v>0</v>
      </c>
      <c r="M17" s="378"/>
      <c r="N17" s="378"/>
      <c r="O17" s="378"/>
    </row>
    <row r="18" spans="1:15" outlineLevel="1">
      <c r="A18" s="404"/>
      <c r="B18" s="470" t="s">
        <v>275</v>
      </c>
      <c r="C18" s="487" t="s">
        <v>515</v>
      </c>
      <c r="D18" s="748">
        <f>'Cuadro Consumo (u.físicas)'!$U$9</f>
        <v>0</v>
      </c>
      <c r="E18" s="748">
        <f>'Cuadro Consumo (u.físicas)'!$U$10</f>
        <v>0</v>
      </c>
      <c r="F18" s="748">
        <f>'Cuadro Consumo (u.físicas)'!$U$11</f>
        <v>200.74700000000001</v>
      </c>
      <c r="G18" s="748">
        <f>'Cuadro Consumo (u.físicas)'!$U$12</f>
        <v>0</v>
      </c>
      <c r="H18" s="748">
        <f>'Cuadro Consumo (u.físicas)'!$U$13</f>
        <v>0</v>
      </c>
      <c r="I18" s="748">
        <f>'Cuadro Consumo (u.físicas)'!$U$14</f>
        <v>0</v>
      </c>
      <c r="J18" s="748">
        <f>'Cuadro Consumo (u.físicas)'!$U$15</f>
        <v>0</v>
      </c>
      <c r="K18" s="748">
        <f>'Cuadro Consumo (u.físicas)'!$U$16</f>
        <v>0</v>
      </c>
      <c r="L18" s="749">
        <f t="shared" si="0"/>
        <v>200.74700000000001</v>
      </c>
    </row>
    <row r="19" spans="1:15" outlineLevel="1">
      <c r="A19" s="404"/>
      <c r="B19" s="470" t="s">
        <v>479</v>
      </c>
      <c r="C19" s="487" t="s">
        <v>515</v>
      </c>
      <c r="D19" s="748">
        <f>'Cuadro Consumo (u.físicas)'!$V$9</f>
        <v>0</v>
      </c>
      <c r="E19" s="748">
        <f>'Cuadro Consumo (u.físicas)'!$V$10</f>
        <v>0</v>
      </c>
      <c r="F19" s="748">
        <f>'Cuadro Consumo (u.físicas)'!$V$11</f>
        <v>0</v>
      </c>
      <c r="G19" s="748">
        <f>'Cuadro Consumo (u.físicas)'!$V$12</f>
        <v>0</v>
      </c>
      <c r="H19" s="748">
        <f>'Cuadro Consumo (u.físicas)'!$V$13</f>
        <v>0</v>
      </c>
      <c r="I19" s="748">
        <f>'Cuadro Consumo (u.físicas)'!$V$14</f>
        <v>0</v>
      </c>
      <c r="J19" s="748">
        <f>'Cuadro Consumo (u.físicas)'!$V$15</f>
        <v>0</v>
      </c>
      <c r="K19" s="748">
        <f>'Cuadro Consumo (u.físicas)'!$V$16</f>
        <v>0</v>
      </c>
      <c r="L19" s="749">
        <f t="shared" si="0"/>
        <v>0</v>
      </c>
    </row>
    <row r="20" spans="1:15">
      <c r="A20" s="404"/>
      <c r="B20" s="473" t="s">
        <v>126</v>
      </c>
      <c r="C20" s="487" t="s">
        <v>482</v>
      </c>
      <c r="D20" s="749">
        <f>'Cuadro Consumo (u.físicas)'!$W$9</f>
        <v>0</v>
      </c>
      <c r="E20" s="749">
        <f>'Cuadro Consumo (u.físicas)'!$W$10</f>
        <v>0</v>
      </c>
      <c r="F20" s="749">
        <f>'Cuadro Consumo (u.físicas)'!$W$11</f>
        <v>0</v>
      </c>
      <c r="G20" s="749">
        <f>'Cuadro Consumo (u.físicas)'!$W$12</f>
        <v>0</v>
      </c>
      <c r="H20" s="749">
        <f>'Cuadro Consumo (u.físicas)'!$W$13</f>
        <v>0</v>
      </c>
      <c r="I20" s="749">
        <f>'Cuadro Consumo (u.físicas)'!$W$14</f>
        <v>0</v>
      </c>
      <c r="J20" s="749">
        <f>'Cuadro Consumo (u.físicas)'!$W$15</f>
        <v>0</v>
      </c>
      <c r="K20" s="749">
        <f>'Cuadro Consumo (u.físicas)'!$W$16</f>
        <v>0</v>
      </c>
      <c r="L20" s="749">
        <f t="shared" si="0"/>
        <v>0</v>
      </c>
    </row>
    <row r="21" spans="1:15">
      <c r="A21" s="404"/>
      <c r="B21" s="473" t="s">
        <v>292</v>
      </c>
      <c r="C21" s="487" t="s">
        <v>515</v>
      </c>
      <c r="D21" s="749">
        <f>'Cuadro Consumo (u.físicas)'!$X$9</f>
        <v>0</v>
      </c>
      <c r="E21" s="749">
        <f>'Cuadro Consumo (u.físicas)'!$X$10</f>
        <v>0</v>
      </c>
      <c r="F21" s="749">
        <f>'Cuadro Consumo (u.físicas)'!$X$11</f>
        <v>0</v>
      </c>
      <c r="G21" s="749">
        <f>'Cuadro Consumo (u.físicas)'!$X$12</f>
        <v>0</v>
      </c>
      <c r="H21" s="749">
        <f>'Cuadro Consumo (u.físicas)'!$X$13</f>
        <v>359.73236139428576</v>
      </c>
      <c r="I21" s="749">
        <f>'Cuadro Consumo (u.físicas)'!$X$14</f>
        <v>0</v>
      </c>
      <c r="J21" s="749">
        <f>'Cuadro Consumo (u.físicas)'!$X$15</f>
        <v>0</v>
      </c>
      <c r="K21" s="749">
        <f>'Cuadro Consumo (u.físicas)'!$X$16</f>
        <v>0</v>
      </c>
      <c r="L21" s="749">
        <f t="shared" si="0"/>
        <v>359.73236139428576</v>
      </c>
    </row>
    <row r="22" spans="1:15" ht="14.25">
      <c r="A22" s="404"/>
      <c r="B22" s="473" t="s">
        <v>277</v>
      </c>
      <c r="C22" s="487" t="s">
        <v>492</v>
      </c>
      <c r="D22" s="749">
        <f>'Cuadro Consumo (u.físicas)'!$Y$9</f>
        <v>0</v>
      </c>
      <c r="E22" s="749">
        <f>'Cuadro Consumo (u.físicas)'!$Y$10</f>
        <v>0</v>
      </c>
      <c r="F22" s="749">
        <f>'Cuadro Consumo (u.físicas)'!$Y$11</f>
        <v>0</v>
      </c>
      <c r="G22" s="749">
        <f>'Cuadro Consumo (u.físicas)'!$Y$12</f>
        <v>0</v>
      </c>
      <c r="H22" s="749">
        <f>'Cuadro Consumo (u.físicas)'!$Y$13</f>
        <v>0</v>
      </c>
      <c r="I22" s="749">
        <f>'Cuadro Consumo (u.físicas)'!$Y$14</f>
        <v>0</v>
      </c>
      <c r="J22" s="749">
        <f>'Cuadro Consumo (u.físicas)'!$Y$15</f>
        <v>0</v>
      </c>
      <c r="K22" s="749">
        <f>'Cuadro Consumo (u.físicas)'!$Y$16</f>
        <v>0</v>
      </c>
      <c r="L22" s="749">
        <f t="shared" si="0"/>
        <v>0</v>
      </c>
    </row>
    <row r="23" spans="1:15" ht="14.25">
      <c r="A23" s="404"/>
      <c r="B23" s="473" t="s">
        <v>341</v>
      </c>
      <c r="C23" s="487" t="s">
        <v>492</v>
      </c>
      <c r="D23" s="749">
        <f>'Cuadro Consumo (u.físicas)'!$Z$9</f>
        <v>0</v>
      </c>
      <c r="E23" s="749">
        <f>'Cuadro Consumo (u.físicas)'!$Z$10</f>
        <v>0</v>
      </c>
      <c r="F23" s="749">
        <f>'Cuadro Consumo (u.físicas)'!$Z$11</f>
        <v>0</v>
      </c>
      <c r="G23" s="749">
        <f>'Cuadro Consumo (u.físicas)'!$Z$12</f>
        <v>0</v>
      </c>
      <c r="H23" s="749">
        <f>'Cuadro Consumo (u.físicas)'!$Z$13</f>
        <v>0</v>
      </c>
      <c r="I23" s="749">
        <f>'Cuadro Consumo (u.físicas)'!$Z$14</f>
        <v>0</v>
      </c>
      <c r="J23" s="749">
        <f>'Cuadro Consumo (u.físicas)'!$Z$15</f>
        <v>0</v>
      </c>
      <c r="K23" s="749">
        <f>'Cuadro Consumo (u.físicas)'!$Z$16</f>
        <v>0</v>
      </c>
      <c r="L23" s="749">
        <f t="shared" si="0"/>
        <v>0</v>
      </c>
    </row>
    <row r="24" spans="1:15" ht="14.25">
      <c r="A24" s="404"/>
      <c r="B24" s="473" t="s">
        <v>478</v>
      </c>
      <c r="C24" s="487" t="s">
        <v>492</v>
      </c>
      <c r="D24" s="749">
        <f>'Cuadro Consumo (u.físicas)'!$AA$9</f>
        <v>0</v>
      </c>
      <c r="E24" s="749">
        <f>'Cuadro Consumo (u.físicas)'!$AA$10</f>
        <v>0</v>
      </c>
      <c r="F24" s="749">
        <f>'Cuadro Consumo (u.físicas)'!$AA$11</f>
        <v>0</v>
      </c>
      <c r="G24" s="749">
        <f>'Cuadro Consumo (u.físicas)'!$AA$12</f>
        <v>0</v>
      </c>
      <c r="H24" s="749">
        <f>'Cuadro Consumo (u.físicas)'!$AA$13</f>
        <v>13195</v>
      </c>
      <c r="I24" s="749">
        <f>'Cuadro Consumo (u.físicas)'!$AA$14</f>
        <v>0</v>
      </c>
      <c r="J24" s="749">
        <f>'Cuadro Consumo (u.físicas)'!$AA$15</f>
        <v>0</v>
      </c>
      <c r="K24" s="749">
        <f>'Cuadro Consumo (u.físicas)'!$AA$16</f>
        <v>0</v>
      </c>
      <c r="L24" s="749">
        <f t="shared" si="0"/>
        <v>13195</v>
      </c>
    </row>
    <row r="25" spans="1:15" ht="14.25">
      <c r="A25" s="404"/>
      <c r="B25" s="473" t="s">
        <v>279</v>
      </c>
      <c r="C25" s="487" t="s">
        <v>368</v>
      </c>
      <c r="D25" s="749">
        <f>'Cuadro Consumo (u.físicas)'!$AB$9</f>
        <v>0</v>
      </c>
      <c r="E25" s="749">
        <f>'Cuadro Consumo (u.físicas)'!$AB$10</f>
        <v>0</v>
      </c>
      <c r="F25" s="749">
        <f>'Cuadro Consumo (u.físicas)'!$AB$11</f>
        <v>0</v>
      </c>
      <c r="G25" s="749">
        <f>'Cuadro Consumo (u.físicas)'!$AB$12</f>
        <v>0</v>
      </c>
      <c r="H25" s="749">
        <f>'Cuadro Consumo (u.físicas)'!$AB$13</f>
        <v>0</v>
      </c>
      <c r="I25" s="749">
        <f>'Cuadro Consumo (u.físicas)'!$AB$14</f>
        <v>0</v>
      </c>
      <c r="J25" s="749">
        <f>'Cuadro Consumo (u.físicas)'!$AB$15</f>
        <v>0</v>
      </c>
      <c r="K25" s="749">
        <f>'Cuadro Consumo (u.físicas)'!$AB$16</f>
        <v>0</v>
      </c>
      <c r="L25" s="749">
        <f t="shared" si="0"/>
        <v>0</v>
      </c>
    </row>
    <row r="26" spans="1:15">
      <c r="A26" s="404"/>
      <c r="B26" s="473" t="s">
        <v>65</v>
      </c>
      <c r="C26" s="487" t="s">
        <v>515</v>
      </c>
      <c r="D26" s="749">
        <f>'Cuadro Consumo (u.físicas)'!$AC$9</f>
        <v>0</v>
      </c>
      <c r="E26" s="749">
        <f>'Cuadro Consumo (u.físicas)'!$AC$10</f>
        <v>0</v>
      </c>
      <c r="F26" s="749">
        <f>'Cuadro Consumo (u.físicas)'!$AC$11</f>
        <v>0</v>
      </c>
      <c r="G26" s="749">
        <f>'Cuadro Consumo (u.físicas)'!$AC$12</f>
        <v>0</v>
      </c>
      <c r="H26" s="749">
        <f>'Cuadro Consumo (u.físicas)'!$AC$13</f>
        <v>0</v>
      </c>
      <c r="I26" s="749">
        <f>'Cuadro Consumo (u.físicas)'!$AC$14</f>
        <v>0</v>
      </c>
      <c r="J26" s="749">
        <f>'Cuadro Consumo (u.físicas)'!$AC$15</f>
        <v>0</v>
      </c>
      <c r="K26" s="749">
        <f>'Cuadro Consumo (u.físicas)'!$AC$16</f>
        <v>0</v>
      </c>
      <c r="L26" s="749">
        <f t="shared" si="0"/>
        <v>0</v>
      </c>
    </row>
    <row r="27" spans="1:15" ht="14.25">
      <c r="A27" s="403"/>
      <c r="B27" s="473" t="s">
        <v>135</v>
      </c>
      <c r="C27" s="487" t="s">
        <v>368</v>
      </c>
      <c r="D27" s="749">
        <f>'Cuadro Consumo (u.físicas)'!$E$9</f>
        <v>0</v>
      </c>
      <c r="E27" s="749">
        <f>'Cuadro Consumo (u.físicas)'!$E$10</f>
        <v>2261.7299998078274</v>
      </c>
      <c r="F27" s="749">
        <f>'Cuadro Consumo (u.físicas)'!$E$11</f>
        <v>46.370111059386616</v>
      </c>
      <c r="G27" s="749">
        <f>'Cuadro Consumo (u.físicas)'!$E$12</f>
        <v>0</v>
      </c>
      <c r="H27" s="749">
        <f>'Cuadro Consumo (u.físicas)'!$E$13</f>
        <v>0</v>
      </c>
      <c r="I27" s="749">
        <f>'Cuadro Consumo (u.físicas)'!$E$14</f>
        <v>8.3405240231238622</v>
      </c>
      <c r="J27" s="749">
        <f>'Cuadro Consumo (u.físicas)'!$E$15</f>
        <v>0</v>
      </c>
      <c r="K27" s="749">
        <f>'Cuadro Consumo (u.físicas)'!$E$16</f>
        <v>154.17243805802377</v>
      </c>
      <c r="L27" s="749">
        <f t="shared" si="0"/>
        <v>2470.6130729483612</v>
      </c>
    </row>
    <row r="28" spans="1:15">
      <c r="A28" s="368"/>
      <c r="B28" s="473" t="s">
        <v>41</v>
      </c>
      <c r="C28" s="487" t="s">
        <v>515</v>
      </c>
      <c r="D28" s="749">
        <f>'Cuadro Consumo (u.físicas)'!$F$9</f>
        <v>0</v>
      </c>
      <c r="E28" s="749">
        <f>'Cuadro Consumo (u.físicas)'!$F$10</f>
        <v>9858.9945361461359</v>
      </c>
      <c r="F28" s="749">
        <f>'Cuadro Consumo (u.físicas)'!$F$11</f>
        <v>0</v>
      </c>
      <c r="G28" s="749">
        <f>'Cuadro Consumo (u.físicas)'!$F$12</f>
        <v>549.37146137142861</v>
      </c>
      <c r="H28" s="749">
        <f>'Cuadro Consumo (u.físicas)'!$F$13</f>
        <v>0</v>
      </c>
      <c r="I28" s="749">
        <f>'Cuadro Consumo (u.físicas)'!$F$14</f>
        <v>0</v>
      </c>
      <c r="J28" s="749">
        <f>'Cuadro Consumo (u.físicas)'!$F$15</f>
        <v>0</v>
      </c>
      <c r="K28" s="749">
        <f>'Cuadro Consumo (u.físicas)'!$F$16</f>
        <v>0</v>
      </c>
      <c r="L28" s="749">
        <f t="shared" si="0"/>
        <v>10408.365997517565</v>
      </c>
    </row>
    <row r="29" spans="1:15">
      <c r="A29" s="368"/>
      <c r="B29" s="471" t="s">
        <v>447</v>
      </c>
      <c r="C29" s="487" t="s">
        <v>515</v>
      </c>
      <c r="D29" s="749">
        <f>'Cuadro Consumo (u.físicas)'!$G$9</f>
        <v>0</v>
      </c>
      <c r="E29" s="749">
        <f>'Cuadro Consumo (u.físicas)'!$G$10</f>
        <v>2584.5563030020562</v>
      </c>
      <c r="F29" s="749">
        <f>'Cuadro Consumo (u.físicas)'!$G$11</f>
        <v>8131.4535000113865</v>
      </c>
      <c r="G29" s="749">
        <f>'Cuadro Consumo (u.físicas)'!$G$12</f>
        <v>0</v>
      </c>
      <c r="H29" s="749">
        <f>'Cuadro Consumo (u.físicas)'!$G$13</f>
        <v>0</v>
      </c>
      <c r="I29" s="749">
        <f>'Cuadro Consumo (u.físicas)'!$G$14</f>
        <v>0</v>
      </c>
      <c r="J29" s="749">
        <f>'Cuadro Consumo (u.físicas)'!$G$15</f>
        <v>0</v>
      </c>
      <c r="K29" s="749">
        <f>'Cuadro Consumo (u.físicas)'!$G$16</f>
        <v>0</v>
      </c>
      <c r="L29" s="749">
        <f t="shared" si="0"/>
        <v>10716.009803013443</v>
      </c>
    </row>
    <row r="30" spans="1:15" ht="14.25">
      <c r="A30" s="368"/>
      <c r="B30" s="473" t="s">
        <v>42</v>
      </c>
      <c r="C30" s="487" t="s">
        <v>368</v>
      </c>
      <c r="D30" s="749">
        <f>'Cuadro Consumo (u.físicas)'!$K$9</f>
        <v>0</v>
      </c>
      <c r="E30" s="749">
        <f>'Cuadro Consumo (u.físicas)'!$K$10</f>
        <v>119.18786322948245</v>
      </c>
      <c r="F30" s="749">
        <f>'Cuadro Consumo (u.físicas)'!$K$11</f>
        <v>0</v>
      </c>
      <c r="G30" s="749">
        <f>'Cuadro Consumo (u.físicas)'!$K$12</f>
        <v>0</v>
      </c>
      <c r="H30" s="749">
        <f>'Cuadro Consumo (u.físicas)'!$K$13</f>
        <v>0</v>
      </c>
      <c r="I30" s="749">
        <f>'Cuadro Consumo (u.físicas)'!$K$14</f>
        <v>2</v>
      </c>
      <c r="J30" s="749">
        <f>'Cuadro Consumo (u.físicas)'!$K$15</f>
        <v>0</v>
      </c>
      <c r="K30" s="749">
        <f>'Cuadro Consumo (u.físicas)'!$K$16</f>
        <v>0</v>
      </c>
      <c r="L30" s="749">
        <f t="shared" si="0"/>
        <v>121.18786322948245</v>
      </c>
    </row>
    <row r="31" spans="1:15">
      <c r="A31" s="368"/>
      <c r="B31" s="368"/>
      <c r="C31" s="368"/>
      <c r="D31" s="368"/>
      <c r="E31" s="368"/>
      <c r="F31" s="368"/>
      <c r="G31" s="368"/>
      <c r="H31" s="368"/>
      <c r="I31" s="368"/>
      <c r="J31" s="368"/>
    </row>
    <row r="32" spans="1:15">
      <c r="A32" s="368"/>
      <c r="B32" s="368"/>
      <c r="C32" s="368"/>
      <c r="D32" s="368"/>
      <c r="E32" s="368"/>
      <c r="F32" s="368"/>
      <c r="G32" s="368"/>
      <c r="H32" s="368"/>
      <c r="I32" s="368"/>
      <c r="J32" s="368"/>
    </row>
    <row r="33" spans="1:10">
      <c r="A33" s="368"/>
      <c r="B33" s="368"/>
      <c r="C33" s="368"/>
      <c r="D33" s="368"/>
      <c r="E33" s="368"/>
      <c r="F33" s="368"/>
      <c r="G33" s="368"/>
      <c r="H33" s="368"/>
      <c r="I33" s="368"/>
      <c r="J33" s="368"/>
    </row>
    <row r="34" spans="1:10">
      <c r="A34" s="368"/>
      <c r="B34" s="420" t="s">
        <v>262</v>
      </c>
      <c r="C34" s="368"/>
      <c r="D34" s="368"/>
      <c r="E34" s="368"/>
      <c r="F34" s="368"/>
      <c r="G34" s="368"/>
      <c r="H34" s="368"/>
      <c r="I34" s="368"/>
      <c r="J34" s="368"/>
    </row>
    <row r="35" spans="1:10">
      <c r="B35" s="420" t="s">
        <v>263</v>
      </c>
    </row>
    <row r="36" spans="1:10">
      <c r="B36" s="420" t="s">
        <v>264</v>
      </c>
    </row>
    <row r="37" spans="1:10">
      <c r="B37" s="420" t="s">
        <v>265</v>
      </c>
    </row>
    <row r="38" spans="1:10">
      <c r="B38" s="407" t="s">
        <v>293</v>
      </c>
    </row>
    <row r="39" spans="1:10">
      <c r="B39" s="272" t="s">
        <v>527</v>
      </c>
    </row>
  </sheetData>
  <mergeCells count="15">
    <mergeCell ref="I6:I7"/>
    <mergeCell ref="B6:B7"/>
    <mergeCell ref="C6:C7"/>
    <mergeCell ref="B2:L2"/>
    <mergeCell ref="B3:L3"/>
    <mergeCell ref="B4:L4"/>
    <mergeCell ref="J6:J7"/>
    <mergeCell ref="K6:K7"/>
    <mergeCell ref="B5:L5"/>
    <mergeCell ref="L6:L7"/>
    <mergeCell ref="D6:D7"/>
    <mergeCell ref="E6:E7"/>
    <mergeCell ref="F6:F7"/>
    <mergeCell ref="G6:G7"/>
    <mergeCell ref="H6:H7"/>
  </mergeCells>
  <phoneticPr fontId="0" type="noConversion"/>
  <hyperlinks>
    <hyperlink ref="N2" location="Índice!A1" display="VOLVER A INDICE"/>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8" tint="0.59999389629810485"/>
  </sheetPr>
  <dimension ref="B1:H22"/>
  <sheetViews>
    <sheetView workbookViewId="0"/>
  </sheetViews>
  <sheetFormatPr baseColWidth="10" defaultRowHeight="12.75"/>
  <cols>
    <col min="1" max="1" width="2.7109375" style="2" customWidth="1"/>
    <col min="2" max="5" width="11.42578125" style="2"/>
    <col min="6" max="6" width="23" style="2" customWidth="1"/>
    <col min="7" max="16384" width="11.42578125" style="2"/>
  </cols>
  <sheetData>
    <row r="1" spans="2:8" ht="20.25" customHeight="1"/>
    <row r="2" spans="2:8" ht="12" customHeight="1">
      <c r="B2" s="805" t="s">
        <v>476</v>
      </c>
      <c r="C2" s="805"/>
      <c r="D2" s="805"/>
      <c r="E2" s="805"/>
      <c r="F2" s="805"/>
      <c r="H2" s="285" t="s">
        <v>430</v>
      </c>
    </row>
    <row r="3" spans="2:8" ht="20.25" customHeight="1">
      <c r="B3" s="805"/>
      <c r="C3" s="805"/>
      <c r="D3" s="805"/>
      <c r="E3" s="805"/>
      <c r="F3" s="805"/>
    </row>
    <row r="4" spans="2:8" ht="12.75" customHeight="1">
      <c r="B4" s="805"/>
      <c r="C4" s="805"/>
      <c r="D4" s="805"/>
      <c r="E4" s="805"/>
      <c r="F4" s="805"/>
    </row>
    <row r="6" spans="2:8" ht="12.75" customHeight="1">
      <c r="B6" s="803" t="s">
        <v>621</v>
      </c>
      <c r="C6" s="803"/>
      <c r="D6" s="803"/>
      <c r="E6" s="803"/>
      <c r="F6" s="803"/>
    </row>
    <row r="7" spans="2:8">
      <c r="B7" s="803"/>
      <c r="C7" s="803"/>
      <c r="D7" s="803"/>
      <c r="E7" s="803"/>
      <c r="F7" s="803"/>
    </row>
    <row r="8" spans="2:8">
      <c r="B8" s="803"/>
      <c r="C8" s="803"/>
      <c r="D8" s="803"/>
      <c r="E8" s="803"/>
      <c r="F8" s="803"/>
    </row>
    <row r="9" spans="2:8">
      <c r="B9" s="803"/>
      <c r="C9" s="803"/>
      <c r="D9" s="803"/>
      <c r="E9" s="803"/>
      <c r="F9" s="803"/>
    </row>
    <row r="10" spans="2:8">
      <c r="B10" s="803"/>
      <c r="C10" s="803"/>
      <c r="D10" s="803"/>
      <c r="E10" s="803"/>
      <c r="F10" s="803"/>
    </row>
    <row r="11" spans="2:8">
      <c r="B11" s="803" t="s">
        <v>444</v>
      </c>
      <c r="C11" s="803"/>
      <c r="D11" s="803"/>
      <c r="E11" s="803"/>
      <c r="F11" s="803"/>
    </row>
    <row r="12" spans="2:8">
      <c r="B12" s="803"/>
      <c r="C12" s="803"/>
      <c r="D12" s="803"/>
      <c r="E12" s="803"/>
      <c r="F12" s="803"/>
    </row>
    <row r="13" spans="2:8">
      <c r="B13" s="803"/>
      <c r="C13" s="803"/>
      <c r="D13" s="803"/>
      <c r="E13" s="803"/>
      <c r="F13" s="803"/>
    </row>
    <row r="14" spans="2:8">
      <c r="B14" s="803"/>
      <c r="C14" s="803"/>
      <c r="D14" s="803"/>
      <c r="E14" s="803"/>
      <c r="F14" s="803"/>
    </row>
    <row r="15" spans="2:8">
      <c r="B15" s="803" t="s">
        <v>445</v>
      </c>
      <c r="C15" s="803"/>
      <c r="D15" s="803"/>
      <c r="E15" s="803"/>
      <c r="F15" s="803"/>
    </row>
    <row r="16" spans="2:8">
      <c r="B16" s="803"/>
      <c r="C16" s="803"/>
      <c r="D16" s="803"/>
      <c r="E16" s="803"/>
      <c r="F16" s="803"/>
    </row>
    <row r="17" spans="2:6">
      <c r="B17" s="803"/>
      <c r="C17" s="803"/>
      <c r="D17" s="803"/>
      <c r="E17" s="803"/>
      <c r="F17" s="803"/>
    </row>
    <row r="18" spans="2:6">
      <c r="B18" s="803"/>
      <c r="C18" s="803"/>
      <c r="D18" s="803"/>
      <c r="E18" s="803"/>
      <c r="F18" s="803"/>
    </row>
    <row r="19" spans="2:6">
      <c r="B19" s="803"/>
      <c r="C19" s="803"/>
      <c r="D19" s="803"/>
      <c r="E19" s="803"/>
      <c r="F19" s="803"/>
    </row>
    <row r="20" spans="2:6">
      <c r="B20" s="803"/>
      <c r="C20" s="803"/>
      <c r="D20" s="803"/>
      <c r="E20" s="803"/>
      <c r="F20" s="803"/>
    </row>
    <row r="21" spans="2:6">
      <c r="B21" s="346"/>
      <c r="C21" s="346"/>
      <c r="D21" s="346"/>
      <c r="E21" s="346"/>
      <c r="F21" s="346"/>
    </row>
    <row r="22" spans="2:6">
      <c r="B22" s="346"/>
      <c r="C22" s="346"/>
      <c r="D22" s="346"/>
      <c r="E22" s="346"/>
      <c r="F22" s="346"/>
    </row>
  </sheetData>
  <mergeCells count="4">
    <mergeCell ref="B6:F10"/>
    <mergeCell ref="B11:F14"/>
    <mergeCell ref="B15:F20"/>
    <mergeCell ref="B2:F4"/>
  </mergeCells>
  <hyperlinks>
    <hyperlink ref="H2" location="Índice!A1" display="IR A ÍNDI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tabColor theme="6" tint="0.39997558519241921"/>
  </sheetPr>
  <dimension ref="A1:P62"/>
  <sheetViews>
    <sheetView workbookViewId="0"/>
  </sheetViews>
  <sheetFormatPr baseColWidth="10" defaultRowHeight="12.75" outlineLevelRow="1"/>
  <cols>
    <col min="1" max="1" width="1.7109375" style="134" customWidth="1"/>
    <col min="2" max="2" width="35.140625" style="134" customWidth="1"/>
    <col min="3" max="3" width="19.7109375" style="134" customWidth="1"/>
    <col min="4" max="10" width="11.42578125" style="134"/>
    <col min="11" max="16" width="11.42578125" style="2"/>
    <col min="17" max="16384" width="11.42578125" style="134"/>
  </cols>
  <sheetData>
    <row r="1" spans="1:10" ht="6.75" customHeight="1">
      <c r="A1" s="175"/>
      <c r="B1" s="175"/>
      <c r="C1" s="175"/>
      <c r="D1" s="175"/>
      <c r="E1" s="175"/>
      <c r="F1" s="175"/>
    </row>
    <row r="2" spans="1:10" s="301" customFormat="1" ht="15.95" customHeight="1">
      <c r="A2" s="298"/>
      <c r="B2" s="838" t="s">
        <v>479</v>
      </c>
      <c r="C2" s="838"/>
      <c r="E2" s="210" t="s">
        <v>229</v>
      </c>
      <c r="F2" s="331"/>
      <c r="G2" s="332"/>
      <c r="H2" s="207"/>
      <c r="I2" s="207"/>
      <c r="J2" s="207"/>
    </row>
    <row r="3" spans="1:10" s="301" customFormat="1" ht="15.95" customHeight="1">
      <c r="A3" s="298"/>
      <c r="B3" s="838" t="s">
        <v>440</v>
      </c>
      <c r="C3" s="838"/>
      <c r="D3" s="331"/>
      <c r="E3" s="331"/>
      <c r="F3" s="331"/>
      <c r="G3" s="332"/>
      <c r="H3" s="207"/>
      <c r="I3" s="207"/>
      <c r="J3" s="207"/>
    </row>
    <row r="4" spans="1:10" s="301" customFormat="1" ht="15.95" customHeight="1">
      <c r="A4" s="298"/>
      <c r="B4" s="838" t="s">
        <v>446</v>
      </c>
      <c r="C4" s="838"/>
      <c r="D4" s="331"/>
      <c r="E4" s="331"/>
      <c r="F4" s="331"/>
      <c r="G4" s="332"/>
      <c r="H4" s="207"/>
      <c r="I4" s="207"/>
      <c r="J4" s="207"/>
    </row>
    <row r="5" spans="1:10" s="301" customFormat="1" ht="15.95" customHeight="1">
      <c r="A5" s="298"/>
      <c r="B5" s="481" t="s">
        <v>432</v>
      </c>
      <c r="C5" s="749">
        <f>+'Producción Bruta (u.físicas)'!E19</f>
        <v>164.09425484549979</v>
      </c>
      <c r="D5" s="331"/>
      <c r="E5" s="331"/>
      <c r="F5" s="331"/>
      <c r="G5" s="332"/>
      <c r="H5" s="207"/>
      <c r="I5" s="207"/>
      <c r="J5" s="207"/>
    </row>
    <row r="6" spans="1:10" s="301" customFormat="1" ht="15.95" customHeight="1">
      <c r="A6" s="298"/>
      <c r="B6" s="481" t="s">
        <v>433</v>
      </c>
      <c r="C6" s="749">
        <f>+'Balance Energético (u.físicas)'!V7</f>
        <v>0</v>
      </c>
      <c r="D6" s="331"/>
      <c r="E6" s="331"/>
      <c r="F6" s="331"/>
      <c r="G6" s="332"/>
      <c r="H6" s="207"/>
      <c r="I6" s="207"/>
      <c r="J6" s="207"/>
    </row>
    <row r="7" spans="1:10" s="301" customFormat="1" ht="15.95" customHeight="1">
      <c r="A7" s="298"/>
      <c r="B7" s="481" t="s">
        <v>434</v>
      </c>
      <c r="C7" s="749">
        <f>+'Balance Energético (u.físicas)'!V8</f>
        <v>6.4444334613023635</v>
      </c>
      <c r="D7" s="331"/>
      <c r="E7" s="331"/>
      <c r="F7" s="331"/>
      <c r="G7" s="332"/>
      <c r="H7" s="207"/>
      <c r="I7" s="207"/>
      <c r="J7" s="207"/>
    </row>
    <row r="8" spans="1:10" s="301" customFormat="1" ht="15.95" customHeight="1">
      <c r="A8" s="298"/>
      <c r="B8" s="481" t="s">
        <v>435</v>
      </c>
      <c r="C8" s="749">
        <f>+'Balance Energético (u.físicas)'!V9</f>
        <v>-79.082184144892565</v>
      </c>
      <c r="D8" s="331"/>
      <c r="E8" s="331"/>
      <c r="F8" s="331"/>
      <c r="G8" s="332"/>
      <c r="H8" s="207"/>
      <c r="I8" s="207"/>
      <c r="J8" s="207"/>
    </row>
    <row r="9" spans="1:10" s="301" customFormat="1" ht="15.95" customHeight="1">
      <c r="A9" s="298"/>
      <c r="B9" s="480" t="s">
        <v>64</v>
      </c>
      <c r="C9" s="751">
        <f>+'Cuadro Consumo (u.físicas)'!V8+'Balance Energético (u.físicas)'!V22</f>
        <v>236.73200552908997</v>
      </c>
      <c r="D9" s="331"/>
      <c r="E9" s="331"/>
      <c r="F9" s="331"/>
      <c r="G9" s="332"/>
      <c r="H9" s="207"/>
      <c r="I9" s="207"/>
      <c r="J9" s="207"/>
    </row>
    <row r="10" spans="1:10" s="301" customFormat="1" ht="15.95" customHeight="1">
      <c r="A10" s="298"/>
      <c r="B10" s="481" t="s">
        <v>441</v>
      </c>
      <c r="C10" s="749">
        <f>+'Balance Energético (u.físicas)'!V48</f>
        <v>0</v>
      </c>
      <c r="D10" s="331"/>
      <c r="E10" s="331"/>
      <c r="F10" s="331"/>
      <c r="G10" s="332"/>
      <c r="H10" s="207"/>
      <c r="I10" s="207"/>
      <c r="J10" s="207"/>
    </row>
    <row r="11" spans="1:10" s="301" customFormat="1" ht="15.95" customHeight="1">
      <c r="A11" s="298"/>
      <c r="B11" s="481" t="s">
        <v>436</v>
      </c>
      <c r="C11" s="749">
        <f>+'Balance Energético (u.físicas)'!V23</f>
        <v>69.635434913785147</v>
      </c>
      <c r="D11" s="331"/>
      <c r="E11" s="331"/>
      <c r="F11" s="331"/>
      <c r="G11" s="332"/>
      <c r="H11" s="207"/>
      <c r="I11" s="207"/>
      <c r="J11" s="207"/>
    </row>
    <row r="12" spans="1:10" s="301" customFormat="1" ht="15.95" customHeight="1">
      <c r="A12" s="298"/>
      <c r="B12" s="481" t="s">
        <v>437</v>
      </c>
      <c r="C12" s="749">
        <f>SUM(C13:C17)</f>
        <v>102.08198625309002</v>
      </c>
      <c r="D12" s="331"/>
      <c r="E12" s="331"/>
      <c r="F12" s="331"/>
      <c r="G12" s="332"/>
      <c r="H12" s="207"/>
      <c r="I12" s="207"/>
      <c r="J12" s="207"/>
    </row>
    <row r="13" spans="1:10" s="301" customFormat="1" ht="15.95" customHeight="1" outlineLevel="1">
      <c r="A13" s="298"/>
      <c r="B13" s="482" t="s">
        <v>438</v>
      </c>
      <c r="C13" s="750">
        <v>-2.0967639999999999</v>
      </c>
      <c r="D13" s="331"/>
      <c r="E13" s="331"/>
      <c r="F13" s="331"/>
      <c r="G13" s="332"/>
      <c r="H13" s="207"/>
      <c r="I13" s="207"/>
      <c r="J13" s="207"/>
    </row>
    <row r="14" spans="1:10" s="301" customFormat="1" ht="15.95" customHeight="1" outlineLevel="1">
      <c r="A14" s="298"/>
      <c r="B14" s="483" t="s">
        <v>35</v>
      </c>
      <c r="C14" s="750">
        <v>44.331249851721282</v>
      </c>
      <c r="D14" s="331"/>
      <c r="E14" s="331"/>
      <c r="F14" s="331"/>
      <c r="G14" s="332"/>
      <c r="H14" s="207"/>
      <c r="I14" s="207"/>
      <c r="J14" s="207"/>
    </row>
    <row r="15" spans="1:10" s="301" customFormat="1" ht="15.95" customHeight="1" outlineLevel="1">
      <c r="A15" s="298"/>
      <c r="B15" s="483" t="s">
        <v>36</v>
      </c>
      <c r="C15" s="750">
        <v>63.584142873372045</v>
      </c>
      <c r="D15" s="331"/>
      <c r="E15" s="331"/>
      <c r="F15" s="331"/>
      <c r="G15" s="332"/>
      <c r="H15" s="207"/>
      <c r="I15" s="207"/>
      <c r="J15" s="207"/>
    </row>
    <row r="16" spans="1:10" s="301" customFormat="1" ht="15.95" customHeight="1" outlineLevel="1">
      <c r="A16" s="298"/>
      <c r="B16" s="483" t="s">
        <v>439</v>
      </c>
      <c r="C16" s="750">
        <v>-3.7089257569473242</v>
      </c>
      <c r="D16" s="331"/>
      <c r="E16" s="331"/>
      <c r="F16" s="331"/>
      <c r="G16" s="332"/>
      <c r="H16" s="207"/>
      <c r="I16" s="207"/>
      <c r="J16" s="207"/>
    </row>
    <row r="17" spans="1:16" s="301" customFormat="1" ht="15.75" customHeight="1" outlineLevel="1">
      <c r="A17" s="298"/>
      <c r="B17" s="483" t="s">
        <v>516</v>
      </c>
      <c r="C17" s="750">
        <v>-2.7716715055993362E-2</v>
      </c>
      <c r="D17" s="331"/>
      <c r="E17" s="331"/>
      <c r="F17" s="331"/>
      <c r="G17" s="332"/>
      <c r="H17" s="207"/>
      <c r="I17" s="207"/>
      <c r="J17" s="207"/>
    </row>
    <row r="18" spans="1:16" s="301" customFormat="1" ht="15.95" customHeight="1">
      <c r="A18" s="298"/>
      <c r="B18" s="331"/>
      <c r="C18" s="331"/>
      <c r="D18" s="331"/>
      <c r="E18" s="331"/>
      <c r="F18" s="331"/>
      <c r="G18" s="332"/>
      <c r="H18" s="207"/>
      <c r="I18" s="207"/>
      <c r="J18" s="207"/>
    </row>
    <row r="19" spans="1:16">
      <c r="A19" s="175"/>
      <c r="C19" s="171"/>
      <c r="D19" s="171"/>
      <c r="E19" s="171"/>
      <c r="F19" s="171"/>
      <c r="G19" s="1"/>
      <c r="H19" s="2"/>
      <c r="I19" s="2"/>
      <c r="J19" s="2"/>
      <c r="K19" s="134"/>
      <c r="L19" s="134"/>
      <c r="M19" s="134"/>
      <c r="N19" s="134"/>
      <c r="O19" s="134"/>
      <c r="P19" s="134"/>
    </row>
    <row r="20" spans="1:16">
      <c r="A20" s="175"/>
      <c r="B20" s="407" t="s">
        <v>293</v>
      </c>
      <c r="C20" s="171"/>
      <c r="D20" s="171"/>
      <c r="E20" s="171"/>
      <c r="F20" s="171"/>
      <c r="G20" s="1"/>
      <c r="H20" s="2"/>
      <c r="I20" s="2"/>
      <c r="J20" s="2"/>
      <c r="K20" s="134"/>
      <c r="L20" s="134"/>
      <c r="M20" s="134"/>
      <c r="N20" s="134"/>
      <c r="O20" s="134"/>
      <c r="P20" s="134"/>
    </row>
    <row r="21" spans="1:16">
      <c r="A21" s="175"/>
      <c r="B21" s="272" t="s">
        <v>527</v>
      </c>
      <c r="C21" s="222"/>
      <c r="D21" s="222"/>
      <c r="E21" s="222"/>
      <c r="F21" s="222"/>
      <c r="G21" s="19"/>
      <c r="H21" s="2"/>
      <c r="I21" s="2"/>
      <c r="J21" s="2"/>
      <c r="K21" s="134"/>
      <c r="L21" s="134"/>
      <c r="M21" s="134"/>
      <c r="N21" s="134"/>
      <c r="O21" s="134"/>
      <c r="P21" s="134"/>
    </row>
    <row r="22" spans="1:16">
      <c r="A22" s="175"/>
      <c r="B22" s="222"/>
      <c r="C22" s="222"/>
      <c r="D22" s="222"/>
      <c r="E22" s="222"/>
      <c r="F22" s="222"/>
      <c r="G22" s="19"/>
      <c r="H22" s="2"/>
      <c r="I22" s="2"/>
      <c r="J22" s="2"/>
      <c r="K22" s="134"/>
      <c r="L22" s="134"/>
      <c r="M22" s="134"/>
      <c r="N22" s="134"/>
      <c r="O22" s="134"/>
      <c r="P22" s="134"/>
    </row>
    <row r="23" spans="1:16">
      <c r="A23" s="175"/>
      <c r="B23" s="24"/>
      <c r="C23" s="24"/>
      <c r="D23" s="24"/>
      <c r="E23" s="24"/>
      <c r="F23" s="24"/>
      <c r="G23" s="2"/>
      <c r="H23" s="2"/>
      <c r="I23" s="2"/>
      <c r="J23" s="2"/>
      <c r="K23" s="134"/>
      <c r="L23" s="134"/>
      <c r="M23" s="134"/>
      <c r="N23" s="134"/>
      <c r="O23" s="134"/>
      <c r="P23" s="134"/>
    </row>
    <row r="24" spans="1:16">
      <c r="B24" s="2"/>
      <c r="C24" s="2"/>
      <c r="D24" s="2"/>
      <c r="E24" s="2"/>
      <c r="F24" s="2"/>
      <c r="G24" s="2"/>
      <c r="H24" s="2"/>
      <c r="I24" s="2"/>
      <c r="J24" s="2"/>
      <c r="K24" s="134"/>
      <c r="L24" s="134"/>
      <c r="M24" s="134"/>
      <c r="N24" s="134"/>
      <c r="O24" s="134"/>
      <c r="P24" s="134"/>
    </row>
    <row r="25" spans="1:16">
      <c r="B25" s="2"/>
      <c r="C25" s="2"/>
      <c r="D25" s="2"/>
      <c r="E25" s="2"/>
      <c r="F25" s="2"/>
      <c r="G25" s="2"/>
      <c r="H25" s="2"/>
      <c r="I25" s="2"/>
      <c r="J25" s="2"/>
      <c r="K25" s="134"/>
      <c r="L25" s="134"/>
      <c r="M25" s="134"/>
      <c r="N25" s="134"/>
      <c r="O25" s="134"/>
      <c r="P25" s="134"/>
    </row>
    <row r="26" spans="1:16">
      <c r="B26" s="2"/>
      <c r="C26" s="2"/>
      <c r="D26" s="2"/>
      <c r="E26" s="2"/>
      <c r="F26" s="2"/>
      <c r="G26" s="2"/>
      <c r="H26" s="2"/>
      <c r="I26" s="2"/>
      <c r="J26" s="2"/>
      <c r="K26" s="134"/>
      <c r="L26" s="134"/>
      <c r="M26" s="134"/>
      <c r="N26" s="134"/>
      <c r="O26" s="134"/>
      <c r="P26" s="134"/>
    </row>
    <row r="27" spans="1:16">
      <c r="B27" s="2"/>
      <c r="C27" s="2"/>
      <c r="D27" s="2"/>
      <c r="E27" s="2"/>
      <c r="F27" s="2"/>
      <c r="G27" s="2"/>
      <c r="H27" s="2"/>
      <c r="I27" s="2"/>
      <c r="J27" s="2"/>
      <c r="K27" s="134"/>
      <c r="L27" s="134"/>
      <c r="M27" s="134"/>
      <c r="N27" s="134"/>
      <c r="O27" s="134"/>
      <c r="P27" s="134"/>
    </row>
    <row r="28" spans="1:16">
      <c r="B28" s="2"/>
      <c r="C28" s="2"/>
      <c r="D28" s="2"/>
      <c r="E28" s="2"/>
      <c r="F28" s="2"/>
      <c r="G28" s="2"/>
      <c r="H28" s="2"/>
      <c r="I28" s="2"/>
      <c r="J28" s="2"/>
      <c r="K28" s="134"/>
      <c r="L28" s="134"/>
      <c r="M28" s="134"/>
      <c r="N28" s="134"/>
      <c r="O28" s="134"/>
      <c r="P28" s="134"/>
    </row>
    <row r="29" spans="1:16">
      <c r="B29" s="2"/>
      <c r="C29" s="2"/>
      <c r="D29" s="2"/>
      <c r="E29" s="2"/>
      <c r="F29" s="2"/>
      <c r="G29" s="2"/>
      <c r="H29" s="2"/>
      <c r="I29" s="2"/>
      <c r="J29" s="2"/>
      <c r="K29" s="134"/>
      <c r="L29" s="134"/>
      <c r="M29" s="134"/>
      <c r="N29" s="134"/>
      <c r="O29" s="134"/>
      <c r="P29" s="134"/>
    </row>
    <row r="30" spans="1:16">
      <c r="B30" s="2"/>
      <c r="C30" s="2"/>
      <c r="D30" s="2"/>
      <c r="E30" s="2"/>
      <c r="F30" s="2"/>
      <c r="G30" s="2"/>
      <c r="H30" s="2"/>
      <c r="I30" s="2"/>
      <c r="J30" s="2"/>
      <c r="K30" s="134"/>
      <c r="L30" s="134"/>
      <c r="M30" s="134"/>
      <c r="N30" s="134"/>
      <c r="O30" s="134"/>
      <c r="P30" s="134"/>
    </row>
    <row r="31" spans="1:16">
      <c r="B31" s="2"/>
      <c r="C31" s="2"/>
      <c r="D31" s="2"/>
      <c r="E31" s="2"/>
      <c r="F31" s="2"/>
      <c r="G31" s="2"/>
      <c r="H31" s="2"/>
      <c r="I31" s="2"/>
      <c r="J31" s="2"/>
      <c r="K31" s="134"/>
      <c r="L31" s="134"/>
      <c r="M31" s="134"/>
      <c r="N31" s="134"/>
      <c r="O31" s="134"/>
      <c r="P31" s="134"/>
    </row>
    <row r="32" spans="1:16">
      <c r="B32" s="2"/>
      <c r="C32" s="2"/>
      <c r="D32" s="2"/>
      <c r="E32" s="2"/>
      <c r="F32" s="2"/>
      <c r="G32" s="2"/>
      <c r="H32" s="2"/>
      <c r="I32" s="2"/>
      <c r="J32" s="2"/>
      <c r="K32" s="134"/>
      <c r="L32" s="134"/>
      <c r="M32" s="134"/>
      <c r="N32" s="134"/>
      <c r="O32" s="134"/>
      <c r="P32" s="134"/>
    </row>
    <row r="33" spans="2:16">
      <c r="B33" s="2"/>
      <c r="C33" s="2"/>
      <c r="D33" s="2"/>
      <c r="E33" s="2"/>
      <c r="F33" s="2"/>
      <c r="G33" s="2"/>
      <c r="H33" s="2"/>
      <c r="I33" s="2"/>
      <c r="J33" s="2"/>
      <c r="K33" s="134"/>
      <c r="L33" s="134"/>
      <c r="M33" s="134"/>
      <c r="N33" s="134"/>
      <c r="O33" s="134"/>
      <c r="P33" s="134"/>
    </row>
    <row r="34" spans="2:16">
      <c r="B34" s="2"/>
      <c r="C34" s="2"/>
      <c r="D34" s="2"/>
      <c r="E34" s="2"/>
      <c r="F34" s="2"/>
      <c r="G34" s="2"/>
      <c r="H34" s="2"/>
      <c r="I34" s="2"/>
      <c r="J34" s="2"/>
      <c r="K34" s="134"/>
      <c r="L34" s="134"/>
      <c r="M34" s="134"/>
      <c r="N34" s="134"/>
      <c r="O34" s="134"/>
      <c r="P34" s="134"/>
    </row>
    <row r="35" spans="2:16">
      <c r="B35" s="2"/>
      <c r="C35" s="2"/>
      <c r="D35" s="2"/>
      <c r="E35" s="2"/>
      <c r="F35" s="2"/>
      <c r="G35" s="2"/>
      <c r="H35" s="2"/>
      <c r="I35" s="2"/>
      <c r="J35" s="2"/>
      <c r="K35" s="134"/>
      <c r="L35" s="134"/>
      <c r="M35" s="134"/>
      <c r="N35" s="134"/>
      <c r="O35" s="134"/>
      <c r="P35" s="134"/>
    </row>
    <row r="36" spans="2:16">
      <c r="B36" s="2"/>
      <c r="C36" s="2"/>
      <c r="D36" s="2"/>
      <c r="E36" s="2"/>
      <c r="F36" s="2"/>
      <c r="G36" s="2"/>
      <c r="H36" s="2"/>
      <c r="I36" s="2"/>
      <c r="J36" s="2"/>
      <c r="K36" s="134"/>
      <c r="L36" s="134"/>
      <c r="M36" s="134"/>
      <c r="N36" s="134"/>
      <c r="O36" s="134"/>
      <c r="P36" s="134"/>
    </row>
    <row r="37" spans="2:16">
      <c r="B37" s="2"/>
      <c r="C37" s="2"/>
      <c r="D37" s="2"/>
      <c r="E37" s="2"/>
      <c r="F37" s="2"/>
      <c r="G37" s="2"/>
      <c r="H37" s="2"/>
      <c r="I37" s="2"/>
      <c r="J37" s="2"/>
      <c r="K37" s="134"/>
      <c r="L37" s="134"/>
      <c r="M37" s="134"/>
      <c r="N37" s="134"/>
      <c r="O37" s="134"/>
      <c r="P37" s="134"/>
    </row>
    <row r="38" spans="2:16">
      <c r="B38" s="2"/>
      <c r="C38" s="2"/>
      <c r="D38" s="2"/>
      <c r="E38" s="2"/>
      <c r="F38" s="2"/>
      <c r="G38" s="2"/>
      <c r="H38" s="2"/>
      <c r="I38" s="2"/>
      <c r="J38" s="2"/>
      <c r="K38" s="134"/>
      <c r="L38" s="134"/>
      <c r="M38" s="134"/>
      <c r="N38" s="134"/>
      <c r="O38" s="134"/>
      <c r="P38" s="134"/>
    </row>
    <row r="39" spans="2:16">
      <c r="B39" s="2"/>
      <c r="C39" s="2"/>
      <c r="D39" s="2"/>
      <c r="E39" s="2"/>
      <c r="F39" s="2"/>
      <c r="G39" s="2"/>
      <c r="H39" s="2"/>
      <c r="I39" s="2"/>
      <c r="J39" s="2"/>
      <c r="K39" s="134"/>
      <c r="L39" s="134"/>
      <c r="M39" s="134"/>
      <c r="N39" s="134"/>
      <c r="O39" s="134"/>
      <c r="P39" s="134"/>
    </row>
    <row r="40" spans="2:16">
      <c r="B40" s="2"/>
      <c r="C40" s="2"/>
      <c r="D40" s="2"/>
      <c r="E40" s="2"/>
      <c r="F40" s="2"/>
      <c r="G40" s="2"/>
      <c r="H40" s="2"/>
      <c r="I40" s="2"/>
      <c r="J40" s="2"/>
      <c r="K40" s="134"/>
      <c r="L40" s="134"/>
      <c r="M40" s="134"/>
      <c r="N40" s="134"/>
      <c r="O40" s="134"/>
      <c r="P40" s="134"/>
    </row>
    <row r="41" spans="2:16">
      <c r="B41" s="2"/>
      <c r="C41" s="2"/>
      <c r="D41" s="2"/>
      <c r="E41" s="2"/>
      <c r="F41" s="2"/>
      <c r="G41" s="2"/>
      <c r="H41" s="2"/>
      <c r="I41" s="2"/>
      <c r="J41" s="2"/>
      <c r="K41" s="134"/>
      <c r="L41" s="134"/>
      <c r="M41" s="134"/>
      <c r="N41" s="134"/>
      <c r="O41" s="134"/>
      <c r="P41" s="134"/>
    </row>
    <row r="42" spans="2:16">
      <c r="B42" s="2"/>
      <c r="C42" s="2"/>
      <c r="D42" s="2"/>
      <c r="E42" s="2"/>
      <c r="F42" s="2"/>
      <c r="G42" s="2"/>
      <c r="H42" s="2"/>
      <c r="I42" s="2"/>
      <c r="J42" s="2"/>
      <c r="K42" s="134"/>
      <c r="L42" s="134"/>
      <c r="M42" s="134"/>
      <c r="N42" s="134"/>
      <c r="O42" s="134"/>
      <c r="P42" s="134"/>
    </row>
    <row r="43" spans="2:16">
      <c r="B43" s="2"/>
      <c r="C43" s="2"/>
      <c r="D43" s="2"/>
      <c r="E43" s="2"/>
      <c r="F43" s="2"/>
      <c r="G43" s="2"/>
      <c r="H43" s="2"/>
      <c r="I43" s="2"/>
      <c r="J43" s="2"/>
      <c r="K43" s="134"/>
      <c r="L43" s="134"/>
      <c r="M43" s="134"/>
      <c r="N43" s="134"/>
      <c r="O43" s="134"/>
      <c r="P43" s="134"/>
    </row>
    <row r="44" spans="2:16">
      <c r="B44" s="2"/>
      <c r="C44" s="2"/>
      <c r="D44" s="2"/>
      <c r="E44" s="2"/>
      <c r="F44" s="2"/>
      <c r="G44" s="2"/>
      <c r="H44" s="2"/>
      <c r="I44" s="2"/>
      <c r="J44" s="2"/>
      <c r="K44" s="134"/>
      <c r="L44" s="134"/>
      <c r="M44" s="134"/>
      <c r="N44" s="134"/>
      <c r="O44" s="134"/>
      <c r="P44" s="134"/>
    </row>
    <row r="45" spans="2:16">
      <c r="B45" s="2"/>
      <c r="C45" s="2"/>
      <c r="D45" s="2"/>
      <c r="E45" s="2"/>
      <c r="F45" s="2"/>
      <c r="G45" s="2"/>
      <c r="H45" s="2"/>
      <c r="I45" s="2"/>
      <c r="J45" s="2"/>
      <c r="K45" s="134"/>
      <c r="L45" s="134"/>
      <c r="M45" s="134"/>
      <c r="N45" s="134"/>
      <c r="O45" s="134"/>
      <c r="P45" s="134"/>
    </row>
    <row r="46" spans="2:16">
      <c r="B46" s="2"/>
      <c r="C46" s="2"/>
      <c r="D46" s="2"/>
      <c r="E46" s="2"/>
      <c r="F46" s="2"/>
      <c r="G46" s="2"/>
      <c r="H46" s="2"/>
      <c r="I46" s="2"/>
      <c r="J46" s="2"/>
      <c r="K46" s="134"/>
      <c r="L46" s="134"/>
      <c r="M46" s="134"/>
      <c r="N46" s="134"/>
      <c r="O46" s="134"/>
      <c r="P46" s="134"/>
    </row>
    <row r="47" spans="2:16">
      <c r="B47" s="2"/>
      <c r="C47" s="2"/>
      <c r="D47" s="2"/>
      <c r="E47" s="2"/>
      <c r="F47" s="2"/>
      <c r="G47" s="2"/>
      <c r="H47" s="2"/>
      <c r="I47" s="2"/>
      <c r="J47" s="2"/>
      <c r="K47" s="134"/>
      <c r="L47" s="134"/>
      <c r="M47" s="134"/>
      <c r="N47" s="134"/>
      <c r="O47" s="134"/>
      <c r="P47" s="134"/>
    </row>
    <row r="48" spans="2:16">
      <c r="B48" s="2"/>
      <c r="C48" s="2"/>
      <c r="D48" s="2"/>
      <c r="E48" s="2"/>
      <c r="F48" s="2"/>
      <c r="G48" s="2"/>
      <c r="H48" s="2"/>
      <c r="I48" s="2"/>
      <c r="J48" s="2"/>
      <c r="K48" s="134"/>
      <c r="L48" s="134"/>
      <c r="M48" s="134"/>
      <c r="N48" s="134"/>
      <c r="O48" s="134"/>
      <c r="P48" s="134"/>
    </row>
    <row r="49" spans="2:16">
      <c r="B49" s="2"/>
      <c r="C49" s="2"/>
      <c r="D49" s="2"/>
      <c r="E49" s="2"/>
      <c r="F49" s="2"/>
      <c r="G49" s="2"/>
      <c r="H49" s="2"/>
      <c r="I49" s="2"/>
      <c r="J49" s="2"/>
      <c r="K49" s="134"/>
      <c r="L49" s="134"/>
      <c r="M49" s="134"/>
      <c r="N49" s="134"/>
      <c r="O49" s="134"/>
      <c r="P49" s="134"/>
    </row>
    <row r="50" spans="2:16">
      <c r="B50" s="2"/>
      <c r="C50" s="2"/>
      <c r="D50" s="2"/>
      <c r="E50" s="2"/>
      <c r="F50" s="2"/>
      <c r="G50" s="2"/>
      <c r="H50" s="2"/>
      <c r="I50" s="2"/>
      <c r="J50" s="2"/>
      <c r="K50" s="134"/>
      <c r="L50" s="134"/>
      <c r="M50" s="134"/>
      <c r="N50" s="134"/>
      <c r="O50" s="134"/>
      <c r="P50" s="134"/>
    </row>
    <row r="51" spans="2:16">
      <c r="B51" s="2"/>
      <c r="C51" s="2"/>
      <c r="D51" s="2"/>
      <c r="E51" s="2"/>
      <c r="F51" s="2"/>
      <c r="G51" s="2"/>
      <c r="H51" s="2"/>
      <c r="I51" s="2"/>
      <c r="J51" s="2"/>
      <c r="K51" s="134"/>
      <c r="L51" s="134"/>
      <c r="M51" s="134"/>
      <c r="N51" s="134"/>
      <c r="O51" s="134"/>
      <c r="P51" s="134"/>
    </row>
    <row r="52" spans="2:16">
      <c r="B52" s="2"/>
      <c r="C52" s="2"/>
      <c r="D52" s="2"/>
      <c r="E52" s="2"/>
      <c r="F52" s="2"/>
      <c r="G52" s="2"/>
      <c r="H52" s="2"/>
      <c r="I52" s="2"/>
      <c r="J52" s="2"/>
      <c r="K52" s="134"/>
      <c r="L52" s="134"/>
      <c r="M52" s="134"/>
      <c r="N52" s="134"/>
      <c r="O52" s="134"/>
      <c r="P52" s="134"/>
    </row>
    <row r="53" spans="2:16">
      <c r="B53" s="2"/>
      <c r="C53" s="2"/>
      <c r="D53" s="2"/>
      <c r="E53" s="2"/>
      <c r="F53" s="2"/>
      <c r="G53" s="2"/>
      <c r="H53" s="2"/>
      <c r="I53" s="2"/>
      <c r="J53" s="2"/>
      <c r="K53" s="134"/>
      <c r="L53" s="134"/>
      <c r="M53" s="134"/>
      <c r="N53" s="134"/>
      <c r="O53" s="134"/>
      <c r="P53" s="134"/>
    </row>
    <row r="54" spans="2:16">
      <c r="B54" s="2"/>
      <c r="C54" s="2"/>
      <c r="D54" s="2"/>
      <c r="E54" s="2"/>
      <c r="F54" s="2"/>
      <c r="G54" s="2"/>
      <c r="H54" s="2"/>
      <c r="I54" s="2"/>
      <c r="J54" s="2"/>
      <c r="K54" s="134"/>
      <c r="L54" s="134"/>
      <c r="M54" s="134"/>
      <c r="N54" s="134"/>
      <c r="O54" s="134"/>
      <c r="P54" s="134"/>
    </row>
    <row r="55" spans="2:16">
      <c r="B55" s="2"/>
      <c r="C55" s="2"/>
      <c r="D55" s="2"/>
      <c r="E55" s="2"/>
      <c r="F55" s="2"/>
      <c r="G55" s="2"/>
      <c r="H55" s="2"/>
      <c r="I55" s="2"/>
      <c r="J55" s="2"/>
      <c r="K55" s="134"/>
      <c r="L55" s="134"/>
      <c r="M55" s="134"/>
      <c r="N55" s="134"/>
      <c r="O55" s="134"/>
      <c r="P55" s="134"/>
    </row>
    <row r="56" spans="2:16">
      <c r="B56" s="2"/>
      <c r="C56" s="2"/>
      <c r="D56" s="2"/>
      <c r="E56" s="2"/>
      <c r="F56" s="2"/>
      <c r="G56" s="2"/>
      <c r="H56" s="2"/>
      <c r="I56" s="2"/>
      <c r="J56" s="2"/>
      <c r="K56" s="134"/>
      <c r="L56" s="134"/>
      <c r="M56" s="134"/>
      <c r="N56" s="134"/>
      <c r="O56" s="134"/>
      <c r="P56" s="134"/>
    </row>
    <row r="57" spans="2:16">
      <c r="B57" s="2"/>
      <c r="C57" s="2"/>
      <c r="D57" s="2"/>
      <c r="E57" s="2"/>
      <c r="F57" s="2"/>
      <c r="G57" s="2"/>
      <c r="H57" s="2"/>
      <c r="I57" s="2"/>
      <c r="J57" s="2"/>
      <c r="K57" s="134"/>
      <c r="L57" s="134"/>
      <c r="M57" s="134"/>
      <c r="N57" s="134"/>
      <c r="O57" s="134"/>
      <c r="P57" s="134"/>
    </row>
    <row r="58" spans="2:16" s="2" customFormat="1"/>
    <row r="59" spans="2:16" s="2" customFormat="1"/>
    <row r="60" spans="2:16" s="2" customFormat="1"/>
    <row r="61" spans="2:16" s="2" customFormat="1"/>
    <row r="62" spans="2:16" s="2" customFormat="1"/>
  </sheetData>
  <mergeCells count="3">
    <mergeCell ref="B2:C2"/>
    <mergeCell ref="B3:C3"/>
    <mergeCell ref="B4:C4"/>
  </mergeCells>
  <phoneticPr fontId="0" type="noConversion"/>
  <hyperlinks>
    <hyperlink ref="E2" location="Índice!A1" display="VOLVER A INDICE"/>
  </hyperlinks>
  <pageMargins left="0.75" right="0.75" top="1" bottom="1" header="0" footer="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tabColor theme="8" tint="0.59999389629810485"/>
    <pageSetUpPr fitToPage="1"/>
  </sheetPr>
  <dimension ref="A1:AJ48"/>
  <sheetViews>
    <sheetView workbookViewId="0">
      <selection activeCell="S17" sqref="S17"/>
    </sheetView>
  </sheetViews>
  <sheetFormatPr baseColWidth="10" defaultRowHeight="12.75"/>
  <cols>
    <col min="1" max="1" width="2.28515625" style="134" customWidth="1"/>
    <col min="2" max="2" width="28.42578125" style="134" customWidth="1"/>
    <col min="3" max="13" width="9.85546875" style="134" customWidth="1"/>
    <col min="14" max="14" width="11.140625" style="134" customWidth="1"/>
    <col min="15" max="16" width="9.5703125" style="2" customWidth="1"/>
    <col min="17" max="27" width="11.42578125" style="2"/>
    <col min="28" max="16384" width="11.42578125" style="134"/>
  </cols>
  <sheetData>
    <row r="1" spans="1:36">
      <c r="A1" s="224"/>
      <c r="B1" s="223"/>
      <c r="C1" s="225"/>
      <c r="D1" s="225"/>
      <c r="E1" s="225"/>
      <c r="F1" s="225"/>
      <c r="G1" s="225"/>
      <c r="H1" s="225"/>
      <c r="I1" s="225"/>
      <c r="J1" s="225"/>
      <c r="K1" s="223"/>
      <c r="L1" s="223"/>
      <c r="M1" s="223"/>
      <c r="N1" s="223"/>
      <c r="O1" s="223"/>
      <c r="P1" s="223"/>
      <c r="R1" s="223"/>
      <c r="S1" s="223"/>
      <c r="T1" s="223"/>
      <c r="U1" s="223"/>
      <c r="V1" s="223"/>
      <c r="W1" s="223"/>
    </row>
    <row r="2" spans="1:36">
      <c r="A2" s="224"/>
      <c r="B2" s="188"/>
      <c r="C2" s="189"/>
      <c r="D2" s="189"/>
      <c r="E2" s="189"/>
      <c r="F2" s="189"/>
      <c r="G2" s="189"/>
      <c r="H2" s="189"/>
      <c r="I2" s="189"/>
      <c r="J2" s="189"/>
      <c r="K2" s="189"/>
      <c r="L2" s="189"/>
      <c r="M2" s="189"/>
      <c r="N2" s="189"/>
      <c r="O2" s="189"/>
      <c r="P2" s="189"/>
      <c r="R2" s="189"/>
      <c r="S2" s="189"/>
      <c r="T2" s="189"/>
      <c r="U2" s="189"/>
      <c r="V2" s="189"/>
      <c r="W2" s="189"/>
    </row>
    <row r="3" spans="1:36" s="301" customFormat="1">
      <c r="A3" s="333"/>
      <c r="B3" s="876" t="s">
        <v>127</v>
      </c>
      <c r="C3" s="876"/>
      <c r="D3" s="876"/>
      <c r="E3" s="876"/>
      <c r="F3" s="876"/>
      <c r="G3" s="876"/>
      <c r="H3" s="876"/>
      <c r="I3" s="876"/>
      <c r="J3" s="876"/>
      <c r="K3" s="876"/>
      <c r="L3" s="876"/>
      <c r="M3" s="876"/>
      <c r="N3" s="876"/>
      <c r="O3" s="876"/>
      <c r="P3" s="876"/>
      <c r="Q3" s="876"/>
      <c r="R3" s="876"/>
      <c r="S3" s="876"/>
      <c r="T3" s="876"/>
      <c r="U3" s="876"/>
      <c r="V3" s="876"/>
      <c r="W3" s="876"/>
      <c r="X3" s="876"/>
      <c r="Y3" s="876"/>
      <c r="Z3" s="876"/>
      <c r="AA3" s="876"/>
      <c r="AB3" s="876"/>
      <c r="AC3" s="876"/>
      <c r="AD3" s="876"/>
      <c r="AE3" s="876"/>
      <c r="AF3" s="876"/>
      <c r="AG3" s="876"/>
      <c r="AH3" s="876"/>
      <c r="AI3" s="876"/>
      <c r="AJ3" s="876"/>
    </row>
    <row r="4" spans="1:36" s="301" customFormat="1">
      <c r="A4" s="334"/>
      <c r="B4" s="876" t="s">
        <v>377</v>
      </c>
      <c r="C4" s="876"/>
      <c r="D4" s="876"/>
      <c r="E4" s="876"/>
      <c r="F4" s="876"/>
      <c r="G4" s="876"/>
      <c r="H4" s="876"/>
      <c r="I4" s="876"/>
      <c r="J4" s="876"/>
      <c r="K4" s="876"/>
      <c r="L4" s="876"/>
      <c r="M4" s="876"/>
      <c r="N4" s="876"/>
      <c r="O4" s="876"/>
      <c r="P4" s="876"/>
      <c r="Q4" s="876"/>
      <c r="R4" s="876"/>
      <c r="S4" s="876"/>
      <c r="T4" s="876"/>
      <c r="U4" s="876"/>
      <c r="V4" s="876"/>
      <c r="W4" s="876"/>
      <c r="X4" s="876"/>
      <c r="Y4" s="876"/>
      <c r="Z4" s="876"/>
      <c r="AA4" s="876"/>
      <c r="AB4" s="876"/>
      <c r="AC4" s="876"/>
      <c r="AD4" s="876"/>
      <c r="AE4" s="876"/>
      <c r="AF4" s="876"/>
      <c r="AG4" s="876"/>
      <c r="AH4" s="876"/>
      <c r="AI4" s="876"/>
      <c r="AJ4" s="876"/>
    </row>
    <row r="5" spans="1:36" s="301" customFormat="1">
      <c r="A5" s="335"/>
      <c r="B5" s="515" t="s">
        <v>128</v>
      </c>
      <c r="C5" s="877">
        <v>1999</v>
      </c>
      <c r="D5" s="877"/>
      <c r="E5" s="877">
        <v>2000</v>
      </c>
      <c r="F5" s="877"/>
      <c r="G5" s="877">
        <v>2001</v>
      </c>
      <c r="H5" s="877"/>
      <c r="I5" s="877">
        <v>2002</v>
      </c>
      <c r="J5" s="877"/>
      <c r="K5" s="877">
        <v>2003</v>
      </c>
      <c r="L5" s="877"/>
      <c r="M5" s="877">
        <v>2004</v>
      </c>
      <c r="N5" s="877"/>
      <c r="O5" s="877">
        <v>2005</v>
      </c>
      <c r="P5" s="877"/>
      <c r="Q5" s="877">
        <v>2006</v>
      </c>
      <c r="R5" s="877"/>
      <c r="S5" s="877">
        <v>2007</v>
      </c>
      <c r="T5" s="877"/>
      <c r="U5" s="877">
        <v>2008</v>
      </c>
      <c r="V5" s="877"/>
      <c r="W5" s="877">
        <v>2009</v>
      </c>
      <c r="X5" s="877"/>
      <c r="Y5" s="877">
        <v>2010</v>
      </c>
      <c r="Z5" s="877"/>
      <c r="AA5" s="877">
        <v>2011</v>
      </c>
      <c r="AB5" s="877"/>
      <c r="AC5" s="877">
        <v>2012</v>
      </c>
      <c r="AD5" s="877"/>
      <c r="AE5" s="877">
        <v>2013</v>
      </c>
      <c r="AF5" s="877"/>
      <c r="AG5" s="877">
        <v>2014</v>
      </c>
      <c r="AH5" s="877"/>
      <c r="AI5" s="877">
        <v>2015</v>
      </c>
      <c r="AJ5" s="877"/>
    </row>
    <row r="6" spans="1:36" s="301" customFormat="1">
      <c r="A6" s="336"/>
      <c r="B6" s="511" t="s">
        <v>32</v>
      </c>
      <c r="C6" s="512">
        <v>66988</v>
      </c>
      <c r="D6" s="513">
        <f>+C6/C9</f>
        <v>0.35538343192127114</v>
      </c>
      <c r="E6" s="512">
        <v>69835</v>
      </c>
      <c r="F6" s="513">
        <f>+E6/E9</f>
        <v>0.35216487982975464</v>
      </c>
      <c r="G6" s="512">
        <v>67320</v>
      </c>
      <c r="H6" s="513">
        <f>+G6/G9</f>
        <v>0.33847685415629669</v>
      </c>
      <c r="I6" s="512">
        <v>68996</v>
      </c>
      <c r="J6" s="513">
        <f>+I6/I9</f>
        <v>0.3435063577253582</v>
      </c>
      <c r="K6" s="512">
        <v>70365</v>
      </c>
      <c r="L6" s="513">
        <f>+K6/K9</f>
        <v>0.34813304901519387</v>
      </c>
      <c r="M6" s="512">
        <v>73459.315952227378</v>
      </c>
      <c r="N6" s="513">
        <f>+M6/M9</f>
        <v>0.34837214787579518</v>
      </c>
      <c r="O6" s="512">
        <v>80206.461333364161</v>
      </c>
      <c r="P6" s="513">
        <f>+O6/O9</f>
        <v>0.36815048203808953</v>
      </c>
      <c r="Q6" s="512">
        <v>81525.950917679933</v>
      </c>
      <c r="R6" s="513">
        <f>+Q6/Q9</f>
        <v>0.35884800047521631</v>
      </c>
      <c r="S6" s="512">
        <v>86923.772350387182</v>
      </c>
      <c r="T6" s="513">
        <f>+S6/S9</f>
        <v>0.36077183773090821</v>
      </c>
      <c r="U6" s="512">
        <v>89947.43432065571</v>
      </c>
      <c r="V6" s="513">
        <f>+U6/U9</f>
        <v>0.36727890608869196</v>
      </c>
      <c r="W6" s="512">
        <v>86166.660186545327</v>
      </c>
      <c r="X6" s="513">
        <f>+W6/W9</f>
        <v>0.36004226171841341</v>
      </c>
      <c r="Y6" s="512">
        <v>83958.265846542417</v>
      </c>
      <c r="Z6" s="513">
        <f>+Y6/Y9</f>
        <v>0.34242394229494122</v>
      </c>
      <c r="AA6" s="512">
        <v>87189</v>
      </c>
      <c r="AB6" s="513">
        <f>+AA6/AA9</f>
        <v>0.3367345756493193</v>
      </c>
      <c r="AC6" s="518">
        <v>87707</v>
      </c>
      <c r="AD6" s="513">
        <f>+AC6/AC9</f>
        <v>0.33224613799425717</v>
      </c>
      <c r="AE6" s="514">
        <v>93909.973596155542</v>
      </c>
      <c r="AF6" s="513">
        <f>+AE6/AE9</f>
        <v>0.33847842106121601</v>
      </c>
      <c r="AG6" s="512">
        <v>88474.255598345102</v>
      </c>
      <c r="AH6" s="513">
        <f>+AG6/AG9</f>
        <v>0.31487734510626675</v>
      </c>
      <c r="AI6" s="512">
        <f>+'Balance de energía'!AC40</f>
        <v>91707.271545836542</v>
      </c>
      <c r="AJ6" s="513">
        <f>+AI6/AI9</f>
        <v>0.35085644075367339</v>
      </c>
    </row>
    <row r="7" spans="1:36" s="301" customFormat="1">
      <c r="A7" s="337"/>
      <c r="B7" s="511" t="s">
        <v>129</v>
      </c>
      <c r="C7" s="512">
        <v>68838</v>
      </c>
      <c r="D7" s="513">
        <f>+C7/C9</f>
        <v>0.36519801586248973</v>
      </c>
      <c r="E7" s="512">
        <v>74210</v>
      </c>
      <c r="F7" s="513">
        <f>+E7/E9</f>
        <v>0.37422718883319384</v>
      </c>
      <c r="G7" s="512">
        <v>75289</v>
      </c>
      <c r="H7" s="513">
        <f>+G7/G9</f>
        <v>0.3785440266276503</v>
      </c>
      <c r="I7" s="512">
        <v>75672</v>
      </c>
      <c r="J7" s="513">
        <f>+I7/I9</f>
        <v>0.3767437692300033</v>
      </c>
      <c r="K7" s="512">
        <v>75584</v>
      </c>
      <c r="L7" s="513">
        <f>+K7/K9</f>
        <v>0.37395421554415426</v>
      </c>
      <c r="M7" s="512">
        <v>78536.906260316391</v>
      </c>
      <c r="N7" s="513">
        <f>+M7/M9</f>
        <v>0.37245202145932604</v>
      </c>
      <c r="O7" s="512">
        <v>78634.325018109259</v>
      </c>
      <c r="P7" s="513">
        <f>+O7/O9</f>
        <v>0.36093432098735984</v>
      </c>
      <c r="Q7" s="512">
        <v>85627.638450679166</v>
      </c>
      <c r="R7" s="513">
        <f>+Q7/Q9</f>
        <v>0.37690215811732852</v>
      </c>
      <c r="S7" s="512">
        <v>91747.576933569479</v>
      </c>
      <c r="T7" s="513">
        <f>+S7/S9</f>
        <v>0.38079274567441512</v>
      </c>
      <c r="U7" s="512">
        <v>92581.754915774291</v>
      </c>
      <c r="V7" s="513">
        <f>+U7/U9</f>
        <v>0.37803552626101278</v>
      </c>
      <c r="W7" s="512">
        <v>89536.291420555222</v>
      </c>
      <c r="X7" s="513">
        <f>+W7/W9</f>
        <v>0.37412206529932757</v>
      </c>
      <c r="Y7" s="512">
        <v>94243.59035602551</v>
      </c>
      <c r="Z7" s="513">
        <f>+Y7/Y9</f>
        <v>0.38437265730005254</v>
      </c>
      <c r="AA7" s="512">
        <v>100326</v>
      </c>
      <c r="AB7" s="513">
        <f>+AA7/AA9</f>
        <v>0.38747127546586851</v>
      </c>
      <c r="AC7" s="518">
        <v>102684</v>
      </c>
      <c r="AD7" s="513">
        <f>+AC7/AC9</f>
        <v>0.38898106689092438</v>
      </c>
      <c r="AE7" s="514">
        <v>108425.42551055172</v>
      </c>
      <c r="AF7" s="513">
        <f>+AE7/AE9</f>
        <v>0.39079626395725486</v>
      </c>
      <c r="AG7" s="512">
        <v>127438.79615697826</v>
      </c>
      <c r="AH7" s="513">
        <f>+AG7/AG9</f>
        <v>0.45355103047850465</v>
      </c>
      <c r="AI7" s="512">
        <f>+'Balance de energía'!AC28</f>
        <v>110038.21404759859</v>
      </c>
      <c r="AJ7" s="513">
        <f>+AI7/AI9</f>
        <v>0.42098751251513028</v>
      </c>
    </row>
    <row r="8" spans="1:36" s="301" customFormat="1">
      <c r="A8" s="337"/>
      <c r="B8" s="511" t="s">
        <v>130</v>
      </c>
      <c r="C8" s="512">
        <v>52669</v>
      </c>
      <c r="D8" s="513">
        <f>+C8/C9</f>
        <v>0.27941855221623918</v>
      </c>
      <c r="E8" s="512">
        <v>54257</v>
      </c>
      <c r="F8" s="513">
        <f>+E8/E9</f>
        <v>0.27360793133705158</v>
      </c>
      <c r="G8" s="512">
        <v>56282</v>
      </c>
      <c r="H8" s="513">
        <f>+G8/G9</f>
        <v>0.28297911921605301</v>
      </c>
      <c r="I8" s="512">
        <v>56190</v>
      </c>
      <c r="J8" s="513">
        <f>+I8/I9</f>
        <v>0.2797498730446385</v>
      </c>
      <c r="K8" s="512">
        <v>56172</v>
      </c>
      <c r="L8" s="513">
        <f>+K8/K9</f>
        <v>0.27791273544065187</v>
      </c>
      <c r="M8" s="512">
        <v>58868.26968253668</v>
      </c>
      <c r="N8" s="513">
        <f>+M8/M9</f>
        <v>0.27917583066487878</v>
      </c>
      <c r="O8" s="512">
        <v>59022.465896192669</v>
      </c>
      <c r="P8" s="513">
        <f>+O8/O9</f>
        <v>0.27091519697455063</v>
      </c>
      <c r="Q8" s="512">
        <v>60034.386626258405</v>
      </c>
      <c r="R8" s="513">
        <f>+Q8/Q9</f>
        <v>0.26424984140745517</v>
      </c>
      <c r="S8" s="512">
        <v>62267.003601618948</v>
      </c>
      <c r="T8" s="513">
        <f>+S8/S9</f>
        <v>0.25843541659467667</v>
      </c>
      <c r="U8" s="512">
        <v>62373.071224275154</v>
      </c>
      <c r="V8" s="513">
        <f>+U8/U9</f>
        <v>0.25468556765029526</v>
      </c>
      <c r="W8" s="512">
        <v>63620.787154255406</v>
      </c>
      <c r="X8" s="513">
        <f>+W8/W9</f>
        <v>0.26583567298225902</v>
      </c>
      <c r="Y8" s="512">
        <v>66986.214712830712</v>
      </c>
      <c r="Z8" s="513">
        <f>+Y8/Y9</f>
        <v>0.27320340040500618</v>
      </c>
      <c r="AA8" s="512">
        <v>71410</v>
      </c>
      <c r="AB8" s="513">
        <f>+AA8/AA9</f>
        <v>0.27579414888481218</v>
      </c>
      <c r="AC8" s="518">
        <v>73591</v>
      </c>
      <c r="AD8" s="513">
        <f>+AC8/AC9</f>
        <v>0.27877279511481845</v>
      </c>
      <c r="AE8" s="514">
        <v>75112.047326432774</v>
      </c>
      <c r="AF8" s="513">
        <f>+AE8/AE9</f>
        <v>0.27072531498152919</v>
      </c>
      <c r="AG8" s="512">
        <v>65067.009126752018</v>
      </c>
      <c r="AH8" s="513">
        <f>+AG8/AG9</f>
        <v>0.23157162441522855</v>
      </c>
      <c r="AI8" s="512">
        <f>+'Balance de energía'!AC45</f>
        <v>59635.697402209742</v>
      </c>
      <c r="AJ8" s="513">
        <f>+AI8/AI9</f>
        <v>0.22815604673119638</v>
      </c>
    </row>
    <row r="9" spans="1:36" s="301" customFormat="1">
      <c r="A9" s="337"/>
      <c r="B9" s="516" t="s">
        <v>33</v>
      </c>
      <c r="C9" s="517">
        <f>SUM(C6:C8)</f>
        <v>188495</v>
      </c>
      <c r="D9" s="517"/>
      <c r="E9" s="517">
        <f>SUM(E6:E8)</f>
        <v>198302</v>
      </c>
      <c r="F9" s="517"/>
      <c r="G9" s="517">
        <f>SUM(G6:G8)</f>
        <v>198891</v>
      </c>
      <c r="H9" s="517"/>
      <c r="I9" s="517">
        <f>SUM(I6:I8)</f>
        <v>200858</v>
      </c>
      <c r="J9" s="517"/>
      <c r="K9" s="517">
        <f>SUM(K6:K8)</f>
        <v>202121</v>
      </c>
      <c r="L9" s="517"/>
      <c r="M9" s="517">
        <f>SUM(M6:M8)</f>
        <v>210864.49189508046</v>
      </c>
      <c r="N9" s="517"/>
      <c r="O9" s="517">
        <f>SUM(O6:O8)</f>
        <v>217863.2522476661</v>
      </c>
      <c r="P9" s="517"/>
      <c r="Q9" s="517">
        <f>SUM(Q6:Q8)</f>
        <v>227187.9759946175</v>
      </c>
      <c r="R9" s="517"/>
      <c r="S9" s="517">
        <f>SUM(S6:S8)</f>
        <v>240938.35288557562</v>
      </c>
      <c r="T9" s="517"/>
      <c r="U9" s="517">
        <f>SUM(U6:U8)</f>
        <v>244902.26046070515</v>
      </c>
      <c r="V9" s="517"/>
      <c r="W9" s="517">
        <f>SUM(W6:W8)</f>
        <v>239323.73876135595</v>
      </c>
      <c r="X9" s="517"/>
      <c r="Y9" s="517">
        <f>SUM(Y6:Y8)</f>
        <v>245188.07091539865</v>
      </c>
      <c r="Z9" s="517"/>
      <c r="AA9" s="517">
        <f>SUM(AA6:AA8)</f>
        <v>258925</v>
      </c>
      <c r="AB9" s="517"/>
      <c r="AC9" s="517">
        <f>SUM(AC6:AC8)</f>
        <v>263982</v>
      </c>
      <c r="AD9" s="517"/>
      <c r="AE9" s="517">
        <f>SUM(AE6:AE8)</f>
        <v>277447.44643314002</v>
      </c>
      <c r="AF9" s="517"/>
      <c r="AG9" s="517">
        <f>SUM(AG6:AG8)</f>
        <v>280980.0608820754</v>
      </c>
      <c r="AH9" s="517"/>
      <c r="AI9" s="517">
        <f>SUM(AI6:AI8)</f>
        <v>261381.18299564486</v>
      </c>
      <c r="AJ9" s="517"/>
    </row>
    <row r="10" spans="1:36" s="301" customFormat="1">
      <c r="A10" s="336"/>
      <c r="B10" s="338" t="s">
        <v>131</v>
      </c>
      <c r="C10" s="338"/>
      <c r="D10" s="339"/>
      <c r="E10" s="340"/>
      <c r="F10" s="339"/>
      <c r="G10" s="338"/>
      <c r="H10" s="339"/>
      <c r="I10" s="338"/>
      <c r="J10" s="339"/>
      <c r="K10" s="338"/>
      <c r="L10" s="339"/>
      <c r="M10" s="338"/>
      <c r="N10" s="338"/>
      <c r="O10" s="338"/>
      <c r="P10" s="338"/>
      <c r="Q10" s="338"/>
      <c r="R10" s="338"/>
      <c r="S10" s="338"/>
      <c r="T10" s="338"/>
      <c r="U10" s="338"/>
      <c r="V10" s="338"/>
      <c r="W10" s="338"/>
      <c r="X10" s="207"/>
      <c r="Y10" s="207"/>
      <c r="Z10" s="207"/>
      <c r="AA10" s="207"/>
    </row>
    <row r="11" spans="1:36" s="301" customFormat="1">
      <c r="A11" s="336"/>
      <c r="B11" s="338"/>
      <c r="C11" s="338"/>
      <c r="D11" s="338"/>
      <c r="E11" s="338"/>
      <c r="F11" s="338"/>
      <c r="G11" s="338"/>
      <c r="H11" s="338"/>
      <c r="I11" s="340"/>
      <c r="J11" s="338"/>
      <c r="K11" s="338"/>
      <c r="L11" s="338"/>
      <c r="M11" s="338"/>
      <c r="N11" s="338"/>
      <c r="O11" s="338"/>
      <c r="P11" s="338"/>
      <c r="Q11" s="338"/>
      <c r="R11" s="338"/>
      <c r="S11" s="338"/>
      <c r="T11" s="338"/>
      <c r="U11" s="338"/>
      <c r="V11" s="338"/>
      <c r="W11" s="338"/>
      <c r="X11" s="207"/>
      <c r="Y11" s="207"/>
      <c r="Z11" s="207"/>
      <c r="AA11" s="207"/>
    </row>
    <row r="12" spans="1:36" s="301" customFormat="1">
      <c r="A12" s="336"/>
      <c r="B12" s="338"/>
      <c r="C12" s="340"/>
      <c r="D12" s="338"/>
      <c r="E12" s="340"/>
      <c r="F12" s="338"/>
      <c r="G12" s="340"/>
      <c r="H12" s="338"/>
      <c r="I12" s="340"/>
      <c r="J12" s="338"/>
      <c r="K12" s="340"/>
      <c r="L12" s="338"/>
      <c r="M12" s="338"/>
      <c r="N12" s="338"/>
      <c r="O12" s="338"/>
      <c r="P12" s="338"/>
      <c r="Q12" s="338"/>
      <c r="R12" s="338"/>
      <c r="S12" s="338"/>
      <c r="T12" s="338"/>
      <c r="U12" s="338"/>
      <c r="V12" s="338"/>
      <c r="W12" s="338"/>
      <c r="X12" s="207"/>
      <c r="Y12" s="207"/>
      <c r="Z12" s="207"/>
      <c r="AA12" s="207"/>
    </row>
    <row r="13" spans="1:36" s="301" customFormat="1">
      <c r="A13" s="336"/>
      <c r="B13" s="341"/>
      <c r="C13" s="205"/>
      <c r="D13" s="205"/>
      <c r="E13" s="205"/>
      <c r="F13" s="205"/>
      <c r="G13" s="205"/>
      <c r="H13" s="205"/>
      <c r="I13" s="205"/>
      <c r="J13" s="205"/>
      <c r="K13" s="205"/>
      <c r="L13" s="205"/>
      <c r="M13" s="205"/>
      <c r="N13" s="205"/>
      <c r="O13" s="205"/>
      <c r="P13" s="205"/>
      <c r="Q13" s="205"/>
      <c r="R13" s="205"/>
      <c r="S13" s="205"/>
      <c r="T13" s="205"/>
      <c r="U13" s="205"/>
      <c r="V13" s="205"/>
      <c r="W13" s="205"/>
      <c r="X13" s="207"/>
      <c r="Y13" s="207"/>
      <c r="Z13" s="207"/>
      <c r="AA13" s="207"/>
    </row>
    <row r="14" spans="1:36" s="301" customFormat="1">
      <c r="A14" s="333"/>
      <c r="B14" s="876" t="s">
        <v>132</v>
      </c>
      <c r="C14" s="876"/>
      <c r="D14" s="876"/>
      <c r="E14" s="876"/>
      <c r="F14" s="876"/>
      <c r="G14" s="876"/>
      <c r="H14" s="876"/>
      <c r="I14" s="876"/>
      <c r="J14" s="876"/>
      <c r="K14" s="876"/>
      <c r="L14" s="876"/>
      <c r="M14" s="876"/>
      <c r="N14" s="876"/>
      <c r="O14" s="876"/>
      <c r="P14" s="876"/>
      <c r="Q14" s="876"/>
      <c r="R14" s="876"/>
      <c r="S14" s="876"/>
      <c r="T14" s="531"/>
      <c r="U14" s="531"/>
      <c r="V14" s="531"/>
      <c r="W14" s="531"/>
      <c r="X14" s="532"/>
      <c r="Y14" s="532"/>
      <c r="Z14" s="532"/>
      <c r="AA14" s="532"/>
      <c r="AB14" s="532"/>
      <c r="AC14" s="532"/>
    </row>
    <row r="15" spans="1:36" s="301" customFormat="1">
      <c r="A15" s="334"/>
      <c r="B15" s="876" t="s">
        <v>133</v>
      </c>
      <c r="C15" s="876"/>
      <c r="D15" s="876"/>
      <c r="E15" s="876"/>
      <c r="F15" s="876"/>
      <c r="G15" s="876"/>
      <c r="H15" s="876"/>
      <c r="I15" s="876"/>
      <c r="J15" s="876"/>
      <c r="K15" s="876"/>
      <c r="L15" s="876"/>
      <c r="M15" s="876"/>
      <c r="N15" s="876"/>
      <c r="O15" s="876"/>
      <c r="P15" s="876"/>
      <c r="Q15" s="876"/>
      <c r="R15" s="876"/>
      <c r="S15" s="876"/>
      <c r="T15" s="533"/>
      <c r="U15" s="533"/>
      <c r="V15" s="533"/>
      <c r="W15" s="533"/>
      <c r="X15" s="532"/>
      <c r="Y15" s="532"/>
      <c r="Z15" s="532"/>
      <c r="AA15" s="532"/>
      <c r="AB15" s="532"/>
      <c r="AC15" s="532"/>
    </row>
    <row r="16" spans="1:36" s="301" customFormat="1">
      <c r="A16" s="342"/>
      <c r="B16" s="515" t="s">
        <v>134</v>
      </c>
      <c r="C16" s="522">
        <v>1999</v>
      </c>
      <c r="D16" s="522">
        <v>2000</v>
      </c>
      <c r="E16" s="522">
        <v>2001</v>
      </c>
      <c r="F16" s="522">
        <v>2002</v>
      </c>
      <c r="G16" s="522">
        <v>2003</v>
      </c>
      <c r="H16" s="522">
        <v>2004</v>
      </c>
      <c r="I16" s="522">
        <v>2005</v>
      </c>
      <c r="J16" s="522">
        <v>2006</v>
      </c>
      <c r="K16" s="522">
        <v>2007</v>
      </c>
      <c r="L16" s="522">
        <v>2008</v>
      </c>
      <c r="M16" s="522">
        <v>2009</v>
      </c>
      <c r="N16" s="522">
        <v>2010</v>
      </c>
      <c r="O16" s="522">
        <v>2011</v>
      </c>
      <c r="P16" s="522">
        <v>2012</v>
      </c>
      <c r="Q16" s="522">
        <v>2013</v>
      </c>
      <c r="R16" s="522">
        <v>2014</v>
      </c>
      <c r="S16" s="522">
        <v>2015</v>
      </c>
      <c r="T16" s="526"/>
      <c r="U16" s="527"/>
      <c r="V16" s="526"/>
      <c r="W16" s="527"/>
      <c r="X16" s="526"/>
      <c r="Y16" s="526"/>
      <c r="Z16" s="526"/>
      <c r="AA16" s="532"/>
      <c r="AB16" s="532"/>
      <c r="AC16" s="532"/>
    </row>
    <row r="17" spans="1:29" s="301" customFormat="1">
      <c r="A17" s="336"/>
      <c r="B17" s="519" t="s">
        <v>308</v>
      </c>
      <c r="C17" s="520">
        <v>177627</v>
      </c>
      <c r="D17" s="512">
        <v>172937</v>
      </c>
      <c r="E17" s="520">
        <v>162964</v>
      </c>
      <c r="F17" s="512">
        <v>172073</v>
      </c>
      <c r="G17" s="520">
        <v>177969</v>
      </c>
      <c r="H17" s="512">
        <v>206149.64292894548</v>
      </c>
      <c r="I17" s="520">
        <v>202470.97977233792</v>
      </c>
      <c r="J17" s="512">
        <v>206548.81798173679</v>
      </c>
      <c r="K17" s="520">
        <v>231407.20710380105</v>
      </c>
      <c r="L17" s="512">
        <v>225470.60048185301</v>
      </c>
      <c r="M17" s="520">
        <v>204886.38187718764</v>
      </c>
      <c r="N17" s="520">
        <v>230768.46141986601</v>
      </c>
      <c r="O17" s="520">
        <v>257082</v>
      </c>
      <c r="P17" s="520">
        <v>260369</v>
      </c>
      <c r="Q17" s="520">
        <v>266151</v>
      </c>
      <c r="R17" s="521">
        <v>250792.43657765994</v>
      </c>
      <c r="S17" s="521">
        <f>+(CUADRO3!D15-CUADRO3!E15)+(CUADRO4!D7-CUADRO4!E7)+(CUADRO4!D20-CUADRO4!E20)+(CUADRO4!D25-CUADRO4!E25)+(CUADRO4!D24-CUADRO4!E24)</f>
        <v>254090.48936634409</v>
      </c>
      <c r="T17" s="528"/>
      <c r="U17" s="529"/>
      <c r="V17" s="528"/>
      <c r="W17" s="529"/>
      <c r="X17" s="528"/>
      <c r="Y17" s="528"/>
      <c r="Z17" s="528"/>
      <c r="AA17" s="532"/>
      <c r="AB17" s="532"/>
      <c r="AC17" s="532"/>
    </row>
    <row r="18" spans="1:29" s="301" customFormat="1">
      <c r="A18" s="337"/>
      <c r="B18" s="519" t="s">
        <v>309</v>
      </c>
      <c r="C18" s="520">
        <v>252315</v>
      </c>
      <c r="D18" s="512">
        <v>252948</v>
      </c>
      <c r="E18" s="520">
        <v>248145</v>
      </c>
      <c r="F18" s="512">
        <v>257841</v>
      </c>
      <c r="G18" s="520">
        <v>260462</v>
      </c>
      <c r="H18" s="512">
        <v>274351.09117164084</v>
      </c>
      <c r="I18" s="520">
        <v>288130.36977731949</v>
      </c>
      <c r="J18" s="512">
        <v>290727.76629557781</v>
      </c>
      <c r="K18" s="520">
        <v>304796.64569840155</v>
      </c>
      <c r="L18" s="512">
        <v>313541.01276639989</v>
      </c>
      <c r="M18" s="520">
        <v>301594.74168118299</v>
      </c>
      <c r="N18" s="520">
        <v>303924.24572192359</v>
      </c>
      <c r="O18" s="520">
        <v>339836</v>
      </c>
      <c r="P18" s="520">
        <v>388662</v>
      </c>
      <c r="Q18" s="520">
        <v>410464</v>
      </c>
      <c r="R18" s="523">
        <v>401360.26068528683</v>
      </c>
      <c r="S18" s="524">
        <f>+CUADRO3!G15+SUM(CUADRO4!D7,CUADRO4!D20,CUADRO4!D24)-SUM(CUADRO4!E7,CUADRO4!E20,CUADRO4!F7,CUADRO4!F20)</f>
        <v>376434.71268645156</v>
      </c>
      <c r="T18" s="528"/>
      <c r="U18" s="529"/>
      <c r="V18" s="528"/>
      <c r="W18" s="529"/>
      <c r="X18" s="528"/>
      <c r="Y18" s="528"/>
      <c r="Z18" s="528"/>
      <c r="AA18" s="532"/>
      <c r="AB18" s="532"/>
      <c r="AC18" s="532"/>
    </row>
    <row r="19" spans="1:29" s="301" customFormat="1">
      <c r="A19" s="337"/>
      <c r="B19" s="519" t="s">
        <v>310</v>
      </c>
      <c r="C19" s="525">
        <f>C17/C18</f>
        <v>0.70398906129243211</v>
      </c>
      <c r="D19" s="525">
        <f t="shared" ref="D19:R19" si="0">D17/D18</f>
        <v>0.68368597498300043</v>
      </c>
      <c r="E19" s="525">
        <f t="shared" si="0"/>
        <v>0.65672892865058741</v>
      </c>
      <c r="F19" s="525">
        <f t="shared" si="0"/>
        <v>0.66736089295340928</v>
      </c>
      <c r="G19" s="525">
        <f t="shared" si="0"/>
        <v>0.68328201426695645</v>
      </c>
      <c r="H19" s="525">
        <f t="shared" si="0"/>
        <v>0.75140813928811079</v>
      </c>
      <c r="I19" s="525">
        <f t="shared" si="0"/>
        <v>0.70270613933830328</v>
      </c>
      <c r="J19" s="525">
        <f t="shared" si="0"/>
        <v>0.71045439042015079</v>
      </c>
      <c r="K19" s="525">
        <f t="shared" si="0"/>
        <v>0.75921835220188127</v>
      </c>
      <c r="L19" s="525">
        <f t="shared" si="0"/>
        <v>0.71911039162789614</v>
      </c>
      <c r="M19" s="525">
        <f t="shared" si="0"/>
        <v>0.67934334907527616</v>
      </c>
      <c r="N19" s="525">
        <f t="shared" si="0"/>
        <v>0.75929599124845182</v>
      </c>
      <c r="O19" s="525">
        <f t="shared" si="0"/>
        <v>0.75648842382796411</v>
      </c>
      <c r="P19" s="525">
        <f t="shared" si="0"/>
        <v>0.66991113100843402</v>
      </c>
      <c r="Q19" s="525">
        <f t="shared" si="0"/>
        <v>0.64841496452794889</v>
      </c>
      <c r="R19" s="525">
        <f t="shared" si="0"/>
        <v>0.62485617322814724</v>
      </c>
      <c r="S19" s="525">
        <f>S17/S18</f>
        <v>0.67499218537262484</v>
      </c>
      <c r="T19" s="530"/>
      <c r="U19" s="529"/>
      <c r="V19" s="530"/>
      <c r="W19" s="529"/>
      <c r="X19" s="530"/>
      <c r="Y19" s="530"/>
      <c r="Z19" s="530"/>
      <c r="AA19" s="532"/>
      <c r="AB19" s="532"/>
      <c r="AC19" s="532"/>
    </row>
    <row r="20" spans="1:29">
      <c r="A20" s="224"/>
      <c r="N20" s="245"/>
      <c r="O20" s="245"/>
      <c r="P20" s="223"/>
      <c r="Q20" s="223"/>
      <c r="R20" s="223"/>
      <c r="S20" s="223"/>
      <c r="T20" s="534"/>
      <c r="U20" s="534"/>
      <c r="V20" s="534"/>
      <c r="W20" s="534"/>
      <c r="X20" s="350"/>
      <c r="Y20" s="350"/>
      <c r="Z20" s="350"/>
      <c r="AA20" s="350"/>
      <c r="AB20" s="350"/>
      <c r="AC20" s="350"/>
    </row>
    <row r="21" spans="1:29" ht="45" customHeight="1">
      <c r="A21" s="224"/>
      <c r="B21" s="878" t="s">
        <v>629</v>
      </c>
      <c r="C21" s="878"/>
      <c r="D21" s="878"/>
      <c r="E21" s="878"/>
      <c r="F21" s="878"/>
      <c r="G21" s="878"/>
      <c r="H21" s="878"/>
      <c r="I21" s="878"/>
      <c r="J21" s="878"/>
      <c r="K21" s="878"/>
      <c r="L21" s="878"/>
      <c r="M21" s="878"/>
      <c r="N21" s="223"/>
      <c r="O21" s="223"/>
      <c r="P21" s="223"/>
      <c r="Q21" s="223"/>
      <c r="R21" s="223"/>
      <c r="S21" s="223"/>
      <c r="T21" s="534"/>
      <c r="U21" s="534"/>
      <c r="V21" s="534"/>
      <c r="W21" s="534"/>
      <c r="X21" s="350"/>
      <c r="Y21" s="350"/>
      <c r="Z21" s="350"/>
      <c r="AA21" s="350"/>
      <c r="AB21" s="350"/>
      <c r="AC21" s="350"/>
    </row>
    <row r="22" spans="1:29">
      <c r="A22" s="224"/>
      <c r="B22" s="343" t="s">
        <v>311</v>
      </c>
      <c r="C22" s="20"/>
      <c r="D22" s="20"/>
      <c r="E22" s="20"/>
      <c r="F22" s="20"/>
      <c r="G22" s="20"/>
      <c r="H22" s="20"/>
      <c r="I22" s="20"/>
      <c r="J22" s="20"/>
      <c r="K22" s="20"/>
      <c r="L22" s="20"/>
      <c r="M22" s="20"/>
      <c r="N22" s="223"/>
      <c r="O22" s="223"/>
      <c r="P22" s="223"/>
      <c r="Q22" s="223"/>
      <c r="R22" s="223"/>
      <c r="S22" s="223"/>
      <c r="T22" s="223"/>
      <c r="U22" s="223"/>
      <c r="V22" s="223"/>
      <c r="W22" s="223"/>
    </row>
    <row r="23" spans="1:29">
      <c r="A23" s="224"/>
      <c r="B23" s="223"/>
      <c r="C23" s="223"/>
      <c r="D23" s="223"/>
      <c r="E23" s="223"/>
      <c r="F23" s="223"/>
      <c r="G23" s="223"/>
      <c r="H23" s="223"/>
      <c r="I23" s="223"/>
      <c r="J23" s="223"/>
      <c r="K23" s="223"/>
      <c r="L23" s="223"/>
      <c r="M23" s="223"/>
      <c r="N23" s="223"/>
      <c r="O23" s="223"/>
      <c r="P23" s="223"/>
      <c r="Q23" s="223"/>
      <c r="S23" s="223"/>
      <c r="T23" s="223"/>
      <c r="U23" s="223"/>
      <c r="V23" s="223"/>
      <c r="W23" s="223"/>
    </row>
    <row r="24" spans="1:29">
      <c r="A24" s="224"/>
      <c r="B24" s="128" t="s">
        <v>229</v>
      </c>
      <c r="C24" s="223"/>
      <c r="D24" s="223"/>
      <c r="E24" s="223"/>
      <c r="F24" s="223"/>
      <c r="G24" s="223"/>
      <c r="H24" s="223"/>
      <c r="I24" s="223"/>
      <c r="J24" s="223"/>
      <c r="K24" s="223"/>
      <c r="L24" s="223"/>
      <c r="M24" s="223"/>
      <c r="N24" s="223"/>
      <c r="O24" s="223"/>
      <c r="P24" s="223"/>
      <c r="Q24" s="223"/>
      <c r="R24" s="223"/>
      <c r="S24" s="223"/>
      <c r="T24" s="223"/>
      <c r="U24" s="223"/>
      <c r="V24" s="223"/>
      <c r="W24" s="223"/>
    </row>
    <row r="25" spans="1:29">
      <c r="A25" s="224"/>
      <c r="B25" s="223"/>
      <c r="C25" s="223"/>
      <c r="D25" s="223"/>
      <c r="E25" s="223"/>
      <c r="F25" s="223"/>
      <c r="G25" s="223"/>
      <c r="H25" s="223"/>
      <c r="I25" s="223"/>
      <c r="J25" s="223"/>
      <c r="K25" s="223"/>
      <c r="L25" s="223"/>
      <c r="M25" s="223"/>
      <c r="N25" s="223"/>
      <c r="O25" s="223"/>
      <c r="P25" s="223"/>
      <c r="Q25" s="223"/>
      <c r="R25" s="223"/>
      <c r="S25" s="223"/>
      <c r="T25" s="223"/>
      <c r="U25" s="223"/>
      <c r="V25" s="223"/>
      <c r="W25" s="223"/>
    </row>
    <row r="26" spans="1:29">
      <c r="A26" s="224"/>
      <c r="B26" s="223"/>
      <c r="C26" s="223"/>
      <c r="D26" s="223"/>
      <c r="E26" s="223"/>
      <c r="F26" s="223"/>
      <c r="G26" s="223"/>
      <c r="H26" s="223"/>
      <c r="I26" s="223"/>
      <c r="J26" s="223"/>
      <c r="K26" s="223"/>
      <c r="L26" s="223"/>
      <c r="M26" s="223"/>
      <c r="N26" s="223"/>
      <c r="O26" s="223"/>
      <c r="P26" s="223"/>
      <c r="Q26" s="223"/>
      <c r="R26" s="223"/>
      <c r="S26" s="223"/>
      <c r="T26" s="223"/>
      <c r="U26" s="223"/>
      <c r="V26" s="223"/>
      <c r="W26" s="223"/>
    </row>
    <row r="27" spans="1:29">
      <c r="A27" s="223"/>
      <c r="B27" s="223"/>
      <c r="C27" s="223"/>
      <c r="D27" s="223"/>
      <c r="E27" s="223"/>
      <c r="F27" s="223"/>
      <c r="G27" s="223"/>
      <c r="H27" s="223"/>
      <c r="I27" s="223"/>
      <c r="J27" s="223"/>
      <c r="K27" s="223"/>
      <c r="L27" s="223"/>
      <c r="M27" s="223"/>
      <c r="N27" s="223"/>
      <c r="O27" s="223"/>
      <c r="P27" s="223"/>
      <c r="Q27" s="223"/>
      <c r="R27" s="223"/>
      <c r="S27" s="223"/>
      <c r="T27" s="223"/>
      <c r="U27" s="223"/>
      <c r="V27" s="223"/>
      <c r="W27" s="223"/>
    </row>
    <row r="28" spans="1:29">
      <c r="A28" s="223"/>
      <c r="B28" s="223"/>
      <c r="C28" s="223"/>
      <c r="D28" s="223"/>
      <c r="E28" s="223"/>
      <c r="F28" s="223"/>
      <c r="G28" s="223"/>
      <c r="H28" s="223"/>
      <c r="I28" s="223"/>
      <c r="J28" s="223"/>
      <c r="K28" s="223"/>
      <c r="L28" s="223"/>
      <c r="M28" s="223"/>
      <c r="N28" s="223"/>
      <c r="O28" s="223"/>
      <c r="P28" s="223"/>
      <c r="Q28" s="223"/>
      <c r="R28" s="223"/>
      <c r="S28" s="223"/>
      <c r="T28" s="223"/>
      <c r="U28" s="223"/>
      <c r="V28" s="223"/>
      <c r="W28" s="223"/>
    </row>
    <row r="29" spans="1:29">
      <c r="A29" s="223"/>
      <c r="B29" s="223"/>
      <c r="C29" s="223"/>
      <c r="D29" s="223"/>
      <c r="E29" s="223"/>
      <c r="F29" s="223"/>
      <c r="G29" s="223"/>
      <c r="H29" s="223"/>
      <c r="I29" s="223"/>
      <c r="J29" s="223"/>
      <c r="K29" s="223"/>
      <c r="L29" s="223"/>
      <c r="M29" s="223"/>
      <c r="N29" s="223"/>
      <c r="O29" s="223"/>
      <c r="P29" s="223"/>
      <c r="Q29" s="223"/>
      <c r="R29" s="223"/>
      <c r="S29" s="223"/>
      <c r="T29" s="223"/>
      <c r="U29" s="223"/>
      <c r="V29" s="223"/>
      <c r="W29" s="223"/>
    </row>
    <row r="30" spans="1:29">
      <c r="A30" s="2"/>
      <c r="B30" s="2"/>
      <c r="C30" s="2"/>
      <c r="D30" s="2"/>
      <c r="E30" s="2"/>
      <c r="F30" s="2"/>
      <c r="G30" s="2"/>
      <c r="H30" s="2"/>
      <c r="I30" s="2"/>
      <c r="J30" s="2"/>
      <c r="K30" s="2"/>
      <c r="L30" s="2"/>
      <c r="M30" s="2"/>
      <c r="N30" s="2"/>
    </row>
    <row r="31" spans="1:29">
      <c r="A31" s="2"/>
      <c r="B31" s="2"/>
      <c r="C31" s="2"/>
      <c r="D31" s="2"/>
      <c r="E31" s="2"/>
      <c r="F31" s="2"/>
      <c r="G31" s="2"/>
      <c r="H31" s="2"/>
      <c r="I31" s="2"/>
      <c r="J31" s="2"/>
      <c r="K31" s="2"/>
      <c r="L31" s="2"/>
      <c r="M31" s="2"/>
      <c r="N31" s="2"/>
    </row>
    <row r="32" spans="1:29">
      <c r="A32" s="2"/>
      <c r="B32" s="2"/>
      <c r="C32" s="2"/>
      <c r="D32" s="2"/>
      <c r="E32" s="2"/>
      <c r="F32" s="2"/>
      <c r="G32" s="2"/>
      <c r="H32" s="2"/>
      <c r="I32" s="2"/>
      <c r="J32" s="2"/>
      <c r="K32" s="2"/>
      <c r="L32" s="2"/>
      <c r="M32" s="2"/>
      <c r="N32" s="2"/>
    </row>
    <row r="33" spans="1:14">
      <c r="A33" s="2"/>
      <c r="B33" s="2"/>
      <c r="C33" s="2"/>
      <c r="D33" s="2"/>
      <c r="E33" s="2"/>
      <c r="F33" s="2"/>
      <c r="G33" s="2"/>
      <c r="H33" s="2"/>
      <c r="I33" s="2"/>
      <c r="J33" s="2"/>
      <c r="K33" s="2"/>
      <c r="L33" s="2"/>
      <c r="M33" s="2"/>
      <c r="N33" s="2"/>
    </row>
    <row r="34" spans="1:14">
      <c r="A34" s="2"/>
      <c r="B34" s="2"/>
      <c r="C34" s="2"/>
      <c r="D34" s="2"/>
      <c r="E34" s="2"/>
      <c r="F34" s="2"/>
      <c r="G34" s="2"/>
      <c r="H34" s="2"/>
      <c r="I34" s="2"/>
      <c r="J34" s="2"/>
      <c r="K34" s="2"/>
      <c r="L34" s="2"/>
      <c r="M34" s="2"/>
      <c r="N34" s="2"/>
    </row>
    <row r="35" spans="1:14">
      <c r="A35" s="2"/>
      <c r="B35" s="2"/>
      <c r="C35" s="2"/>
      <c r="D35" s="2"/>
      <c r="E35" s="2"/>
      <c r="F35" s="2"/>
      <c r="G35" s="2"/>
      <c r="H35" s="2"/>
      <c r="I35" s="2"/>
      <c r="J35" s="2"/>
      <c r="K35" s="2"/>
      <c r="L35" s="2"/>
      <c r="M35" s="2"/>
      <c r="N35" s="2"/>
    </row>
    <row r="36" spans="1:14">
      <c r="A36" s="2"/>
      <c r="B36" s="2"/>
      <c r="C36" s="2"/>
      <c r="D36" s="2"/>
      <c r="E36" s="2"/>
      <c r="F36" s="2"/>
      <c r="G36" s="2"/>
      <c r="H36" s="2"/>
      <c r="I36" s="2"/>
      <c r="J36" s="2"/>
      <c r="K36" s="2"/>
      <c r="L36" s="2"/>
      <c r="M36" s="2"/>
      <c r="N36" s="2"/>
    </row>
    <row r="37" spans="1:14">
      <c r="A37" s="2"/>
      <c r="B37" s="2"/>
      <c r="C37" s="2"/>
      <c r="D37" s="2"/>
      <c r="E37" s="2"/>
      <c r="F37" s="2"/>
      <c r="G37" s="2"/>
      <c r="H37" s="2"/>
      <c r="I37" s="2"/>
      <c r="J37" s="2"/>
      <c r="K37" s="2"/>
      <c r="L37" s="2"/>
      <c r="M37" s="2"/>
      <c r="N37" s="2"/>
    </row>
    <row r="38" spans="1:14">
      <c r="A38" s="2"/>
      <c r="B38" s="2"/>
      <c r="C38" s="2"/>
      <c r="D38" s="2"/>
      <c r="E38" s="2"/>
      <c r="F38" s="2"/>
      <c r="G38" s="2"/>
      <c r="H38" s="2"/>
      <c r="I38" s="2"/>
      <c r="J38" s="2"/>
      <c r="K38" s="2"/>
      <c r="L38" s="2"/>
      <c r="M38" s="2"/>
      <c r="N38" s="2"/>
    </row>
    <row r="39" spans="1:14">
      <c r="A39" s="2"/>
      <c r="B39" s="2"/>
      <c r="C39" s="2"/>
      <c r="D39" s="2"/>
      <c r="E39" s="2"/>
      <c r="F39" s="2"/>
      <c r="G39" s="2"/>
      <c r="H39" s="2"/>
      <c r="I39" s="2"/>
      <c r="J39" s="2"/>
      <c r="K39" s="2"/>
      <c r="L39" s="2"/>
      <c r="M39" s="2"/>
      <c r="N39" s="2"/>
    </row>
    <row r="40" spans="1:14">
      <c r="A40" s="2"/>
      <c r="B40" s="2"/>
      <c r="C40" s="2"/>
      <c r="D40" s="2"/>
      <c r="E40" s="2"/>
      <c r="F40" s="2"/>
      <c r="G40" s="2"/>
      <c r="H40" s="2"/>
      <c r="I40" s="2"/>
      <c r="J40" s="2"/>
      <c r="K40" s="2"/>
      <c r="L40" s="2"/>
      <c r="M40" s="2"/>
      <c r="N40" s="2"/>
    </row>
    <row r="41" spans="1:14">
      <c r="A41" s="2"/>
      <c r="B41" s="2"/>
      <c r="C41" s="2"/>
      <c r="D41" s="2"/>
      <c r="E41" s="2"/>
      <c r="F41" s="2"/>
      <c r="G41" s="2"/>
      <c r="H41" s="2"/>
      <c r="I41" s="2"/>
      <c r="J41" s="2"/>
      <c r="K41" s="2"/>
      <c r="L41" s="2"/>
      <c r="M41" s="2"/>
      <c r="N41" s="2"/>
    </row>
    <row r="42" spans="1:14">
      <c r="A42" s="2"/>
      <c r="B42" s="2"/>
      <c r="C42" s="2"/>
      <c r="D42" s="2"/>
      <c r="E42" s="2"/>
      <c r="F42" s="2"/>
      <c r="G42" s="2"/>
      <c r="H42" s="2"/>
      <c r="I42" s="2"/>
      <c r="J42" s="2"/>
      <c r="K42" s="2"/>
      <c r="L42" s="2"/>
      <c r="M42" s="2"/>
      <c r="N42" s="2"/>
    </row>
    <row r="43" spans="1:14">
      <c r="A43" s="2"/>
      <c r="B43" s="2"/>
      <c r="C43" s="2"/>
      <c r="D43" s="2"/>
      <c r="E43" s="2"/>
      <c r="F43" s="2"/>
      <c r="G43" s="2"/>
      <c r="H43" s="2"/>
      <c r="I43" s="2"/>
      <c r="J43" s="2"/>
      <c r="K43" s="2"/>
      <c r="L43" s="2"/>
      <c r="M43" s="2"/>
      <c r="N43" s="2"/>
    </row>
    <row r="44" spans="1:14">
      <c r="A44" s="2"/>
      <c r="B44" s="2"/>
      <c r="C44" s="2"/>
      <c r="D44" s="2"/>
      <c r="E44" s="2"/>
      <c r="F44" s="2"/>
      <c r="G44" s="2"/>
      <c r="H44" s="2"/>
      <c r="I44" s="2"/>
      <c r="J44" s="2"/>
      <c r="K44" s="2"/>
      <c r="L44" s="2"/>
      <c r="M44" s="2"/>
      <c r="N44" s="2"/>
    </row>
    <row r="45" spans="1:14">
      <c r="A45" s="2"/>
      <c r="B45" s="2"/>
      <c r="C45" s="2"/>
      <c r="D45" s="2"/>
      <c r="E45" s="2"/>
      <c r="F45" s="2"/>
      <c r="G45" s="2"/>
      <c r="H45" s="2"/>
      <c r="I45" s="2"/>
      <c r="J45" s="2"/>
      <c r="K45" s="2"/>
      <c r="L45" s="2"/>
      <c r="M45" s="2"/>
      <c r="N45" s="2"/>
    </row>
    <row r="46" spans="1:14">
      <c r="A46" s="2"/>
      <c r="B46" s="2"/>
      <c r="C46" s="2"/>
      <c r="D46" s="2"/>
      <c r="E46" s="2"/>
      <c r="F46" s="2"/>
      <c r="G46" s="2"/>
      <c r="H46" s="2"/>
      <c r="I46" s="2"/>
      <c r="J46" s="2"/>
      <c r="K46" s="2"/>
      <c r="L46" s="2"/>
      <c r="M46" s="2"/>
      <c r="N46" s="2"/>
    </row>
    <row r="47" spans="1:14" s="2" customFormat="1"/>
    <row r="48" spans="1:14" s="2" customFormat="1"/>
  </sheetData>
  <mergeCells count="24">
    <mergeCell ref="M5:N5"/>
    <mergeCell ref="B21:M21"/>
    <mergeCell ref="C5:D5"/>
    <mergeCell ref="E5:F5"/>
    <mergeCell ref="G5:H5"/>
    <mergeCell ref="I5:J5"/>
    <mergeCell ref="B14:S14"/>
    <mergeCell ref="B15:S15"/>
    <mergeCell ref="AI3:AJ3"/>
    <mergeCell ref="AI4:AJ4"/>
    <mergeCell ref="O5:P5"/>
    <mergeCell ref="AG5:AH5"/>
    <mergeCell ref="U5:V5"/>
    <mergeCell ref="AA5:AB5"/>
    <mergeCell ref="B3:AH3"/>
    <mergeCell ref="Q5:R5"/>
    <mergeCell ref="S5:T5"/>
    <mergeCell ref="AE5:AF5"/>
    <mergeCell ref="AI5:AJ5"/>
    <mergeCell ref="B4:AH4"/>
    <mergeCell ref="K5:L5"/>
    <mergeCell ref="W5:X5"/>
    <mergeCell ref="Y5:Z5"/>
    <mergeCell ref="AC5:AD5"/>
  </mergeCells>
  <phoneticPr fontId="0" type="noConversion"/>
  <hyperlinks>
    <hyperlink ref="B24" location="Índice!A1" display="VOLVER A INDICE"/>
  </hyperlinks>
  <pageMargins left="0.75" right="0.75" top="1" bottom="1" header="0" footer="0"/>
  <pageSetup scale="72" orientation="portrait" r:id="rId1"/>
  <headerFooter alignWithMargins="0"/>
  <ignoredErrors>
    <ignoredError sqref="C9:U9 W9:AE9 AG9" formulaRange="1"/>
    <ignoredError sqref="AI6:AI8"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B1:W47"/>
  <sheetViews>
    <sheetView workbookViewId="0"/>
  </sheetViews>
  <sheetFormatPr baseColWidth="10" defaultRowHeight="12.75"/>
  <cols>
    <col min="1" max="1" width="1.5703125" style="134" customWidth="1"/>
    <col min="2" max="2" width="5" style="134" customWidth="1"/>
    <col min="3" max="3" width="11.42578125" style="134"/>
    <col min="4" max="4" width="12.7109375" style="134" customWidth="1"/>
    <col min="5" max="5" width="12.42578125" style="134" customWidth="1"/>
    <col min="6" max="7" width="11.42578125" style="134"/>
    <col min="8" max="14" width="11.42578125" style="2"/>
    <col min="15" max="15" width="9.5703125" style="2" customWidth="1"/>
    <col min="16" max="16" width="9.42578125" style="2" customWidth="1"/>
    <col min="17" max="17" width="11.42578125" style="2"/>
    <col min="18" max="18" width="6.42578125" style="2" customWidth="1"/>
    <col min="19" max="19" width="11.42578125" style="2"/>
    <col min="20" max="21" width="11.42578125" style="134"/>
    <col min="22" max="22" width="9.42578125" style="134" customWidth="1"/>
    <col min="23" max="16384" width="11.42578125" style="134"/>
  </cols>
  <sheetData>
    <row r="1" spans="2:23" s="2" customFormat="1"/>
    <row r="2" spans="2:23" s="2" customFormat="1">
      <c r="C2" s="2" t="s">
        <v>295</v>
      </c>
      <c r="H2" s="2" t="s">
        <v>296</v>
      </c>
    </row>
    <row r="3" spans="2:23" s="2" customFormat="1">
      <c r="C3" s="229" t="s">
        <v>20</v>
      </c>
      <c r="D3" s="229" t="s">
        <v>21</v>
      </c>
      <c r="E3" s="229" t="s">
        <v>22</v>
      </c>
      <c r="F3" s="229" t="s">
        <v>27</v>
      </c>
      <c r="G3" s="230" t="s">
        <v>23</v>
      </c>
      <c r="H3" s="233" t="s">
        <v>20</v>
      </c>
      <c r="I3" s="233" t="s">
        <v>21</v>
      </c>
      <c r="J3" s="233" t="s">
        <v>22</v>
      </c>
      <c r="K3" s="234" t="s">
        <v>27</v>
      </c>
      <c r="L3" s="235" t="s">
        <v>23</v>
      </c>
      <c r="M3" s="235" t="s">
        <v>23</v>
      </c>
      <c r="N3" s="235" t="s">
        <v>23</v>
      </c>
      <c r="O3" s="21" t="s">
        <v>298</v>
      </c>
      <c r="P3" s="21" t="s">
        <v>299</v>
      </c>
      <c r="Q3" s="242" t="s">
        <v>300</v>
      </c>
      <c r="S3" s="2" t="s">
        <v>303</v>
      </c>
      <c r="T3" s="21" t="s">
        <v>301</v>
      </c>
      <c r="U3" s="21" t="s">
        <v>304</v>
      </c>
      <c r="V3" s="21" t="s">
        <v>305</v>
      </c>
      <c r="W3" s="242" t="s">
        <v>306</v>
      </c>
    </row>
    <row r="4" spans="2:23" s="2" customFormat="1">
      <c r="C4" s="231" t="s">
        <v>24</v>
      </c>
      <c r="D4" s="231"/>
      <c r="E4" s="231"/>
      <c r="F4" s="231" t="s">
        <v>25</v>
      </c>
      <c r="G4" s="232" t="s">
        <v>26</v>
      </c>
      <c r="H4" s="236" t="s">
        <v>24</v>
      </c>
      <c r="I4" s="237"/>
      <c r="J4" s="237"/>
      <c r="K4" s="236" t="s">
        <v>28</v>
      </c>
      <c r="L4" s="238" t="s">
        <v>29</v>
      </c>
      <c r="M4" s="238" t="s">
        <v>297</v>
      </c>
      <c r="N4" s="239" t="s">
        <v>30</v>
      </c>
      <c r="O4" s="21"/>
      <c r="P4" s="21" t="s">
        <v>307</v>
      </c>
      <c r="Q4" s="242" t="s">
        <v>17</v>
      </c>
      <c r="S4" s="2" t="s">
        <v>302</v>
      </c>
      <c r="W4" s="242"/>
    </row>
    <row r="5" spans="2:23" s="2" customFormat="1">
      <c r="B5" s="2">
        <v>1999</v>
      </c>
      <c r="C5" s="241">
        <v>79897</v>
      </c>
      <c r="D5" s="241">
        <v>170831</v>
      </c>
      <c r="E5" s="241">
        <v>0</v>
      </c>
      <c r="F5" s="241">
        <v>5186</v>
      </c>
      <c r="G5" s="241">
        <v>245542</v>
      </c>
      <c r="H5" s="240">
        <v>279493</v>
      </c>
      <c r="I5" s="240">
        <v>21403</v>
      </c>
      <c r="J5" s="240">
        <v>14607</v>
      </c>
      <c r="K5" s="240">
        <v>23</v>
      </c>
      <c r="L5" s="240">
        <v>188495</v>
      </c>
      <c r="M5" s="240">
        <v>97771</v>
      </c>
      <c r="N5" s="240">
        <v>286266</v>
      </c>
      <c r="O5" s="34">
        <f>G5+I5-J5-K5</f>
        <v>252315</v>
      </c>
      <c r="P5" s="34">
        <f>D5+I5-J5</f>
        <v>177627</v>
      </c>
      <c r="Q5" s="243">
        <f>P5/O5</f>
        <v>0.70398906129243211</v>
      </c>
      <c r="R5" s="2">
        <v>70.412022135189559</v>
      </c>
      <c r="S5" s="244">
        <f>C5/(D5+C5)</f>
        <v>0.31866006189974794</v>
      </c>
      <c r="T5" s="34">
        <f>C5-F5*S5-J5-K5*S5</f>
        <v>63630.099737564211</v>
      </c>
      <c r="U5" s="34">
        <f>D5-F5*(1-S5)+I5-K5*(1-S5)</f>
        <v>188684.90026243578</v>
      </c>
      <c r="V5" s="34">
        <f>T5+U5</f>
        <v>252315</v>
      </c>
      <c r="W5" s="243">
        <f>U5/V5</f>
        <v>0.7478148356714257</v>
      </c>
    </row>
    <row r="6" spans="2:23" s="2" customFormat="1">
      <c r="B6" s="2">
        <v>2000</v>
      </c>
      <c r="C6" s="241">
        <v>88171</v>
      </c>
      <c r="D6" s="241">
        <v>176699</v>
      </c>
      <c r="E6" s="241">
        <v>0</v>
      </c>
      <c r="F6" s="241">
        <v>8140</v>
      </c>
      <c r="G6" s="241">
        <v>256730</v>
      </c>
      <c r="H6" s="240">
        <v>292263</v>
      </c>
      <c r="I6" s="240">
        <v>21837</v>
      </c>
      <c r="J6" s="240">
        <v>25599</v>
      </c>
      <c r="K6" s="240">
        <v>20</v>
      </c>
      <c r="L6" s="240">
        <v>198302</v>
      </c>
      <c r="M6" s="240">
        <v>90179</v>
      </c>
      <c r="N6" s="240">
        <v>288481</v>
      </c>
      <c r="O6" s="34">
        <f t="shared" ref="O6:O15" si="0">G6+I6-J6-K6</f>
        <v>252948</v>
      </c>
      <c r="P6" s="34">
        <f t="shared" ref="P6:P15" si="1">D6+I6-J6</f>
        <v>172937</v>
      </c>
      <c r="Q6" s="243">
        <f t="shared" ref="Q6:Q15" si="2">P6/O6</f>
        <v>0.68368597498300043</v>
      </c>
      <c r="R6" s="2">
        <v>68.376977427377355</v>
      </c>
      <c r="S6" s="244">
        <f t="shared" ref="S6:S15" si="3">C6/(D6+C6)</f>
        <v>0.33288405632952012</v>
      </c>
      <c r="T6" s="34">
        <f t="shared" ref="T6:T15" si="4">C6-F6*S6-J6-K6*S6</f>
        <v>59855.666100351118</v>
      </c>
      <c r="U6" s="34">
        <f t="shared" ref="U6:U15" si="5">D6-F6*(1-S6)+I6-K6*(1-S6)</f>
        <v>193092.33389964889</v>
      </c>
      <c r="V6" s="34">
        <f t="shared" ref="V6:V15" si="6">T6+U6</f>
        <v>252948</v>
      </c>
      <c r="W6" s="243">
        <f t="shared" ref="W6:W15" si="7">U6/V6</f>
        <v>0.76336770363730444</v>
      </c>
    </row>
    <row r="7" spans="2:23" s="2" customFormat="1">
      <c r="B7" s="2">
        <v>2001</v>
      </c>
      <c r="C7" s="241">
        <v>94111</v>
      </c>
      <c r="D7" s="241">
        <v>173819</v>
      </c>
      <c r="E7" s="241">
        <v>0</v>
      </c>
      <c r="F7" s="241">
        <v>7658</v>
      </c>
      <c r="G7" s="241">
        <v>260272</v>
      </c>
      <c r="H7" s="240">
        <v>299677</v>
      </c>
      <c r="I7" s="240">
        <v>17432</v>
      </c>
      <c r="J7" s="240">
        <v>28287</v>
      </c>
      <c r="K7" s="240">
        <v>1272</v>
      </c>
      <c r="L7" s="240">
        <v>198891</v>
      </c>
      <c r="M7" s="240">
        <v>88659</v>
      </c>
      <c r="N7" s="240">
        <v>287550</v>
      </c>
      <c r="O7" s="34">
        <f t="shared" si="0"/>
        <v>248145</v>
      </c>
      <c r="P7" s="34">
        <f t="shared" si="1"/>
        <v>162964</v>
      </c>
      <c r="Q7" s="243">
        <f t="shared" si="2"/>
        <v>0.65672892865058741</v>
      </c>
      <c r="R7" s="2">
        <v>65.345041902241462</v>
      </c>
      <c r="S7" s="244">
        <f t="shared" si="3"/>
        <v>0.35125219273690889</v>
      </c>
      <c r="T7" s="34">
        <f t="shared" si="4"/>
        <v>62687.317918859408</v>
      </c>
      <c r="U7" s="34">
        <f t="shared" si="5"/>
        <v>185457.68208114061</v>
      </c>
      <c r="V7" s="34">
        <f t="shared" si="6"/>
        <v>248145</v>
      </c>
      <c r="W7" s="243">
        <f t="shared" si="7"/>
        <v>0.74737626017506142</v>
      </c>
    </row>
    <row r="8" spans="2:23" s="2" customFormat="1">
      <c r="B8" s="2">
        <v>2002</v>
      </c>
      <c r="C8" s="241">
        <v>94095</v>
      </c>
      <c r="D8" s="241">
        <v>173733</v>
      </c>
      <c r="E8" s="241">
        <v>0</v>
      </c>
      <c r="F8" s="241">
        <v>5427</v>
      </c>
      <c r="G8" s="241">
        <v>262401</v>
      </c>
      <c r="H8" s="240">
        <v>297014</v>
      </c>
      <c r="I8" s="240">
        <v>24536</v>
      </c>
      <c r="J8" s="240">
        <v>26196</v>
      </c>
      <c r="K8" s="240">
        <v>2900</v>
      </c>
      <c r="L8" s="240">
        <v>200858</v>
      </c>
      <c r="M8" s="240">
        <v>91596</v>
      </c>
      <c r="N8" s="240">
        <v>292454</v>
      </c>
      <c r="O8" s="34">
        <f t="shared" si="0"/>
        <v>257841</v>
      </c>
      <c r="P8" s="34">
        <f t="shared" si="1"/>
        <v>172073</v>
      </c>
      <c r="Q8" s="243">
        <f t="shared" si="2"/>
        <v>0.66736089295340928</v>
      </c>
      <c r="R8" s="2">
        <v>65.993840631124371</v>
      </c>
      <c r="S8" s="244">
        <f t="shared" si="3"/>
        <v>0.35132622429320309</v>
      </c>
      <c r="T8" s="34">
        <f t="shared" si="4"/>
        <v>64973.506530310493</v>
      </c>
      <c r="U8" s="34">
        <f t="shared" si="5"/>
        <v>192867.49346968951</v>
      </c>
      <c r="V8" s="34">
        <f t="shared" si="6"/>
        <v>257841</v>
      </c>
      <c r="W8" s="243">
        <f t="shared" si="7"/>
        <v>0.74800940684254835</v>
      </c>
    </row>
    <row r="9" spans="2:23" s="2" customFormat="1">
      <c r="B9" s="2">
        <v>2003</v>
      </c>
      <c r="C9" s="241">
        <v>88392</v>
      </c>
      <c r="D9" s="241">
        <v>185962</v>
      </c>
      <c r="E9" s="241">
        <v>0</v>
      </c>
      <c r="F9" s="241">
        <v>3415</v>
      </c>
      <c r="G9" s="241">
        <v>270939</v>
      </c>
      <c r="H9" s="240">
        <v>309043</v>
      </c>
      <c r="I9" s="240">
        <v>24523</v>
      </c>
      <c r="J9" s="240">
        <v>32516</v>
      </c>
      <c r="K9" s="240">
        <v>2484</v>
      </c>
      <c r="L9" s="240">
        <v>202121</v>
      </c>
      <c r="M9" s="240">
        <v>96445</v>
      </c>
      <c r="N9" s="240">
        <v>298566</v>
      </c>
      <c r="O9" s="34">
        <f t="shared" si="0"/>
        <v>260462</v>
      </c>
      <c r="P9" s="34">
        <f t="shared" si="1"/>
        <v>177969</v>
      </c>
      <c r="Q9" s="243">
        <f t="shared" si="2"/>
        <v>0.68328201426695645</v>
      </c>
      <c r="R9" s="2">
        <v>67.682718124633951</v>
      </c>
      <c r="S9" s="244">
        <f t="shared" si="3"/>
        <v>0.32218229003404358</v>
      </c>
      <c r="T9" s="34">
        <f t="shared" si="4"/>
        <v>53975.446671089187</v>
      </c>
      <c r="U9" s="34">
        <f t="shared" si="5"/>
        <v>206486.55332891081</v>
      </c>
      <c r="V9" s="34">
        <f t="shared" si="6"/>
        <v>260462</v>
      </c>
      <c r="W9" s="243">
        <f t="shared" si="7"/>
        <v>0.7927703593188673</v>
      </c>
    </row>
    <row r="10" spans="2:23" s="2" customFormat="1">
      <c r="B10" s="2">
        <v>2004</v>
      </c>
      <c r="C10" s="241">
        <v>84656.365265695</v>
      </c>
      <c r="D10" s="241">
        <v>203788.56889643433</v>
      </c>
      <c r="E10" s="241">
        <v>0</v>
      </c>
      <c r="F10" s="241">
        <v>5914.1459320435097</v>
      </c>
      <c r="G10" s="241">
        <v>282530.7882300858</v>
      </c>
      <c r="H10" s="240">
        <v>329596.34269812313</v>
      </c>
      <c r="I10" s="240">
        <v>32736.065054528004</v>
      </c>
      <c r="J10" s="240">
        <v>30374.99102201686</v>
      </c>
      <c r="K10" s="240">
        <v>10540.771090956114</v>
      </c>
      <c r="L10" s="240">
        <v>224748.25326288998</v>
      </c>
      <c r="M10" s="240">
        <v>96668.378364988181</v>
      </c>
      <c r="N10" s="240">
        <v>321416.63162787817</v>
      </c>
      <c r="O10" s="34">
        <f t="shared" si="0"/>
        <v>274351.09117164084</v>
      </c>
      <c r="P10" s="34">
        <f t="shared" si="1"/>
        <v>206149.64292894548</v>
      </c>
      <c r="Q10" s="243">
        <f t="shared" si="2"/>
        <v>0.75140813928811079</v>
      </c>
      <c r="R10" s="2">
        <v>72.37386102143671</v>
      </c>
      <c r="S10" s="244">
        <f t="shared" si="3"/>
        <v>0.29349229346531458</v>
      </c>
      <c r="T10" s="34">
        <f t="shared" si="4"/>
        <v>49451.982907816535</v>
      </c>
      <c r="U10" s="34">
        <f t="shared" si="5"/>
        <v>224899.10826382431</v>
      </c>
      <c r="V10" s="34">
        <f t="shared" si="6"/>
        <v>274351.09117164084</v>
      </c>
      <c r="W10" s="243">
        <f t="shared" si="7"/>
        <v>0.81974927565759836</v>
      </c>
    </row>
    <row r="11" spans="2:23" s="2" customFormat="1">
      <c r="B11" s="2">
        <v>2005</v>
      </c>
      <c r="C11" s="241">
        <v>94929.022976866414</v>
      </c>
      <c r="D11" s="241">
        <v>194893.48399389294</v>
      </c>
      <c r="E11" s="241">
        <v>0</v>
      </c>
      <c r="F11" s="241">
        <v>2329.0698964352823</v>
      </c>
      <c r="G11" s="241">
        <v>287493.43707432412</v>
      </c>
      <c r="H11" s="240">
        <v>328656.55071013991</v>
      </c>
      <c r="I11" s="240">
        <v>41346.534465668497</v>
      </c>
      <c r="J11" s="240">
        <v>33769.038687223503</v>
      </c>
      <c r="K11" s="240">
        <v>6940.5630754496106</v>
      </c>
      <c r="L11" s="240">
        <v>232012.88057836657</v>
      </c>
      <c r="M11" s="240">
        <v>97280.016850768778</v>
      </c>
      <c r="N11" s="240">
        <v>329292.89742913534</v>
      </c>
      <c r="O11" s="34">
        <f t="shared" si="0"/>
        <v>288130.36977731949</v>
      </c>
      <c r="P11" s="34">
        <f t="shared" si="1"/>
        <v>202470.97977233792</v>
      </c>
      <c r="Q11" s="243">
        <f t="shared" si="2"/>
        <v>0.70270613933830328</v>
      </c>
      <c r="R11" s="2">
        <v>68.656437004870085</v>
      </c>
      <c r="S11" s="244">
        <f t="shared" si="3"/>
        <v>0.32754192891735612</v>
      </c>
      <c r="T11" s="34">
        <f t="shared" si="4"/>
        <v>58123.790825675802</v>
      </c>
      <c r="U11" s="34">
        <f t="shared" si="5"/>
        <v>230006.57895164363</v>
      </c>
      <c r="V11" s="34">
        <f t="shared" si="6"/>
        <v>288130.36977731943</v>
      </c>
      <c r="W11" s="243">
        <f t="shared" si="7"/>
        <v>0.7982725983706731</v>
      </c>
    </row>
    <row r="12" spans="2:23" s="2" customFormat="1">
      <c r="B12" s="2">
        <v>2006</v>
      </c>
      <c r="C12" s="241">
        <v>98921.161644835491</v>
      </c>
      <c r="D12" s="241">
        <v>200160.74402900197</v>
      </c>
      <c r="E12" s="241">
        <v>0</v>
      </c>
      <c r="F12" s="241">
        <v>3243.1162236664595</v>
      </c>
      <c r="G12" s="241">
        <v>295838.78945017105</v>
      </c>
      <c r="H12" s="240">
        <v>343388.6799632294</v>
      </c>
      <c r="I12" s="240">
        <v>44879.635989402312</v>
      </c>
      <c r="J12" s="240">
        <v>38491.562036667499</v>
      </c>
      <c r="K12" s="240">
        <v>11499.097107328053</v>
      </c>
      <c r="L12" s="240">
        <v>240579.19630019419</v>
      </c>
      <c r="M12" s="240">
        <v>97698.460508441975</v>
      </c>
      <c r="N12" s="240">
        <v>338277.65680863615</v>
      </c>
      <c r="O12" s="34">
        <f t="shared" si="0"/>
        <v>290727.76629557781</v>
      </c>
      <c r="P12" s="34">
        <f t="shared" si="1"/>
        <v>206548.81798173679</v>
      </c>
      <c r="Q12" s="243">
        <f t="shared" si="2"/>
        <v>0.71045439042015079</v>
      </c>
      <c r="R12" s="2">
        <v>68.342309368569147</v>
      </c>
      <c r="S12" s="244">
        <f t="shared" si="3"/>
        <v>0.3307494026492982</v>
      </c>
      <c r="T12" s="34">
        <f t="shared" si="4"/>
        <v>55553.621355213036</v>
      </c>
      <c r="U12" s="34">
        <f t="shared" si="5"/>
        <v>235174.14494036473</v>
      </c>
      <c r="V12" s="34">
        <f t="shared" si="6"/>
        <v>290727.76629557775</v>
      </c>
      <c r="W12" s="243">
        <f t="shared" si="7"/>
        <v>0.80891532287035617</v>
      </c>
    </row>
    <row r="13" spans="2:23" s="2" customFormat="1">
      <c r="B13" s="2">
        <v>2007</v>
      </c>
      <c r="C13" s="241">
        <v>91353.111943698634</v>
      </c>
      <c r="D13" s="241">
        <v>176642.76264209469</v>
      </c>
      <c r="E13" s="241">
        <v>0</v>
      </c>
      <c r="F13" s="241">
        <v>8844.3337986684419</v>
      </c>
      <c r="G13" s="241">
        <v>259151.54078712486</v>
      </c>
      <c r="H13" s="240">
        <v>314514.8652214813</v>
      </c>
      <c r="I13" s="240">
        <v>77340.636250301352</v>
      </c>
      <c r="J13" s="240">
        <v>22576.191788595002</v>
      </c>
      <c r="K13" s="240">
        <v>9119.3395504296859</v>
      </c>
      <c r="L13" s="240">
        <v>251211.89597586385</v>
      </c>
      <c r="M13" s="240">
        <v>108948.07415689412</v>
      </c>
      <c r="N13" s="240">
        <v>360159.97013275803</v>
      </c>
      <c r="O13" s="34">
        <f t="shared" si="0"/>
        <v>304796.64569840155</v>
      </c>
      <c r="P13" s="34">
        <f t="shared" si="1"/>
        <v>231407.20710380105</v>
      </c>
      <c r="Q13" s="243">
        <f t="shared" si="2"/>
        <v>0.75921835220188127</v>
      </c>
      <c r="R13" s="2">
        <v>73.716286515441993</v>
      </c>
      <c r="S13" s="244">
        <f t="shared" si="3"/>
        <v>0.34087506789009853</v>
      </c>
      <c r="T13" s="34">
        <f t="shared" si="4"/>
        <v>62653.551782674251</v>
      </c>
      <c r="U13" s="34">
        <f t="shared" si="5"/>
        <v>242143.09391572728</v>
      </c>
      <c r="V13" s="34">
        <f t="shared" si="6"/>
        <v>304796.64569840155</v>
      </c>
      <c r="W13" s="243">
        <f t="shared" si="7"/>
        <v>0.79444146559056816</v>
      </c>
    </row>
    <row r="14" spans="2:23" s="2" customFormat="1">
      <c r="B14" s="2">
        <v>2008</v>
      </c>
      <c r="C14" s="241">
        <v>96555.955100995474</v>
      </c>
      <c r="D14" s="241">
        <v>159493.2274479343</v>
      </c>
      <c r="E14" s="241">
        <v>0</v>
      </c>
      <c r="F14" s="241">
        <v>5072.2520800892771</v>
      </c>
      <c r="G14" s="241">
        <v>250976.93046884055</v>
      </c>
      <c r="H14" s="240">
        <v>292694.64272697608</v>
      </c>
      <c r="I14" s="240">
        <v>84717.142725706726</v>
      </c>
      <c r="J14" s="240">
        <v>18739.769691788006</v>
      </c>
      <c r="K14" s="240">
        <v>3413.2907363593708</v>
      </c>
      <c r="L14" s="240">
        <v>255067.17758738366</v>
      </c>
      <c r="M14" s="240">
        <v>100191.54743715172</v>
      </c>
      <c r="N14" s="240">
        <v>355258.72502453544</v>
      </c>
      <c r="O14" s="34">
        <f t="shared" si="0"/>
        <v>313541.01276639989</v>
      </c>
      <c r="P14" s="34">
        <f t="shared" si="1"/>
        <v>225470.60048185301</v>
      </c>
      <c r="Q14" s="243">
        <f t="shared" si="2"/>
        <v>0.71911039162789614</v>
      </c>
      <c r="S14" s="244">
        <f t="shared" si="3"/>
        <v>0.37709925155704843</v>
      </c>
      <c r="T14" s="34">
        <f t="shared" si="4"/>
        <v>74616.29356406939</v>
      </c>
      <c r="U14" s="34">
        <f t="shared" si="5"/>
        <v>238924.71920233042</v>
      </c>
      <c r="V14" s="34">
        <f t="shared" si="6"/>
        <v>313541.01276639983</v>
      </c>
      <c r="W14" s="243">
        <f t="shared" si="7"/>
        <v>0.76202062720368446</v>
      </c>
    </row>
    <row r="15" spans="2:23" s="2" customFormat="1">
      <c r="B15" s="2">
        <v>2009</v>
      </c>
      <c r="C15" s="241">
        <f>CUADRO3!C15</f>
        <v>123081.24710790023</v>
      </c>
      <c r="D15" s="241">
        <f>CUADRO3!D15</f>
        <v>184739.34498866685</v>
      </c>
      <c r="E15" s="241">
        <f>CUADRO3!E15</f>
        <v>5908.0829809999996</v>
      </c>
      <c r="F15" s="241">
        <f>CUADRO3!F15</f>
        <v>-4495.8151204616961</v>
      </c>
      <c r="G15" s="241">
        <f>CUADRO3!G15</f>
        <v>306408.32423602871</v>
      </c>
      <c r="H15" s="240">
        <f>CUADRO4!C30</f>
        <v>263297.88342219911</v>
      </c>
      <c r="I15" s="240">
        <f>CUADRO4!D30</f>
        <v>176590.28330060042</v>
      </c>
      <c r="J15" s="240">
        <f>CUADRO4!E30</f>
        <v>12625.578759264799</v>
      </c>
      <c r="K15" s="240">
        <f>CUADRO4!F30</f>
        <v>5193.6931349326524</v>
      </c>
      <c r="L15" s="240">
        <f>CUADRO4!G30</f>
        <v>272331.10365984344</v>
      </c>
      <c r="M15" s="240">
        <f>CUADRO4!H30</f>
        <v>143356.07736575868</v>
      </c>
      <c r="N15" s="240">
        <f>CUADRO4!I30</f>
        <v>415687.18102560204</v>
      </c>
      <c r="O15" s="34">
        <f t="shared" si="0"/>
        <v>465179.33564243169</v>
      </c>
      <c r="P15" s="34">
        <f t="shared" si="1"/>
        <v>348704.04953000252</v>
      </c>
      <c r="Q15" s="243">
        <f t="shared" si="2"/>
        <v>0.74961208035698312</v>
      </c>
      <c r="S15" s="244">
        <f t="shared" si="3"/>
        <v>0.39984734701987751</v>
      </c>
      <c r="T15" s="34">
        <f t="shared" si="4"/>
        <v>110176.62367600572</v>
      </c>
      <c r="U15" s="34">
        <f t="shared" si="5"/>
        <v>360910.79494742601</v>
      </c>
      <c r="V15" s="34">
        <f t="shared" si="6"/>
        <v>471087.4186234317</v>
      </c>
      <c r="W15" s="243">
        <f t="shared" si="7"/>
        <v>0.76612276337594898</v>
      </c>
    </row>
    <row r="16" spans="2:23"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sheetData>
  <phoneticPr fontId="0" type="noConversion"/>
  <pageMargins left="0.75" right="0.75" top="1" bottom="1" header="0" footer="0"/>
  <pageSetup orientation="portrait" verticalDpi="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A1:AA69"/>
  <sheetViews>
    <sheetView workbookViewId="0"/>
  </sheetViews>
  <sheetFormatPr baseColWidth="10" defaultRowHeight="12.75"/>
  <cols>
    <col min="1" max="1" width="4.5703125" style="2" customWidth="1"/>
    <col min="2" max="2" width="26.140625" style="2" customWidth="1"/>
    <col min="3" max="3" width="11.42578125" style="21"/>
    <col min="4" max="4" width="12.7109375" style="21" customWidth="1"/>
    <col min="5" max="12" width="11.42578125" style="21"/>
    <col min="13" max="13" width="12.5703125" style="21" bestFit="1" customWidth="1"/>
    <col min="14" max="25" width="11.42578125" style="21"/>
    <col min="26" max="16384" width="11.42578125" style="2"/>
  </cols>
  <sheetData>
    <row r="1" spans="1:26">
      <c r="A1" s="61"/>
      <c r="B1" s="62"/>
      <c r="C1" s="63"/>
      <c r="D1" s="63"/>
      <c r="E1" s="129" t="s">
        <v>229</v>
      </c>
      <c r="F1" s="63"/>
      <c r="G1" s="63"/>
      <c r="H1" s="63"/>
      <c r="I1" s="63"/>
      <c r="J1" s="63"/>
      <c r="K1" s="63"/>
      <c r="L1" s="63"/>
      <c r="M1" s="63"/>
      <c r="N1" s="63"/>
      <c r="O1" s="63"/>
      <c r="P1" s="63"/>
      <c r="Q1" s="63"/>
      <c r="R1" s="63" t="s">
        <v>66</v>
      </c>
      <c r="S1" s="63"/>
      <c r="T1" s="63"/>
      <c r="U1" s="63"/>
      <c r="V1" s="63"/>
      <c r="W1" s="63"/>
      <c r="X1" s="63"/>
      <c r="Y1" s="63"/>
    </row>
    <row r="2" spans="1:26">
      <c r="A2" s="61"/>
      <c r="B2" s="61"/>
      <c r="C2" s="63"/>
      <c r="D2" s="63"/>
      <c r="E2" s="63"/>
      <c r="F2" s="63"/>
      <c r="G2" s="63"/>
      <c r="H2" s="83"/>
      <c r="I2" s="83"/>
      <c r="J2" s="83"/>
      <c r="K2" s="63"/>
      <c r="L2" s="63"/>
      <c r="M2" s="63"/>
      <c r="N2" s="63"/>
      <c r="O2" s="63"/>
      <c r="P2" s="63"/>
      <c r="Q2" s="63"/>
      <c r="R2" s="63" t="s">
        <v>66</v>
      </c>
      <c r="S2" s="63"/>
      <c r="T2" s="63"/>
      <c r="U2" s="63"/>
      <c r="V2" s="63"/>
      <c r="W2" s="84"/>
      <c r="X2" s="63" t="s">
        <v>67</v>
      </c>
      <c r="Y2" s="63"/>
    </row>
    <row r="3" spans="1:26">
      <c r="A3" s="61"/>
      <c r="B3" s="61"/>
      <c r="C3" s="63"/>
      <c r="D3" s="63"/>
      <c r="E3" s="63"/>
      <c r="F3" s="63"/>
      <c r="G3" s="63"/>
      <c r="H3" s="83"/>
      <c r="I3" s="83" t="s">
        <v>68</v>
      </c>
      <c r="J3" s="83"/>
      <c r="K3" s="63"/>
      <c r="L3" s="63"/>
      <c r="M3" s="63"/>
      <c r="N3" s="63"/>
      <c r="O3" s="63"/>
      <c r="P3" s="63"/>
      <c r="Q3" s="63"/>
      <c r="R3" s="63" t="s">
        <v>66</v>
      </c>
      <c r="S3" s="63"/>
      <c r="T3" s="63"/>
      <c r="U3" s="63" t="s">
        <v>69</v>
      </c>
      <c r="V3" s="63"/>
      <c r="W3" s="63"/>
      <c r="X3" s="63" t="s">
        <v>70</v>
      </c>
      <c r="Y3" s="63"/>
    </row>
    <row r="4" spans="1:26" ht="13.5" thickBot="1">
      <c r="A4" s="61"/>
      <c r="B4" s="61"/>
      <c r="C4" s="879" t="s">
        <v>71</v>
      </c>
      <c r="D4" s="880"/>
      <c r="E4" s="880"/>
      <c r="F4" s="880"/>
      <c r="G4" s="880"/>
      <c r="H4" s="880"/>
      <c r="I4" s="880"/>
      <c r="J4" s="880"/>
      <c r="K4" s="880"/>
      <c r="L4" s="881"/>
      <c r="M4" s="879" t="s">
        <v>72</v>
      </c>
      <c r="N4" s="880"/>
      <c r="O4" s="880"/>
      <c r="P4" s="880"/>
      <c r="Q4" s="880"/>
      <c r="R4" s="880"/>
      <c r="S4" s="880"/>
      <c r="T4" s="880"/>
      <c r="U4" s="880"/>
      <c r="V4" s="880"/>
      <c r="W4" s="880"/>
      <c r="X4" s="880"/>
      <c r="Y4" s="881"/>
    </row>
    <row r="5" spans="1:26">
      <c r="A5" s="67"/>
      <c r="B5" s="70" t="s">
        <v>73</v>
      </c>
      <c r="C5" s="99" t="s">
        <v>187</v>
      </c>
      <c r="D5" s="100" t="s">
        <v>74</v>
      </c>
      <c r="E5" s="99" t="s">
        <v>18</v>
      </c>
      <c r="F5" s="100" t="s">
        <v>75</v>
      </c>
      <c r="G5" s="100" t="s">
        <v>76</v>
      </c>
      <c r="H5" s="101"/>
      <c r="I5" s="99" t="s">
        <v>77</v>
      </c>
      <c r="J5" s="102" t="s">
        <v>78</v>
      </c>
      <c r="K5" s="99" t="s">
        <v>79</v>
      </c>
      <c r="L5" s="100" t="s">
        <v>80</v>
      </c>
      <c r="M5" s="99" t="s">
        <v>81</v>
      </c>
      <c r="N5" s="100" t="s">
        <v>74</v>
      </c>
      <c r="O5" s="99" t="s">
        <v>82</v>
      </c>
      <c r="P5" s="100" t="s">
        <v>83</v>
      </c>
      <c r="Q5" s="99" t="s">
        <v>31</v>
      </c>
      <c r="R5" s="100" t="s">
        <v>84</v>
      </c>
      <c r="S5" s="99" t="s">
        <v>85</v>
      </c>
      <c r="T5" s="100" t="s">
        <v>18</v>
      </c>
      <c r="U5" s="99" t="s">
        <v>86</v>
      </c>
      <c r="V5" s="100" t="s">
        <v>79</v>
      </c>
      <c r="W5" s="99" t="s">
        <v>87</v>
      </c>
      <c r="X5" s="100" t="s">
        <v>80</v>
      </c>
      <c r="Y5" s="77" t="s">
        <v>19</v>
      </c>
    </row>
    <row r="6" spans="1:26">
      <c r="A6" s="68"/>
      <c r="B6" s="71">
        <v>2004</v>
      </c>
      <c r="C6" s="103" t="s">
        <v>88</v>
      </c>
      <c r="D6" s="102" t="s">
        <v>188</v>
      </c>
      <c r="E6" s="103" t="s">
        <v>189</v>
      </c>
      <c r="F6" s="102" t="s">
        <v>190</v>
      </c>
      <c r="G6" s="102" t="s">
        <v>182</v>
      </c>
      <c r="H6" s="102" t="s">
        <v>183</v>
      </c>
      <c r="I6" s="103" t="s">
        <v>66</v>
      </c>
      <c r="J6" s="102" t="s">
        <v>89</v>
      </c>
      <c r="K6" s="103" t="s">
        <v>66</v>
      </c>
      <c r="L6" s="102" t="s">
        <v>191</v>
      </c>
      <c r="M6" s="103" t="s">
        <v>192</v>
      </c>
      <c r="N6" s="102" t="s">
        <v>193</v>
      </c>
      <c r="O6" s="103" t="s">
        <v>90</v>
      </c>
      <c r="P6" s="102" t="s">
        <v>91</v>
      </c>
      <c r="Q6" s="103" t="s">
        <v>92</v>
      </c>
      <c r="R6" s="102" t="s">
        <v>92</v>
      </c>
      <c r="S6" s="103"/>
      <c r="T6" s="102" t="s">
        <v>93</v>
      </c>
      <c r="U6" s="103"/>
      <c r="V6" s="102" t="s">
        <v>66</v>
      </c>
      <c r="W6" s="103" t="s">
        <v>94</v>
      </c>
      <c r="X6" s="102" t="s">
        <v>95</v>
      </c>
      <c r="Y6" s="85"/>
    </row>
    <row r="7" spans="1:26" ht="13.5" thickBot="1">
      <c r="A7" s="68"/>
      <c r="B7" s="72"/>
      <c r="C7" s="103"/>
      <c r="D7" s="102"/>
      <c r="E7" s="103"/>
      <c r="F7" s="102"/>
      <c r="G7" s="104"/>
      <c r="H7" s="102" t="s">
        <v>66</v>
      </c>
      <c r="I7" s="103"/>
      <c r="J7" s="102" t="s">
        <v>96</v>
      </c>
      <c r="K7" s="103" t="s">
        <v>66</v>
      </c>
      <c r="L7" s="102"/>
      <c r="M7" s="103"/>
      <c r="N7" s="102"/>
      <c r="O7" s="103" t="s">
        <v>97</v>
      </c>
      <c r="P7" s="102" t="s">
        <v>98</v>
      </c>
      <c r="Q7" s="103"/>
      <c r="R7" s="102" t="s">
        <v>66</v>
      </c>
      <c r="S7" s="103"/>
      <c r="T7" s="105"/>
      <c r="U7" s="103"/>
      <c r="V7" s="102" t="s">
        <v>66</v>
      </c>
      <c r="W7" s="103" t="s">
        <v>99</v>
      </c>
      <c r="X7" s="102" t="s">
        <v>259</v>
      </c>
      <c r="Y7" s="85"/>
    </row>
    <row r="8" spans="1:26">
      <c r="A8" s="882" t="s">
        <v>184</v>
      </c>
      <c r="B8" s="64" t="s">
        <v>20</v>
      </c>
      <c r="C8" s="30">
        <f>CUADRO3!C7</f>
        <v>2645.1545316944057</v>
      </c>
      <c r="D8" s="25">
        <f>CUADRO3!C8</f>
        <v>9401.5571213901076</v>
      </c>
      <c r="E8" s="30">
        <f>CUADRO3!C9</f>
        <v>13513.885199999999</v>
      </c>
      <c r="F8" s="27">
        <f>CUADRO3!C11</f>
        <v>20310.838125240003</v>
      </c>
      <c r="G8" s="30">
        <v>0</v>
      </c>
      <c r="H8" s="27">
        <v>0</v>
      </c>
      <c r="I8" s="30">
        <f>CUADRO3!C10</f>
        <v>73430.280199428016</v>
      </c>
      <c r="J8" s="27">
        <v>0</v>
      </c>
      <c r="K8" s="30">
        <v>0</v>
      </c>
      <c r="L8" s="94">
        <f>SUM(C8:K8)</f>
        <v>119301.71517775253</v>
      </c>
      <c r="M8" s="30">
        <f>CUADRO4!C19</f>
        <v>64091.627778193797</v>
      </c>
      <c r="N8" s="27">
        <f>CUADRO4!C12</f>
        <v>3688.3434169999996</v>
      </c>
      <c r="O8" s="30" t="e">
        <f>CUADRO4!C10+CUADRO4!#REF!+CUADRO4!C13</f>
        <v>#REF!</v>
      </c>
      <c r="P8" s="27">
        <f>CUADRO4!C11+CUADRO4!C14</f>
        <v>7991.914865220001</v>
      </c>
      <c r="Q8" s="30">
        <f>CUADRO4!C9</f>
        <v>13141.633575</v>
      </c>
      <c r="R8" s="27">
        <f>CUADRO4!C8</f>
        <v>33035.776555739998</v>
      </c>
      <c r="S8" s="30">
        <f>CUADRO4!C20</f>
        <v>2919.1386441599998</v>
      </c>
      <c r="T8" s="27">
        <v>0</v>
      </c>
      <c r="U8" s="30">
        <f>CUADRO4!C16+CUADRO4!C24+CUADRO4!C23</f>
        <v>873.65206270958424</v>
      </c>
      <c r="V8" s="27">
        <f>CUADRO4!C15+CUADRO4!C25+CUADRO4!C22</f>
        <v>2685.1770780000006</v>
      </c>
      <c r="W8" s="30">
        <f>CUADRO11!C13</f>
        <v>427.53057357000012</v>
      </c>
      <c r="X8" s="27" t="e">
        <f>SUM(M8:W8)</f>
        <v>#REF!</v>
      </c>
      <c r="Y8" s="86" t="e">
        <f>X8+L8</f>
        <v>#REF!</v>
      </c>
      <c r="Z8" s="4"/>
    </row>
    <row r="9" spans="1:26">
      <c r="A9" s="883"/>
      <c r="B9" s="65"/>
      <c r="C9" s="30"/>
      <c r="D9" s="27"/>
      <c r="E9" s="30"/>
      <c r="F9" s="27"/>
      <c r="G9" s="30"/>
      <c r="H9" s="27"/>
      <c r="I9" s="30"/>
      <c r="J9" s="27"/>
      <c r="K9" s="30"/>
      <c r="L9" s="94"/>
      <c r="M9" s="30"/>
      <c r="N9" s="27"/>
      <c r="O9" s="30"/>
      <c r="P9" s="27"/>
      <c r="Q9" s="30"/>
      <c r="R9" s="27"/>
      <c r="S9" s="30"/>
      <c r="T9" s="27"/>
      <c r="U9" s="30"/>
      <c r="V9" s="27"/>
      <c r="W9" s="30"/>
      <c r="X9" s="27"/>
      <c r="Y9" s="86"/>
    </row>
    <row r="10" spans="1:26">
      <c r="A10" s="883"/>
      <c r="B10" s="65" t="s">
        <v>21</v>
      </c>
      <c r="C10" s="30">
        <f>CUADRO3!D7</f>
        <v>90125.784825008406</v>
      </c>
      <c r="D10" s="27">
        <f>CUADRO3!D8</f>
        <v>34810.519397158496</v>
      </c>
      <c r="E10" s="30">
        <f>CUADRO3!D9</f>
        <v>59728.889766499931</v>
      </c>
      <c r="F10" s="27">
        <f>CUADRO3!D11</f>
        <v>0</v>
      </c>
      <c r="G10" s="30">
        <v>0</v>
      </c>
      <c r="H10" s="27">
        <v>0</v>
      </c>
      <c r="I10" s="30">
        <v>0</v>
      </c>
      <c r="J10" s="27">
        <v>0</v>
      </c>
      <c r="K10" s="30">
        <v>0</v>
      </c>
      <c r="L10" s="94">
        <f>SUM(C10:K10)</f>
        <v>184665.19398866684</v>
      </c>
      <c r="M10" s="30">
        <f>CUADRO4!D19</f>
        <v>0</v>
      </c>
      <c r="N10" s="27">
        <f>CUADRO4!D12</f>
        <v>11651.796277000005</v>
      </c>
      <c r="O10" s="30" t="e">
        <f>CUADRO4!D10+CUADRO4!#REF!+CUADRO4!D13</f>
        <v>#REF!</v>
      </c>
      <c r="P10" s="27">
        <f>CUADRO4!D11+CUADRO4!D14</f>
        <v>5551.748537157001</v>
      </c>
      <c r="Q10" s="30">
        <f>CUADRO4!D9</f>
        <v>333.32462782499999</v>
      </c>
      <c r="R10" s="27">
        <f>CUADRO4!D8</f>
        <v>56994.538688359993</v>
      </c>
      <c r="S10" s="30">
        <f>CUADRO4!D20</f>
        <v>19.189820999999998</v>
      </c>
      <c r="T10" s="27">
        <v>0</v>
      </c>
      <c r="U10" s="30">
        <f>CUADRO4!D16+CUADRO4!D24+CUADRO4!D23</f>
        <v>8.1302056</v>
      </c>
      <c r="V10" s="27">
        <f>CUADRO4!D15+CUADRO4!D25+CUADRO4!D22</f>
        <v>1560.8419160000003</v>
      </c>
      <c r="W10" s="30">
        <v>0</v>
      </c>
      <c r="X10" s="27" t="e">
        <f>SUM(M10:W10)</f>
        <v>#REF!</v>
      </c>
      <c r="Y10" s="86" t="e">
        <f>X10+L10</f>
        <v>#REF!</v>
      </c>
      <c r="Z10" s="4"/>
    </row>
    <row r="11" spans="1:26">
      <c r="A11" s="883"/>
      <c r="B11" s="65"/>
      <c r="C11" s="30"/>
      <c r="D11" s="27"/>
      <c r="E11" s="30"/>
      <c r="F11" s="27"/>
      <c r="G11" s="30"/>
      <c r="H11" s="27"/>
      <c r="I11" s="30"/>
      <c r="J11" s="27"/>
      <c r="K11" s="30"/>
      <c r="L11" s="94"/>
      <c r="M11" s="30"/>
      <c r="N11" s="27"/>
      <c r="O11" s="30"/>
      <c r="P11" s="27"/>
      <c r="Q11" s="30"/>
      <c r="R11" s="27"/>
      <c r="S11" s="30"/>
      <c r="T11" s="27"/>
      <c r="U11" s="30"/>
      <c r="V11" s="27"/>
      <c r="W11" s="30"/>
      <c r="X11" s="27"/>
      <c r="Y11" s="86"/>
    </row>
    <row r="12" spans="1:26">
      <c r="A12" s="883"/>
      <c r="B12" s="65" t="s">
        <v>22</v>
      </c>
      <c r="C12" s="30">
        <f>CUADRO3!E7</f>
        <v>0</v>
      </c>
      <c r="D12" s="27">
        <f>CUADRO3!E8</f>
        <v>0</v>
      </c>
      <c r="E12" s="30">
        <f>CUADRO3!E9</f>
        <v>5907.58</v>
      </c>
      <c r="F12" s="27">
        <f>CUADRO3!E11</f>
        <v>0</v>
      </c>
      <c r="G12" s="30">
        <v>0</v>
      </c>
      <c r="H12" s="27">
        <v>0</v>
      </c>
      <c r="I12" s="30">
        <v>0</v>
      </c>
      <c r="J12" s="27">
        <v>0</v>
      </c>
      <c r="K12" s="30">
        <v>0</v>
      </c>
      <c r="L12" s="94">
        <f>SUM(C12:K12)</f>
        <v>5907.58</v>
      </c>
      <c r="M12" s="30">
        <v>0</v>
      </c>
      <c r="N12" s="27">
        <f>CUADRO4!E12</f>
        <v>453.29760520000002</v>
      </c>
      <c r="O12" s="30" t="e">
        <f>CUADRO4!E10+CUADRO4!#REF!+CUADRO4!E13</f>
        <v>#REF!</v>
      </c>
      <c r="P12" s="27">
        <f>CUADRO4!E11+CUADRO4!E14</f>
        <v>3.1108859999999998</v>
      </c>
      <c r="Q12" s="30">
        <f>CUADRO4!E9</f>
        <v>3167.4642299999996</v>
      </c>
      <c r="R12" s="27">
        <f>CUADRO4!E8</f>
        <v>863.5598897640001</v>
      </c>
      <c r="S12" s="30">
        <f>CUADRO4!E20</f>
        <v>278.74079999999998</v>
      </c>
      <c r="T12" s="27">
        <v>0</v>
      </c>
      <c r="U12" s="30">
        <f>CUADRO4!E16+CUADRO4!E24+CUADRO4!E23</f>
        <v>0</v>
      </c>
      <c r="V12" s="27">
        <f>CUADRO4!E15+CUADRO4!E25+CUADRO4!E22</f>
        <v>1103.900155</v>
      </c>
      <c r="W12" s="30">
        <v>0</v>
      </c>
      <c r="X12" s="27" t="e">
        <f>SUM(M12:W12)</f>
        <v>#REF!</v>
      </c>
      <c r="Y12" s="86" t="e">
        <f>X12+L12</f>
        <v>#REF!</v>
      </c>
      <c r="Z12" s="4"/>
    </row>
    <row r="13" spans="1:26">
      <c r="A13" s="883"/>
      <c r="B13" s="65"/>
      <c r="C13" s="30"/>
      <c r="D13" s="27"/>
      <c r="E13" s="30"/>
      <c r="F13" s="27"/>
      <c r="G13" s="30"/>
      <c r="H13" s="27"/>
      <c r="I13" s="30"/>
      <c r="J13" s="27"/>
      <c r="K13" s="30"/>
      <c r="L13" s="94"/>
      <c r="M13" s="30"/>
      <c r="N13" s="27"/>
      <c r="O13" s="30"/>
      <c r="P13" s="27"/>
      <c r="Q13" s="30"/>
      <c r="R13" s="27"/>
      <c r="S13" s="30"/>
      <c r="T13" s="27"/>
      <c r="U13" s="30"/>
      <c r="V13" s="27"/>
      <c r="W13" s="30"/>
      <c r="X13" s="27"/>
      <c r="Y13" s="86"/>
    </row>
    <row r="14" spans="1:26">
      <c r="A14" s="883"/>
      <c r="B14" s="65" t="s">
        <v>101</v>
      </c>
      <c r="C14" s="30">
        <f>CUADRO3!F7</f>
        <v>421.04076413592003</v>
      </c>
      <c r="D14" s="27">
        <f>CUADRO3!F8</f>
        <v>2730.6838839472657</v>
      </c>
      <c r="E14" s="30">
        <f>CUADRO3!F9</f>
        <v>-8226.9217888023304</v>
      </c>
      <c r="F14" s="27">
        <v>0</v>
      </c>
      <c r="G14" s="30">
        <v>0</v>
      </c>
      <c r="H14" s="27">
        <v>0</v>
      </c>
      <c r="I14" s="30">
        <v>0</v>
      </c>
      <c r="J14" s="27">
        <v>0</v>
      </c>
      <c r="K14" s="30">
        <v>0</v>
      </c>
      <c r="L14" s="94">
        <f>SUM(C14:K14)</f>
        <v>-5075.197140719145</v>
      </c>
      <c r="M14" s="30">
        <f>CUADRO4!F19</f>
        <v>3624.0838318819774</v>
      </c>
      <c r="N14" s="27">
        <f>CUADRO4!F12</f>
        <v>788.0050368755301</v>
      </c>
      <c r="O14" s="30" t="e">
        <f>CUADRO4!F10+CUADRO4!#REF!+CUADRO4!F13</f>
        <v>#REF!</v>
      </c>
      <c r="P14" s="27">
        <f>CUADRO4!F11+CUADRO4!F14</f>
        <v>127.88263729917746</v>
      </c>
      <c r="Q14" s="30">
        <f>CUADRO4!F9</f>
        <v>-679.23619221181502</v>
      </c>
      <c r="R14" s="27">
        <f>CUADRO4!F8</f>
        <v>7354.794292370505</v>
      </c>
      <c r="S14" s="30">
        <f>CUADRO4!F20</f>
        <v>51.431799899999902</v>
      </c>
      <c r="T14" s="27">
        <v>0</v>
      </c>
      <c r="U14" s="30">
        <f>CUADRO4!F16+CUADRO4!F24+CUADRO4!F23</f>
        <v>97.344124393940291</v>
      </c>
      <c r="V14" s="27">
        <f>CUADRO4!F15+CUADRO4!F22+CUADRO4!F25</f>
        <v>86.198839950000547</v>
      </c>
      <c r="W14" s="30">
        <v>0</v>
      </c>
      <c r="X14" s="27" t="e">
        <f>SUM(M14:W14)</f>
        <v>#REF!</v>
      </c>
      <c r="Y14" s="86" t="e">
        <f>X14+L14</f>
        <v>#REF!</v>
      </c>
      <c r="Z14" s="4"/>
    </row>
    <row r="15" spans="1:26">
      <c r="A15" s="883"/>
      <c r="B15" s="65"/>
      <c r="C15" s="30"/>
      <c r="D15" s="27"/>
      <c r="E15" s="30"/>
      <c r="F15" s="27"/>
      <c r="G15" s="30"/>
      <c r="H15" s="27"/>
      <c r="I15" s="30"/>
      <c r="J15" s="27"/>
      <c r="K15" s="30"/>
      <c r="L15" s="94"/>
      <c r="M15" s="30"/>
      <c r="N15" s="27"/>
      <c r="O15" s="30"/>
      <c r="P15" s="27"/>
      <c r="Q15" s="30"/>
      <c r="R15" s="27"/>
      <c r="S15" s="30"/>
      <c r="T15" s="27"/>
      <c r="U15" s="30"/>
      <c r="V15" s="27"/>
      <c r="W15" s="30"/>
      <c r="X15" s="27"/>
      <c r="Y15" s="86"/>
    </row>
    <row r="16" spans="1:26">
      <c r="A16" s="883"/>
      <c r="B16" s="65" t="s">
        <v>102</v>
      </c>
      <c r="C16" s="30">
        <v>0</v>
      </c>
      <c r="D16" s="29">
        <v>0</v>
      </c>
      <c r="E16" s="30">
        <v>0</v>
      </c>
      <c r="F16" s="27">
        <f>CUADRO3!F11</f>
        <v>0</v>
      </c>
      <c r="G16" s="30">
        <v>0</v>
      </c>
      <c r="H16" s="27">
        <v>0</v>
      </c>
      <c r="I16" s="30">
        <v>0</v>
      </c>
      <c r="J16" s="27">
        <v>0</v>
      </c>
      <c r="K16" s="30">
        <v>0</v>
      </c>
      <c r="L16" s="94">
        <f>SUM(C16:K16)</f>
        <v>0</v>
      </c>
      <c r="M16" s="30">
        <v>0</v>
      </c>
      <c r="N16" s="27">
        <v>0</v>
      </c>
      <c r="O16" s="30">
        <v>0</v>
      </c>
      <c r="P16" s="27">
        <v>0</v>
      </c>
      <c r="Q16" s="30">
        <v>0</v>
      </c>
      <c r="R16" s="27">
        <v>0</v>
      </c>
      <c r="S16" s="30">
        <v>0</v>
      </c>
      <c r="T16" s="27">
        <v>0</v>
      </c>
      <c r="U16" s="30">
        <v>0</v>
      </c>
      <c r="V16" s="27">
        <v>0</v>
      </c>
      <c r="W16" s="30">
        <v>0</v>
      </c>
      <c r="X16" s="27">
        <f>SUM(M16:W16)</f>
        <v>0</v>
      </c>
      <c r="Y16" s="86">
        <f>X16+L16</f>
        <v>0</v>
      </c>
      <c r="Z16" s="4"/>
    </row>
    <row r="17" spans="1:26" ht="13.5" thickBot="1">
      <c r="A17" s="884"/>
      <c r="B17" s="66"/>
      <c r="C17" s="30"/>
      <c r="D17" s="27"/>
      <c r="E17" s="30"/>
      <c r="F17" s="27"/>
      <c r="G17" s="30"/>
      <c r="H17" s="27"/>
      <c r="I17" s="30"/>
      <c r="J17" s="27"/>
      <c r="K17" s="30"/>
      <c r="L17" s="89"/>
      <c r="M17" s="73"/>
      <c r="N17" s="87"/>
      <c r="O17" s="73"/>
      <c r="P17" s="87"/>
      <c r="Q17" s="73"/>
      <c r="R17" s="87"/>
      <c r="S17" s="73"/>
      <c r="T17" s="87"/>
      <c r="U17" s="73"/>
      <c r="V17" s="87"/>
      <c r="W17" s="73"/>
      <c r="X17" s="87"/>
      <c r="Y17" s="88"/>
      <c r="Z17" s="4"/>
    </row>
    <row r="18" spans="1:26" ht="13.5" thickBot="1">
      <c r="A18" s="69"/>
      <c r="B18" s="66" t="s">
        <v>103</v>
      </c>
      <c r="C18" s="151">
        <f>CUADRO3!G7</f>
        <v>92349.898592566897</v>
      </c>
      <c r="D18" s="97">
        <f>CUADRO3!G8</f>
        <v>41481.392634601332</v>
      </c>
      <c r="E18" s="96">
        <f>CUADRO3!G9</f>
        <v>75562.116755302253</v>
      </c>
      <c r="F18" s="97">
        <f>CUADRO3!G11</f>
        <v>20310.838125240003</v>
      </c>
      <c r="G18" s="96">
        <v>0</v>
      </c>
      <c r="H18" s="97">
        <v>0</v>
      </c>
      <c r="I18" s="96">
        <f>I8</f>
        <v>73430.280199428016</v>
      </c>
      <c r="J18" s="97">
        <v>0</v>
      </c>
      <c r="K18" s="98">
        <f>K8+K10-K12-K14-K16</f>
        <v>0</v>
      </c>
      <c r="L18" s="144">
        <f>SUM(C18:K18)</f>
        <v>303134.5263071385</v>
      </c>
      <c r="M18" s="78">
        <f>CUADRO4!I19</f>
        <v>60467.543946311816</v>
      </c>
      <c r="N18" s="89">
        <f>CUADRO4!I12</f>
        <v>14098.837051924476</v>
      </c>
      <c r="O18" s="78" t="e">
        <f>CUADRO4!I10+CUADRO4!#REF!+CUADRO4!I13</f>
        <v>#REF!</v>
      </c>
      <c r="P18" s="89">
        <f>CUADRO4!I11+CUADRO4!I14</f>
        <v>13412.669879077825</v>
      </c>
      <c r="Q18" s="78">
        <f>CUADRO4!I9</f>
        <v>10986.730165036817</v>
      </c>
      <c r="R18" s="89">
        <f>CUADRO4!I8</f>
        <v>81811.961061965485</v>
      </c>
      <c r="S18" s="78">
        <f>CUADRO4!I20</f>
        <v>2608.1558652599997</v>
      </c>
      <c r="T18" s="89">
        <f>T8+T10-T12-T14-T16</f>
        <v>0</v>
      </c>
      <c r="U18" s="78">
        <f>CUADRO4!I16+CUADRO4!I24+CUADRO4!I23</f>
        <v>784.43814391564399</v>
      </c>
      <c r="V18" s="89">
        <f>CUADRO4!I15+CUADRO4!I25+CUADRO4!I22</f>
        <v>3055.9199990500001</v>
      </c>
      <c r="W18" s="78">
        <f>W8</f>
        <v>427.53057357000012</v>
      </c>
      <c r="X18" s="89" t="e">
        <f>X8+X10-X12-X14-X16</f>
        <v>#REF!</v>
      </c>
      <c r="Y18" s="88" t="e">
        <f>X18+L18</f>
        <v>#REF!</v>
      </c>
      <c r="Z18" s="4"/>
    </row>
    <row r="19" spans="1:26">
      <c r="A19" s="885" t="s">
        <v>185</v>
      </c>
      <c r="B19" s="64"/>
      <c r="C19" s="74"/>
      <c r="D19" s="90"/>
      <c r="E19" s="74"/>
      <c r="F19" s="90"/>
      <c r="G19" s="74"/>
      <c r="H19" s="90"/>
      <c r="I19" s="74"/>
      <c r="J19" s="90"/>
      <c r="K19" s="74"/>
      <c r="L19" s="92"/>
      <c r="M19" s="74"/>
      <c r="N19" s="90"/>
      <c r="O19" s="74"/>
      <c r="P19" s="90"/>
      <c r="Q19" s="74"/>
      <c r="R19" s="90"/>
      <c r="S19" s="74"/>
      <c r="T19" s="90"/>
      <c r="U19" s="74"/>
      <c r="V19" s="90"/>
      <c r="W19" s="74"/>
      <c r="X19" s="90"/>
      <c r="Y19" s="91"/>
      <c r="Z19" s="4"/>
    </row>
    <row r="20" spans="1:26">
      <c r="A20" s="886"/>
      <c r="B20" s="65" t="s">
        <v>104</v>
      </c>
      <c r="C20" s="30">
        <v>0</v>
      </c>
      <c r="D20" s="27">
        <f>CUADRO10!E28</f>
        <v>0</v>
      </c>
      <c r="E20" s="30">
        <v>0</v>
      </c>
      <c r="F20" s="27">
        <v>0</v>
      </c>
      <c r="G20" s="30">
        <v>0</v>
      </c>
      <c r="H20" s="27">
        <v>0</v>
      </c>
      <c r="I20" s="30">
        <v>0</v>
      </c>
      <c r="J20" s="27">
        <v>0</v>
      </c>
      <c r="K20" s="30">
        <v>0</v>
      </c>
      <c r="L20" s="94">
        <f>SUM(C20:K20)</f>
        <v>0</v>
      </c>
      <c r="M20" s="30">
        <v>0</v>
      </c>
      <c r="N20" s="27">
        <f>CUADRO10!E17</f>
        <v>0</v>
      </c>
      <c r="O20" s="30">
        <v>0</v>
      </c>
      <c r="P20" s="27">
        <v>0</v>
      </c>
      <c r="Q20" s="30">
        <v>0</v>
      </c>
      <c r="R20" s="27">
        <f>CUADRO10!E16</f>
        <v>0</v>
      </c>
      <c r="S20" s="30">
        <v>0</v>
      </c>
      <c r="T20" s="27">
        <v>0</v>
      </c>
      <c r="U20" s="30">
        <v>0</v>
      </c>
      <c r="V20" s="27">
        <v>0</v>
      </c>
      <c r="W20" s="30">
        <v>0</v>
      </c>
      <c r="X20" s="27">
        <f>SUM(M20:W20)</f>
        <v>0</v>
      </c>
      <c r="Y20" s="86">
        <f>X20+L20</f>
        <v>0</v>
      </c>
      <c r="Z20" s="4"/>
    </row>
    <row r="21" spans="1:26">
      <c r="A21" s="886"/>
      <c r="B21" s="65"/>
      <c r="C21" s="30"/>
      <c r="D21" s="27"/>
      <c r="E21" s="30"/>
      <c r="F21" s="27"/>
      <c r="G21" s="30"/>
      <c r="H21" s="27"/>
      <c r="I21" s="30"/>
      <c r="J21" s="27"/>
      <c r="K21" s="30"/>
      <c r="L21" s="94"/>
      <c r="M21" s="30"/>
      <c r="N21" s="27"/>
      <c r="O21" s="30"/>
      <c r="P21" s="27"/>
      <c r="Q21" s="30"/>
      <c r="R21" s="27"/>
      <c r="S21" s="30"/>
      <c r="T21" s="27"/>
      <c r="U21" s="30"/>
      <c r="V21" s="27"/>
      <c r="W21" s="30"/>
      <c r="X21" s="27"/>
      <c r="Y21" s="86"/>
    </row>
    <row r="22" spans="1:26">
      <c r="A22" s="886"/>
      <c r="B22" s="65" t="s">
        <v>105</v>
      </c>
      <c r="C22" s="30">
        <v>0</v>
      </c>
      <c r="D22" s="27" t="e">
        <f>#REF!</f>
        <v>#REF!</v>
      </c>
      <c r="E22" s="30" t="e">
        <f>#REF!</f>
        <v>#REF!</v>
      </c>
      <c r="F22" s="27">
        <v>0</v>
      </c>
      <c r="G22" s="30">
        <v>0</v>
      </c>
      <c r="H22" s="27">
        <v>0</v>
      </c>
      <c r="I22" s="30" t="e">
        <f>#REF!</f>
        <v>#REF!</v>
      </c>
      <c r="J22" s="27">
        <v>0</v>
      </c>
      <c r="K22" s="30">
        <v>0</v>
      </c>
      <c r="L22" s="94" t="e">
        <f>SUM(C22:K22)</f>
        <v>#REF!</v>
      </c>
      <c r="M22" s="30">
        <v>0</v>
      </c>
      <c r="N22" s="27" t="e">
        <f>#REF!</f>
        <v>#REF!</v>
      </c>
      <c r="O22" s="30">
        <v>0</v>
      </c>
      <c r="P22" s="27">
        <v>0</v>
      </c>
      <c r="Q22" s="30" t="e">
        <f>#REF!</f>
        <v>#REF!</v>
      </c>
      <c r="R22" s="27" t="e">
        <f>#REF!</f>
        <v>#REF!</v>
      </c>
      <c r="S22" s="30" t="e">
        <f>#REF!</f>
        <v>#REF!</v>
      </c>
      <c r="T22" s="27">
        <v>0</v>
      </c>
      <c r="U22" s="30" t="e">
        <f>#REF!+#REF!+#REF!</f>
        <v>#REF!</v>
      </c>
      <c r="V22" s="27">
        <v>0</v>
      </c>
      <c r="W22" s="30">
        <v>0</v>
      </c>
      <c r="X22" s="27" t="e">
        <f>SUM(M22:W22)</f>
        <v>#REF!</v>
      </c>
      <c r="Y22" s="86" t="e">
        <f>X22+L22</f>
        <v>#REF!</v>
      </c>
      <c r="Z22" s="4"/>
    </row>
    <row r="23" spans="1:26">
      <c r="A23" s="886"/>
      <c r="B23" s="65"/>
      <c r="C23" s="30"/>
      <c r="D23" s="27"/>
      <c r="E23" s="30"/>
      <c r="F23" s="27"/>
      <c r="G23" s="30"/>
      <c r="H23" s="27"/>
      <c r="I23" s="30"/>
      <c r="J23" s="27"/>
      <c r="K23" s="30"/>
      <c r="L23" s="94"/>
      <c r="M23" s="30"/>
      <c r="N23" s="27"/>
      <c r="O23" s="30"/>
      <c r="P23" s="27"/>
      <c r="Q23" s="30"/>
      <c r="R23" s="27"/>
      <c r="S23" s="30"/>
      <c r="T23" s="27"/>
      <c r="U23" s="30"/>
      <c r="V23" s="27"/>
      <c r="W23" s="30"/>
      <c r="X23" s="27"/>
      <c r="Y23" s="86"/>
    </row>
    <row r="24" spans="1:26">
      <c r="A24" s="886"/>
      <c r="B24" s="65" t="s">
        <v>106</v>
      </c>
      <c r="C24" s="30">
        <v>0</v>
      </c>
      <c r="D24" s="27" t="e">
        <f>#REF!</f>
        <v>#REF!</v>
      </c>
      <c r="E24" s="30" t="e">
        <f>#REF!</f>
        <v>#REF!</v>
      </c>
      <c r="F24" s="27">
        <v>0</v>
      </c>
      <c r="G24" s="30">
        <v>0</v>
      </c>
      <c r="H24" s="27">
        <v>0</v>
      </c>
      <c r="I24" s="30" t="e">
        <f>#REF!</f>
        <v>#REF!</v>
      </c>
      <c r="J24" s="27">
        <v>0</v>
      </c>
      <c r="K24" s="30">
        <v>0</v>
      </c>
      <c r="L24" s="94" t="e">
        <f>SUM(C24:K24)</f>
        <v>#REF!</v>
      </c>
      <c r="M24" s="30">
        <v>0</v>
      </c>
      <c r="N24" s="27" t="e">
        <f>#REF!</f>
        <v>#REF!</v>
      </c>
      <c r="O24" s="30">
        <v>0</v>
      </c>
      <c r="P24" s="27">
        <v>0</v>
      </c>
      <c r="Q24" s="30" t="e">
        <f>#REF!</f>
        <v>#REF!</v>
      </c>
      <c r="R24" s="27" t="e">
        <f>#REF!</f>
        <v>#REF!</v>
      </c>
      <c r="S24" s="30" t="e">
        <f>#REF!</f>
        <v>#REF!</v>
      </c>
      <c r="T24" s="27">
        <v>0</v>
      </c>
      <c r="U24" s="30" t="e">
        <f>#REF!+#REF!+#REF!</f>
        <v>#REF!</v>
      </c>
      <c r="V24" s="27">
        <v>0</v>
      </c>
      <c r="W24" s="30">
        <v>0</v>
      </c>
      <c r="X24" s="27" t="e">
        <f>SUM(M24:W24)</f>
        <v>#REF!</v>
      </c>
      <c r="Y24" s="86" t="e">
        <f>X24+L24</f>
        <v>#REF!</v>
      </c>
      <c r="Z24" s="4"/>
    </row>
    <row r="25" spans="1:26">
      <c r="A25" s="886"/>
      <c r="B25" s="65"/>
      <c r="C25" s="30"/>
      <c r="D25" s="27"/>
      <c r="E25" s="30"/>
      <c r="F25" s="27"/>
      <c r="G25" s="30"/>
      <c r="H25" s="27"/>
      <c r="I25" s="30"/>
      <c r="J25" s="27"/>
      <c r="K25" s="30"/>
      <c r="L25" s="94"/>
      <c r="M25" s="30"/>
      <c r="N25" s="27"/>
      <c r="O25" s="30"/>
      <c r="P25" s="27"/>
      <c r="Q25" s="30"/>
      <c r="R25" s="27"/>
      <c r="S25" s="30"/>
      <c r="T25" s="27"/>
      <c r="U25" s="30"/>
      <c r="V25" s="27"/>
      <c r="W25" s="30"/>
      <c r="X25" s="27"/>
      <c r="Y25" s="86"/>
    </row>
    <row r="26" spans="1:26">
      <c r="A26" s="886"/>
      <c r="B26" s="65" t="s">
        <v>107</v>
      </c>
      <c r="C26" s="30">
        <v>0</v>
      </c>
      <c r="D26" s="27">
        <v>0</v>
      </c>
      <c r="E26" s="28">
        <v>0</v>
      </c>
      <c r="F26" s="27">
        <v>0</v>
      </c>
      <c r="G26" s="30">
        <v>0</v>
      </c>
      <c r="H26" s="27">
        <v>0</v>
      </c>
      <c r="I26" s="30">
        <v>0</v>
      </c>
      <c r="J26" s="27">
        <v>0</v>
      </c>
      <c r="K26" s="30">
        <v>0</v>
      </c>
      <c r="L26" s="94">
        <f>SUM(C26:K26)</f>
        <v>0</v>
      </c>
      <c r="M26" s="30">
        <v>0</v>
      </c>
      <c r="N26" s="27">
        <v>0</v>
      </c>
      <c r="O26" s="30">
        <v>0</v>
      </c>
      <c r="P26" s="27">
        <v>0</v>
      </c>
      <c r="Q26" s="30">
        <v>0</v>
      </c>
      <c r="R26" s="27">
        <v>0</v>
      </c>
      <c r="S26" s="28">
        <v>0</v>
      </c>
      <c r="T26" s="27">
        <v>0</v>
      </c>
      <c r="U26" s="30">
        <v>0</v>
      </c>
      <c r="V26" s="27">
        <v>0</v>
      </c>
      <c r="W26" s="30">
        <v>0</v>
      </c>
      <c r="X26" s="27">
        <f>SUM(M26:W26)</f>
        <v>0</v>
      </c>
      <c r="Y26" s="86">
        <f>X26+L26</f>
        <v>0</v>
      </c>
      <c r="Z26" s="4"/>
    </row>
    <row r="27" spans="1:26">
      <c r="A27" s="886"/>
      <c r="B27" s="65"/>
      <c r="C27" s="30"/>
      <c r="D27" s="27"/>
      <c r="E27" s="30"/>
      <c r="F27" s="27"/>
      <c r="G27" s="30"/>
      <c r="H27" s="27"/>
      <c r="I27" s="30"/>
      <c r="J27" s="27"/>
      <c r="K27" s="30"/>
      <c r="L27" s="94"/>
      <c r="M27" s="30"/>
      <c r="N27" s="27"/>
      <c r="O27" s="30"/>
      <c r="P27" s="27"/>
      <c r="Q27" s="30"/>
      <c r="R27" s="27"/>
      <c r="S27" s="30"/>
      <c r="T27" s="27"/>
      <c r="U27" s="30"/>
      <c r="V27" s="27"/>
      <c r="W27" s="30"/>
      <c r="X27" s="27"/>
      <c r="Y27" s="86"/>
    </row>
    <row r="28" spans="1:26">
      <c r="A28" s="886"/>
      <c r="B28" s="65" t="s">
        <v>108</v>
      </c>
      <c r="C28" s="30">
        <v>0</v>
      </c>
      <c r="D28" s="27">
        <v>0</v>
      </c>
      <c r="E28" s="30">
        <f>CUADRO10!F25</f>
        <v>0</v>
      </c>
      <c r="F28" s="27">
        <v>0</v>
      </c>
      <c r="G28" s="30">
        <v>0</v>
      </c>
      <c r="H28" s="27">
        <v>0</v>
      </c>
      <c r="I28" s="30">
        <v>0</v>
      </c>
      <c r="J28" s="27">
        <v>0</v>
      </c>
      <c r="K28" s="30">
        <v>0</v>
      </c>
      <c r="L28" s="94">
        <f>SUM(C28:K28)</f>
        <v>0</v>
      </c>
      <c r="M28" s="30">
        <v>0</v>
      </c>
      <c r="N28" s="27">
        <v>0</v>
      </c>
      <c r="O28" s="30">
        <v>0</v>
      </c>
      <c r="P28" s="27">
        <v>0</v>
      </c>
      <c r="Q28" s="30">
        <v>0</v>
      </c>
      <c r="R28" s="27">
        <v>0</v>
      </c>
      <c r="S28" s="30">
        <v>0</v>
      </c>
      <c r="T28" s="27">
        <v>0</v>
      </c>
      <c r="U28" s="30">
        <v>0</v>
      </c>
      <c r="V28" s="27">
        <v>0</v>
      </c>
      <c r="W28" s="30">
        <v>0</v>
      </c>
      <c r="X28" s="27">
        <f>SUM(M28:W28)</f>
        <v>0</v>
      </c>
      <c r="Y28" s="86">
        <f>X28+L28</f>
        <v>0</v>
      </c>
      <c r="Z28" s="4"/>
    </row>
    <row r="29" spans="1:26">
      <c r="A29" s="886"/>
      <c r="B29" s="65"/>
      <c r="C29" s="30"/>
      <c r="D29" s="27"/>
      <c r="E29" s="30"/>
      <c r="F29" s="27"/>
      <c r="G29" s="30"/>
      <c r="H29" s="27"/>
      <c r="I29" s="30"/>
      <c r="J29" s="27"/>
      <c r="K29" s="30"/>
      <c r="L29" s="94"/>
      <c r="M29" s="30"/>
      <c r="N29" s="27"/>
      <c r="O29" s="30"/>
      <c r="P29" s="27"/>
      <c r="Q29" s="30"/>
      <c r="R29" s="27"/>
      <c r="S29" s="30"/>
      <c r="T29" s="27"/>
      <c r="U29" s="30"/>
      <c r="V29" s="27"/>
      <c r="W29" s="30"/>
      <c r="X29" s="27"/>
      <c r="Y29" s="86"/>
    </row>
    <row r="30" spans="1:26">
      <c r="A30" s="886"/>
      <c r="B30" s="65" t="s">
        <v>109</v>
      </c>
      <c r="C30" s="30">
        <v>0</v>
      </c>
      <c r="D30" s="27">
        <v>0</v>
      </c>
      <c r="E30" s="30">
        <f>CUADRO10!D25</f>
        <v>0</v>
      </c>
      <c r="F30" s="27">
        <v>0</v>
      </c>
      <c r="G30" s="30">
        <v>0</v>
      </c>
      <c r="H30" s="27">
        <v>0</v>
      </c>
      <c r="I30" s="30">
        <v>0</v>
      </c>
      <c r="J30" s="27">
        <v>0</v>
      </c>
      <c r="K30" s="30">
        <v>0</v>
      </c>
      <c r="L30" s="94">
        <f>SUM(C30:K30)</f>
        <v>0</v>
      </c>
      <c r="M30" s="30">
        <v>0</v>
      </c>
      <c r="N30" s="27">
        <f>CUADRO10!D17</f>
        <v>0</v>
      </c>
      <c r="O30" s="30">
        <v>0</v>
      </c>
      <c r="P30" s="27">
        <v>0</v>
      </c>
      <c r="Q30" s="30">
        <v>0</v>
      </c>
      <c r="R30" s="27">
        <v>0</v>
      </c>
      <c r="S30" s="30">
        <f>CUADRO10!D26</f>
        <v>0</v>
      </c>
      <c r="T30" s="27">
        <v>0</v>
      </c>
      <c r="U30" s="30">
        <v>0</v>
      </c>
      <c r="V30" s="27">
        <v>0</v>
      </c>
      <c r="W30" s="30">
        <v>0</v>
      </c>
      <c r="X30" s="27">
        <f>SUM(M30:W30)</f>
        <v>0</v>
      </c>
      <c r="Y30" s="86">
        <f>X30+L30</f>
        <v>0</v>
      </c>
      <c r="Z30" s="4"/>
    </row>
    <row r="31" spans="1:26">
      <c r="A31" s="886"/>
      <c r="B31" s="65"/>
      <c r="C31" s="30"/>
      <c r="D31" s="27"/>
      <c r="E31" s="30"/>
      <c r="F31" s="27"/>
      <c r="G31" s="30"/>
      <c r="H31" s="27"/>
      <c r="I31" s="30"/>
      <c r="J31" s="27"/>
      <c r="K31" s="30"/>
      <c r="L31" s="94"/>
      <c r="M31" s="30"/>
      <c r="N31" s="27"/>
      <c r="O31" s="30"/>
      <c r="P31" s="27"/>
      <c r="Q31" s="30"/>
      <c r="R31" s="27"/>
      <c r="S31" s="30"/>
      <c r="T31" s="27"/>
      <c r="U31" s="30"/>
      <c r="V31" s="27"/>
      <c r="W31" s="30"/>
      <c r="X31" s="27"/>
      <c r="Y31" s="86"/>
    </row>
    <row r="32" spans="1:26">
      <c r="A32" s="886"/>
      <c r="B32" s="65" t="s">
        <v>111</v>
      </c>
      <c r="C32" s="30">
        <v>0</v>
      </c>
      <c r="D32" s="27">
        <v>0</v>
      </c>
      <c r="E32" s="30">
        <v>0</v>
      </c>
      <c r="F32" s="27">
        <v>0</v>
      </c>
      <c r="G32" s="30">
        <v>0</v>
      </c>
      <c r="H32" s="27">
        <v>0</v>
      </c>
      <c r="I32" s="30">
        <v>0</v>
      </c>
      <c r="J32" s="27">
        <v>0</v>
      </c>
      <c r="K32" s="30">
        <v>0</v>
      </c>
      <c r="L32" s="94">
        <f>SUM(C32:K32)</f>
        <v>0</v>
      </c>
      <c r="M32" s="30">
        <v>0</v>
      </c>
      <c r="N32" s="27">
        <v>0</v>
      </c>
      <c r="O32" s="30">
        <v>0</v>
      </c>
      <c r="P32" s="27">
        <v>0</v>
      </c>
      <c r="Q32" s="30">
        <v>0</v>
      </c>
      <c r="R32" s="27">
        <v>0</v>
      </c>
      <c r="S32" s="30">
        <v>0</v>
      </c>
      <c r="T32" s="27">
        <v>0</v>
      </c>
      <c r="U32" s="30">
        <v>0</v>
      </c>
      <c r="V32" s="27">
        <v>0</v>
      </c>
      <c r="W32" s="30">
        <v>0</v>
      </c>
      <c r="X32" s="27">
        <f>SUM(M32:W32)</f>
        <v>0</v>
      </c>
      <c r="Y32" s="86">
        <f>X32+L32</f>
        <v>0</v>
      </c>
      <c r="Z32" s="4"/>
    </row>
    <row r="33" spans="1:27">
      <c r="A33" s="886"/>
      <c r="B33" s="65"/>
      <c r="C33" s="30"/>
      <c r="D33" s="27"/>
      <c r="E33" s="30"/>
      <c r="F33" s="27"/>
      <c r="G33" s="30"/>
      <c r="H33" s="27"/>
      <c r="I33" s="30"/>
      <c r="J33" s="27"/>
      <c r="K33" s="30"/>
      <c r="L33" s="94"/>
      <c r="M33" s="30"/>
      <c r="N33" s="27"/>
      <c r="O33" s="30"/>
      <c r="P33" s="27"/>
      <c r="Q33" s="30"/>
      <c r="R33" s="27"/>
      <c r="S33" s="30"/>
      <c r="T33" s="27"/>
      <c r="U33" s="30"/>
      <c r="V33" s="27"/>
      <c r="W33" s="30"/>
      <c r="X33" s="27"/>
      <c r="Y33" s="86"/>
    </row>
    <row r="34" spans="1:27">
      <c r="A34" s="886"/>
      <c r="B34" s="65" t="s">
        <v>112</v>
      </c>
      <c r="C34" s="30">
        <v>0</v>
      </c>
      <c r="D34" s="27">
        <f>CUADRO10!G28</f>
        <v>0</v>
      </c>
      <c r="E34" s="30">
        <v>0</v>
      </c>
      <c r="F34" s="27">
        <v>0</v>
      </c>
      <c r="G34" s="30">
        <v>0</v>
      </c>
      <c r="H34" s="27">
        <v>0</v>
      </c>
      <c r="I34" s="30">
        <v>0</v>
      </c>
      <c r="J34" s="27">
        <v>0</v>
      </c>
      <c r="K34" s="30">
        <v>0</v>
      </c>
      <c r="L34" s="94">
        <f>SUM(C34:K34)</f>
        <v>0</v>
      </c>
      <c r="M34" s="30">
        <v>0</v>
      </c>
      <c r="N34" s="27">
        <v>0</v>
      </c>
      <c r="O34" s="30">
        <v>0</v>
      </c>
      <c r="P34" s="27">
        <v>0</v>
      </c>
      <c r="Q34" s="30">
        <v>0</v>
      </c>
      <c r="R34" s="27">
        <v>0</v>
      </c>
      <c r="S34" s="30">
        <v>0</v>
      </c>
      <c r="T34" s="27">
        <v>0</v>
      </c>
      <c r="U34" s="30">
        <v>0</v>
      </c>
      <c r="V34" s="27">
        <v>0</v>
      </c>
      <c r="W34" s="30">
        <v>0</v>
      </c>
      <c r="X34" s="27">
        <f>SUM(M34:W34)</f>
        <v>0</v>
      </c>
      <c r="Y34" s="86">
        <f>X34+L34</f>
        <v>0</v>
      </c>
      <c r="Z34" s="4"/>
    </row>
    <row r="35" spans="1:27" ht="13.5" thickBot="1">
      <c r="A35" s="887"/>
      <c r="B35" s="66"/>
      <c r="C35" s="73"/>
      <c r="D35" s="87"/>
      <c r="E35" s="73"/>
      <c r="F35" s="87"/>
      <c r="G35" s="73"/>
      <c r="H35" s="87"/>
      <c r="I35" s="73"/>
      <c r="J35" s="87"/>
      <c r="K35" s="73"/>
      <c r="L35" s="89"/>
      <c r="M35" s="73"/>
      <c r="N35" s="87"/>
      <c r="O35" s="73"/>
      <c r="P35" s="87"/>
      <c r="Q35" s="73"/>
      <c r="R35" s="87"/>
      <c r="S35" s="73"/>
      <c r="T35" s="87"/>
      <c r="U35" s="73"/>
      <c r="V35" s="87"/>
      <c r="W35" s="73"/>
      <c r="X35" s="87"/>
      <c r="Y35" s="88"/>
      <c r="Z35" s="4"/>
    </row>
    <row r="36" spans="1:27" ht="13.5" thickBot="1">
      <c r="A36" s="79"/>
      <c r="B36" s="66" t="s">
        <v>113</v>
      </c>
      <c r="C36" s="78">
        <f>C20</f>
        <v>0</v>
      </c>
      <c r="D36" s="89" t="e">
        <f>SUM(D20:D34)</f>
        <v>#REF!</v>
      </c>
      <c r="E36" s="78" t="e">
        <f>SUM(E20:E34)</f>
        <v>#REF!</v>
      </c>
      <c r="F36" s="89">
        <f>SUM(F20:F34)</f>
        <v>0</v>
      </c>
      <c r="G36" s="78">
        <v>0</v>
      </c>
      <c r="H36" s="89">
        <v>0</v>
      </c>
      <c r="I36" s="78" t="e">
        <f t="shared" ref="I36:Y36" si="0">SUM(I20:I34)</f>
        <v>#REF!</v>
      </c>
      <c r="J36" s="89">
        <f t="shared" si="0"/>
        <v>0</v>
      </c>
      <c r="K36" s="78">
        <f t="shared" si="0"/>
        <v>0</v>
      </c>
      <c r="L36" s="89" t="e">
        <f t="shared" si="0"/>
        <v>#REF!</v>
      </c>
      <c r="M36" s="78">
        <f t="shared" si="0"/>
        <v>0</v>
      </c>
      <c r="N36" s="89" t="e">
        <f t="shared" si="0"/>
        <v>#REF!</v>
      </c>
      <c r="O36" s="78">
        <f t="shared" si="0"/>
        <v>0</v>
      </c>
      <c r="P36" s="89">
        <f t="shared" si="0"/>
        <v>0</v>
      </c>
      <c r="Q36" s="78" t="e">
        <f t="shared" si="0"/>
        <v>#REF!</v>
      </c>
      <c r="R36" s="89" t="e">
        <f t="shared" si="0"/>
        <v>#REF!</v>
      </c>
      <c r="S36" s="78" t="e">
        <f t="shared" si="0"/>
        <v>#REF!</v>
      </c>
      <c r="T36" s="89">
        <f t="shared" si="0"/>
        <v>0</v>
      </c>
      <c r="U36" s="78" t="e">
        <f t="shared" si="0"/>
        <v>#REF!</v>
      </c>
      <c r="V36" s="89">
        <f t="shared" si="0"/>
        <v>0</v>
      </c>
      <c r="W36" s="78">
        <f t="shared" si="0"/>
        <v>0</v>
      </c>
      <c r="X36" s="89" t="e">
        <f t="shared" si="0"/>
        <v>#REF!</v>
      </c>
      <c r="Y36" s="88" t="e">
        <f t="shared" si="0"/>
        <v>#REF!</v>
      </c>
      <c r="Z36" s="4"/>
    </row>
    <row r="37" spans="1:27">
      <c r="A37" s="107"/>
      <c r="B37" s="65"/>
      <c r="C37" s="75"/>
      <c r="D37" s="90"/>
      <c r="E37" s="74"/>
      <c r="F37" s="90"/>
      <c r="G37" s="74"/>
      <c r="H37" s="90"/>
      <c r="I37" s="74"/>
      <c r="J37" s="90"/>
      <c r="K37" s="74"/>
      <c r="L37" s="92"/>
      <c r="M37" s="74"/>
      <c r="N37" s="90"/>
      <c r="O37" s="74"/>
      <c r="P37" s="90"/>
      <c r="Q37" s="74"/>
      <c r="R37" s="90"/>
      <c r="S37" s="74"/>
      <c r="T37" s="90"/>
      <c r="U37" s="74"/>
      <c r="V37" s="90"/>
      <c r="W37" s="74"/>
      <c r="X37" s="90"/>
      <c r="Y37" s="91"/>
      <c r="Z37" s="4"/>
    </row>
    <row r="38" spans="1:27">
      <c r="A38" s="107"/>
      <c r="B38" s="65" t="s">
        <v>114</v>
      </c>
      <c r="C38" s="76">
        <v>0</v>
      </c>
      <c r="D38" s="27" t="e">
        <f>#REF!</f>
        <v>#REF!</v>
      </c>
      <c r="E38" s="30" t="e">
        <f>#REF!</f>
        <v>#REF!</v>
      </c>
      <c r="F38" s="27">
        <v>0</v>
      </c>
      <c r="G38" s="30">
        <v>0</v>
      </c>
      <c r="H38" s="27">
        <v>0</v>
      </c>
      <c r="I38" s="30">
        <v>0</v>
      </c>
      <c r="J38" s="27">
        <v>0</v>
      </c>
      <c r="K38" s="30">
        <v>0</v>
      </c>
      <c r="L38" s="94" t="e">
        <f>SUM(C38:K38)</f>
        <v>#REF!</v>
      </c>
      <c r="M38" s="30" t="e">
        <f>#REF!</f>
        <v>#REF!</v>
      </c>
      <c r="N38" s="27" t="e">
        <f>#REF!</f>
        <v>#REF!</v>
      </c>
      <c r="O38" s="30">
        <v>0</v>
      </c>
      <c r="P38" s="27" t="e">
        <f>#REF!+#REF!</f>
        <v>#REF!</v>
      </c>
      <c r="Q38" s="30" t="e">
        <f>#REF!</f>
        <v>#REF!</v>
      </c>
      <c r="R38" s="27" t="e">
        <f>#REF!</f>
        <v>#REF!</v>
      </c>
      <c r="S38" s="30">
        <v>0</v>
      </c>
      <c r="T38" s="27">
        <v>0</v>
      </c>
      <c r="U38" s="30" t="e">
        <f>#REF!+#REF!+#REF!</f>
        <v>#REF!</v>
      </c>
      <c r="V38" s="27" t="e">
        <f>#REF!+#REF!+#REF!</f>
        <v>#REF!</v>
      </c>
      <c r="W38" s="30">
        <v>0</v>
      </c>
      <c r="X38" s="27" t="e">
        <f>SUM(M38:W38)</f>
        <v>#REF!</v>
      </c>
      <c r="Y38" s="86" t="e">
        <f>X38+L38</f>
        <v>#REF!</v>
      </c>
      <c r="Z38" s="4"/>
    </row>
    <row r="39" spans="1:27">
      <c r="A39" s="107"/>
      <c r="B39" s="65" t="s">
        <v>115</v>
      </c>
      <c r="C39" s="76">
        <v>0</v>
      </c>
      <c r="D39" s="27" t="e">
        <f>CUADRO3!#REF!</f>
        <v>#REF!</v>
      </c>
      <c r="E39" s="30">
        <v>0</v>
      </c>
      <c r="F39" s="27">
        <v>0</v>
      </c>
      <c r="G39" s="30">
        <v>0</v>
      </c>
      <c r="H39" s="27">
        <v>0</v>
      </c>
      <c r="I39" s="30">
        <v>0</v>
      </c>
      <c r="J39" s="27">
        <v>0</v>
      </c>
      <c r="K39" s="30">
        <v>0</v>
      </c>
      <c r="L39" s="94" t="e">
        <f>SUM(C39:K39)</f>
        <v>#REF!</v>
      </c>
      <c r="M39" s="30">
        <v>3904.1140276019396</v>
      </c>
      <c r="N39" s="27">
        <v>0</v>
      </c>
      <c r="O39" s="30">
        <v>0</v>
      </c>
      <c r="P39" s="27">
        <v>0</v>
      </c>
      <c r="Q39" s="30">
        <v>0</v>
      </c>
      <c r="R39" s="27">
        <v>0</v>
      </c>
      <c r="S39" s="30">
        <v>0</v>
      </c>
      <c r="T39" s="27">
        <v>0</v>
      </c>
      <c r="U39" s="30">
        <v>0</v>
      </c>
      <c r="V39" s="27">
        <v>0</v>
      </c>
      <c r="W39" s="30">
        <v>0</v>
      </c>
      <c r="X39" s="27">
        <f>SUM(M39:W39)</f>
        <v>3904.1140276019396</v>
      </c>
      <c r="Y39" s="86" t="e">
        <f>X39+L39</f>
        <v>#REF!</v>
      </c>
      <c r="Z39" s="4"/>
      <c r="AA39" s="4"/>
    </row>
    <row r="40" spans="1:27" ht="13.5" thickBot="1">
      <c r="A40" s="79"/>
      <c r="B40" s="66" t="s">
        <v>116</v>
      </c>
      <c r="C40" s="87">
        <f t="shared" ref="C40:H40" si="1">C18-C36-C39-C58</f>
        <v>92349.898592566897</v>
      </c>
      <c r="D40" s="87" t="e">
        <f t="shared" si="1"/>
        <v>#REF!</v>
      </c>
      <c r="E40" s="87" t="e">
        <f t="shared" si="1"/>
        <v>#REF!</v>
      </c>
      <c r="F40" s="87">
        <f t="shared" si="1"/>
        <v>20310.838125240003</v>
      </c>
      <c r="G40" s="87">
        <f t="shared" si="1"/>
        <v>0</v>
      </c>
      <c r="H40" s="87">
        <f t="shared" si="1"/>
        <v>0</v>
      </c>
      <c r="I40" s="73" t="e">
        <f t="shared" ref="I40:W40" si="2">I18-I36-I39-I58</f>
        <v>#REF!</v>
      </c>
      <c r="J40" s="87">
        <f t="shared" si="2"/>
        <v>0</v>
      </c>
      <c r="K40" s="73">
        <f t="shared" si="2"/>
        <v>0</v>
      </c>
      <c r="L40" s="94" t="e">
        <f>SUM(C40:K40)</f>
        <v>#REF!</v>
      </c>
      <c r="M40" s="73" t="e">
        <f>M18+M14-M36-M39-M58</f>
        <v>#REF!</v>
      </c>
      <c r="N40" s="87" t="e">
        <f t="shared" si="2"/>
        <v>#REF!</v>
      </c>
      <c r="O40" s="73" t="e">
        <f t="shared" si="2"/>
        <v>#REF!</v>
      </c>
      <c r="P40" s="87" t="e">
        <f t="shared" si="2"/>
        <v>#REF!</v>
      </c>
      <c r="Q40" s="73" t="e">
        <f t="shared" si="2"/>
        <v>#REF!</v>
      </c>
      <c r="R40" s="87" t="e">
        <f t="shared" si="2"/>
        <v>#REF!</v>
      </c>
      <c r="S40" s="73" t="e">
        <f t="shared" si="2"/>
        <v>#REF!</v>
      </c>
      <c r="T40" s="87">
        <f t="shared" si="2"/>
        <v>0</v>
      </c>
      <c r="U40" s="73" t="e">
        <f t="shared" si="2"/>
        <v>#REF!</v>
      </c>
      <c r="V40" s="87" t="e">
        <f t="shared" si="2"/>
        <v>#REF!</v>
      </c>
      <c r="W40" s="73">
        <f t="shared" si="2"/>
        <v>0</v>
      </c>
      <c r="X40" s="27" t="e">
        <f>SUM(M40:W40)</f>
        <v>#REF!</v>
      </c>
      <c r="Y40" s="86" t="e">
        <f>X40+L40</f>
        <v>#REF!</v>
      </c>
      <c r="Z40" s="4"/>
    </row>
    <row r="41" spans="1:27">
      <c r="A41" s="885" t="s">
        <v>186</v>
      </c>
      <c r="B41" s="64"/>
      <c r="C41" s="74"/>
      <c r="D41" s="90"/>
      <c r="E41" s="74"/>
      <c r="F41" s="90"/>
      <c r="G41" s="74"/>
      <c r="H41" s="90"/>
      <c r="I41" s="74"/>
      <c r="J41" s="90"/>
      <c r="K41" s="74"/>
      <c r="L41" s="92"/>
      <c r="M41" s="74"/>
      <c r="N41" s="90"/>
      <c r="O41" s="74"/>
      <c r="P41" s="90"/>
      <c r="Q41" s="74"/>
      <c r="R41" s="90"/>
      <c r="S41" s="74"/>
      <c r="T41" s="90"/>
      <c r="U41" s="74"/>
      <c r="V41" s="90"/>
      <c r="W41" s="74"/>
      <c r="X41" s="90"/>
      <c r="Y41" s="91"/>
      <c r="Z41" s="4"/>
    </row>
    <row r="42" spans="1:27">
      <c r="A42" s="886"/>
      <c r="B42" s="65" t="s">
        <v>117</v>
      </c>
      <c r="C42" s="30">
        <v>0</v>
      </c>
      <c r="D42" s="27">
        <f>CUADRO5!C26</f>
        <v>2854.0025196758079</v>
      </c>
      <c r="E42" s="30">
        <v>0</v>
      </c>
      <c r="F42" s="27">
        <v>0</v>
      </c>
      <c r="G42" s="30">
        <v>0</v>
      </c>
      <c r="H42" s="27">
        <v>0</v>
      </c>
      <c r="I42" s="30">
        <v>0</v>
      </c>
      <c r="J42" s="27">
        <v>0</v>
      </c>
      <c r="K42" s="30">
        <v>0</v>
      </c>
      <c r="L42" s="94">
        <f>SUM(C42:K42)</f>
        <v>2854.0025196758079</v>
      </c>
      <c r="M42" s="30">
        <f>CUADRO5!C19</f>
        <v>3295.6753486855478</v>
      </c>
      <c r="N42" s="27">
        <f>CUADRO5!C12</f>
        <v>153.4840351</v>
      </c>
      <c r="O42" s="30" t="e">
        <f>CUADRO5!C10+CUADRO5!#REF!+CUADRO5!C13</f>
        <v>#REF!</v>
      </c>
      <c r="P42" s="27">
        <f>CUADRO5!C11+CUADRO5!C14</f>
        <v>0.21099179699999998</v>
      </c>
      <c r="Q42" s="30">
        <f>CUADRO5!C9</f>
        <v>34.010686499999998</v>
      </c>
      <c r="R42" s="27">
        <f>CUADRO5!C8</f>
        <v>0.84760754399999994</v>
      </c>
      <c r="S42" s="30">
        <v>0</v>
      </c>
      <c r="T42" s="27"/>
      <c r="U42" s="30">
        <v>0</v>
      </c>
      <c r="V42" s="27">
        <v>0</v>
      </c>
      <c r="W42" s="30">
        <v>0</v>
      </c>
      <c r="X42" s="27" t="e">
        <f>SUM(M42:W42)</f>
        <v>#REF!</v>
      </c>
      <c r="Y42" s="86" t="e">
        <f>X42+L42</f>
        <v>#REF!</v>
      </c>
      <c r="Z42" s="4"/>
    </row>
    <row r="43" spans="1:27">
      <c r="A43" s="886"/>
      <c r="B43" s="65"/>
      <c r="C43" s="30"/>
      <c r="D43" s="27"/>
      <c r="E43" s="30"/>
      <c r="F43" s="27"/>
      <c r="G43" s="30"/>
      <c r="H43" s="27"/>
      <c r="I43" s="30"/>
      <c r="J43" s="27"/>
      <c r="K43" s="30"/>
      <c r="L43" s="94"/>
      <c r="M43" s="30"/>
      <c r="N43" s="27"/>
      <c r="O43" s="30"/>
      <c r="P43" s="27"/>
      <c r="Q43" s="30"/>
      <c r="R43" s="27"/>
      <c r="S43" s="30"/>
      <c r="T43" s="27"/>
      <c r="U43" s="30"/>
      <c r="V43" s="27"/>
      <c r="W43" s="30"/>
      <c r="X43" s="27"/>
      <c r="Y43" s="86"/>
    </row>
    <row r="44" spans="1:27">
      <c r="A44" s="886"/>
      <c r="B44" s="65" t="s">
        <v>118</v>
      </c>
      <c r="C44" s="30">
        <v>0</v>
      </c>
      <c r="D44" s="27">
        <f>CUADRO5!D26</f>
        <v>7923.3903045652951</v>
      </c>
      <c r="E44" s="30">
        <f>CUADRO5!D20</f>
        <v>90.029335500000002</v>
      </c>
      <c r="F44" s="27">
        <v>0</v>
      </c>
      <c r="G44" s="30">
        <v>0</v>
      </c>
      <c r="H44" s="27">
        <v>0</v>
      </c>
      <c r="I44" s="30">
        <f>CUADRO5!D28</f>
        <v>19428.873731196778</v>
      </c>
      <c r="J44" s="27">
        <v>0</v>
      </c>
      <c r="K44" s="30">
        <v>0</v>
      </c>
      <c r="L44" s="94">
        <f>SUM(C44:K44)</f>
        <v>27442.293371262072</v>
      </c>
      <c r="M44" s="30">
        <f>CUADRO5!D19</f>
        <v>35983.882592985203</v>
      </c>
      <c r="N44" s="27">
        <f>CUADRO5!D12</f>
        <v>3166.2744507126408</v>
      </c>
      <c r="O44" s="30" t="e">
        <f>CUADRO5!D10+CUADRO5!#REF!+CUADRO5!D13</f>
        <v>#REF!</v>
      </c>
      <c r="P44" s="27">
        <f>CUADRO5!D11+CUADRO5!D14</f>
        <v>862.2972129240876</v>
      </c>
      <c r="Q44" s="30">
        <f>CUADRO5!D9</f>
        <v>5670.0088918405727</v>
      </c>
      <c r="R44" s="27">
        <f>CUADRO5!D8</f>
        <v>31374.110353450291</v>
      </c>
      <c r="S44" s="30">
        <f>CUADRO5!D21</f>
        <v>581.15</v>
      </c>
      <c r="T44" s="27">
        <v>0</v>
      </c>
      <c r="U44" s="30">
        <f>CUADRO5!D16+CUADRO5!D24+CUADRO5!D25</f>
        <v>1.145864292</v>
      </c>
      <c r="V44" s="27">
        <f>CUADRO5!D15+CUADRO5!D22</f>
        <v>0</v>
      </c>
      <c r="W44" s="30">
        <v>0</v>
      </c>
      <c r="X44" s="27" t="e">
        <f>SUM(M44:W44)</f>
        <v>#REF!</v>
      </c>
      <c r="Y44" s="86" t="e">
        <f>X44+L44</f>
        <v>#REF!</v>
      </c>
      <c r="Z44" s="4"/>
    </row>
    <row r="45" spans="1:27">
      <c r="A45" s="886"/>
      <c r="B45" s="65"/>
      <c r="C45" s="30"/>
      <c r="D45" s="27"/>
      <c r="E45" s="30"/>
      <c r="F45" s="27"/>
      <c r="G45" s="30"/>
      <c r="H45" s="27"/>
      <c r="I45" s="30"/>
      <c r="J45" s="27"/>
      <c r="K45" s="30"/>
      <c r="L45" s="94"/>
      <c r="M45" s="30"/>
      <c r="N45" s="27"/>
      <c r="O45" s="30"/>
      <c r="P45" s="27"/>
      <c r="Q45" s="30"/>
      <c r="R45" s="27"/>
      <c r="S45" s="30"/>
      <c r="T45" s="27"/>
      <c r="U45" s="30"/>
      <c r="V45" s="27"/>
      <c r="W45" s="30"/>
      <c r="X45" s="27"/>
      <c r="Y45" s="86"/>
    </row>
    <row r="46" spans="1:27">
      <c r="A46" s="886"/>
      <c r="B46" s="65" t="s">
        <v>34</v>
      </c>
      <c r="C46" s="30">
        <v>0</v>
      </c>
      <c r="D46" s="27">
        <f>CUADRO8!E28</f>
        <v>17714.156874019784</v>
      </c>
      <c r="E46" s="30">
        <f>CUADRO8!E26</f>
        <v>4907.5447983288595</v>
      </c>
      <c r="F46" s="27">
        <v>0</v>
      </c>
      <c r="G46" s="30">
        <v>0</v>
      </c>
      <c r="H46" s="27">
        <v>0</v>
      </c>
      <c r="I46" s="30">
        <f>CUADRO8!E29</f>
        <v>0</v>
      </c>
      <c r="J46" s="27">
        <v>0</v>
      </c>
      <c r="K46" s="30">
        <v>0</v>
      </c>
      <c r="L46" s="94">
        <f>SUM(C46:K46)</f>
        <v>22621.701672348645</v>
      </c>
      <c r="M46" s="30">
        <f>CUADRO8!E25</f>
        <v>0</v>
      </c>
      <c r="N46" s="27">
        <f>CUADRO8!E15</f>
        <v>0</v>
      </c>
      <c r="O46" s="30">
        <f>0</f>
        <v>0</v>
      </c>
      <c r="P46" s="27">
        <f>CUADRO8!E14</f>
        <v>0</v>
      </c>
      <c r="Q46" s="30">
        <f>CUADRO8!E12</f>
        <v>8995.1695021340711</v>
      </c>
      <c r="R46" s="27">
        <f>CUADRO8!E11</f>
        <v>1335.7076495068425</v>
      </c>
      <c r="S46" s="30">
        <v>0</v>
      </c>
      <c r="T46" s="27">
        <v>0</v>
      </c>
      <c r="U46" s="30">
        <f>CUADRO8!E27</f>
        <v>0</v>
      </c>
      <c r="V46" s="27">
        <v>0</v>
      </c>
      <c r="W46" s="30">
        <v>0</v>
      </c>
      <c r="X46" s="27">
        <f>SUM(M46:W46)</f>
        <v>10330.877151640914</v>
      </c>
      <c r="Y46" s="86">
        <f>X46+L46</f>
        <v>32952.578823989563</v>
      </c>
      <c r="Z46" s="4"/>
    </row>
    <row r="47" spans="1:27">
      <c r="A47" s="886"/>
      <c r="B47" s="65" t="s">
        <v>66</v>
      </c>
      <c r="C47" s="30"/>
      <c r="D47" s="27"/>
      <c r="E47" s="30"/>
      <c r="F47" s="27"/>
      <c r="G47" s="30"/>
      <c r="H47" s="27"/>
      <c r="I47" s="30"/>
      <c r="J47" s="27"/>
      <c r="K47" s="30"/>
      <c r="L47" s="94"/>
      <c r="M47" s="30"/>
      <c r="N47" s="27"/>
      <c r="O47" s="30"/>
      <c r="P47" s="27"/>
      <c r="Q47" s="30"/>
      <c r="R47" s="27"/>
      <c r="S47" s="30"/>
      <c r="T47" s="27"/>
      <c r="U47" s="30"/>
      <c r="V47" s="27"/>
      <c r="W47" s="30"/>
      <c r="X47" s="27"/>
      <c r="Y47" s="86"/>
    </row>
    <row r="48" spans="1:27">
      <c r="A48" s="886"/>
      <c r="B48" s="65" t="s">
        <v>119</v>
      </c>
      <c r="C48" s="30">
        <v>0</v>
      </c>
      <c r="D48" s="27">
        <f>CUADRO8!C28+CUADRO8!D28</f>
        <v>120.86000260204764</v>
      </c>
      <c r="E48" s="30">
        <f>CUADRO8!C26+CUADRO8!D26</f>
        <v>1636.451330627252</v>
      </c>
      <c r="F48" s="27">
        <v>0</v>
      </c>
      <c r="G48" s="30">
        <v>0</v>
      </c>
      <c r="H48" s="27">
        <v>0</v>
      </c>
      <c r="I48" s="30">
        <f>CUADRO8!C29+CUADRO8!D29</f>
        <v>163.8922824</v>
      </c>
      <c r="J48" s="27">
        <v>0</v>
      </c>
      <c r="K48" s="30">
        <v>0</v>
      </c>
      <c r="L48" s="94">
        <f>SUM(C48:K48)</f>
        <v>1921.2036156292997</v>
      </c>
      <c r="M48" s="30">
        <f>CUADRO8!C25+CUADRO8!D25</f>
        <v>0</v>
      </c>
      <c r="N48" s="27">
        <f>CUADRO8!C15+CUADRO8!D15</f>
        <v>0</v>
      </c>
      <c r="O48" s="30">
        <v>0</v>
      </c>
      <c r="P48" s="27">
        <f>CUADRO8!C14+CUADRO8!D14</f>
        <v>403.27920311399998</v>
      </c>
      <c r="Q48" s="30">
        <f>CUADRO8!C12+CUADRO8!D12</f>
        <v>1325.8037315929998</v>
      </c>
      <c r="R48" s="27">
        <f>CUADRO8!C11+CUADRO8!D11</f>
        <v>25.085925032498981</v>
      </c>
      <c r="S48" s="30">
        <v>0</v>
      </c>
      <c r="T48" s="27">
        <v>0</v>
      </c>
      <c r="U48" s="30">
        <f>CUADRO8!C27+CUADRO8!D27</f>
        <v>31.907538547592914</v>
      </c>
      <c r="V48" s="27">
        <f>CUADRO8!D18</f>
        <v>0</v>
      </c>
      <c r="W48" s="30">
        <v>0</v>
      </c>
      <c r="X48" s="27">
        <f>SUM(M48:W48)</f>
        <v>1786.0763982870917</v>
      </c>
      <c r="Y48" s="86">
        <f>X48+L48</f>
        <v>3707.2800139163915</v>
      </c>
      <c r="Z48" s="4"/>
    </row>
    <row r="49" spans="1:27">
      <c r="A49" s="886"/>
      <c r="B49" s="65" t="s">
        <v>66</v>
      </c>
      <c r="C49" s="30"/>
      <c r="D49" s="27"/>
      <c r="E49" s="30"/>
      <c r="F49" s="27"/>
      <c r="G49" s="30"/>
      <c r="H49" s="27"/>
      <c r="I49" s="30"/>
      <c r="J49" s="27"/>
      <c r="K49" s="30"/>
      <c r="L49" s="94"/>
      <c r="M49" s="30"/>
      <c r="N49" s="27"/>
      <c r="O49" s="30"/>
      <c r="P49" s="27"/>
      <c r="Q49" s="30"/>
      <c r="R49" s="27"/>
      <c r="S49" s="30"/>
      <c r="T49" s="27"/>
      <c r="U49" s="30"/>
      <c r="V49" s="27"/>
      <c r="W49" s="30"/>
      <c r="X49" s="27"/>
      <c r="Y49" s="86"/>
    </row>
    <row r="50" spans="1:27">
      <c r="A50" s="886"/>
      <c r="B50" s="65" t="s">
        <v>120</v>
      </c>
      <c r="C50" s="30">
        <v>0</v>
      </c>
      <c r="D50" s="27">
        <v>0</v>
      </c>
      <c r="E50" s="30">
        <v>0</v>
      </c>
      <c r="F50" s="27">
        <v>0</v>
      </c>
      <c r="G50" s="30">
        <v>0</v>
      </c>
      <c r="H50" s="27">
        <v>0</v>
      </c>
      <c r="I50" s="30">
        <v>0</v>
      </c>
      <c r="J50" s="27">
        <v>0</v>
      </c>
      <c r="K50" s="30">
        <v>0</v>
      </c>
      <c r="L50" s="94">
        <f>SUM(C50:K50)</f>
        <v>0</v>
      </c>
      <c r="M50" s="30">
        <v>0</v>
      </c>
      <c r="N50" s="27">
        <v>0</v>
      </c>
      <c r="O50" s="30">
        <v>0</v>
      </c>
      <c r="P50" s="27">
        <v>0</v>
      </c>
      <c r="Q50" s="30">
        <v>0</v>
      </c>
      <c r="R50" s="27">
        <v>0</v>
      </c>
      <c r="S50" s="30">
        <v>0</v>
      </c>
      <c r="T50" s="27">
        <v>0</v>
      </c>
      <c r="U50" s="30">
        <v>0</v>
      </c>
      <c r="V50" s="27">
        <v>0</v>
      </c>
      <c r="W50" s="30">
        <v>0</v>
      </c>
      <c r="X50" s="27">
        <f>SUM(M50:W50)</f>
        <v>0</v>
      </c>
      <c r="Y50" s="86">
        <f>X50+L50</f>
        <v>0</v>
      </c>
      <c r="Z50" s="4"/>
    </row>
    <row r="51" spans="1:27">
      <c r="A51" s="886"/>
      <c r="B51" s="65" t="s">
        <v>66</v>
      </c>
      <c r="C51" s="30"/>
      <c r="D51" s="27"/>
      <c r="E51" s="30"/>
      <c r="F51" s="27"/>
      <c r="G51" s="30"/>
      <c r="H51" s="27"/>
      <c r="I51" s="30"/>
      <c r="J51" s="27"/>
      <c r="K51" s="30"/>
      <c r="L51" s="94"/>
      <c r="M51" s="30"/>
      <c r="N51" s="27"/>
      <c r="O51" s="30"/>
      <c r="P51" s="27"/>
      <c r="Q51" s="30"/>
      <c r="R51" s="27"/>
      <c r="S51" s="30"/>
      <c r="T51" s="27"/>
      <c r="U51" s="30"/>
      <c r="V51" s="27"/>
      <c r="W51" s="30"/>
      <c r="X51" s="27"/>
      <c r="Y51" s="86"/>
    </row>
    <row r="52" spans="1:27">
      <c r="A52" s="886"/>
      <c r="B52" s="65" t="s">
        <v>121</v>
      </c>
      <c r="C52" s="30">
        <v>0</v>
      </c>
      <c r="D52" s="27">
        <v>0</v>
      </c>
      <c r="E52" s="30">
        <v>0</v>
      </c>
      <c r="F52" s="27">
        <v>0</v>
      </c>
      <c r="G52" s="30">
        <v>0</v>
      </c>
      <c r="H52" s="27">
        <v>0</v>
      </c>
      <c r="I52" s="30">
        <v>0</v>
      </c>
      <c r="J52" s="27">
        <v>0</v>
      </c>
      <c r="K52" s="30">
        <v>0</v>
      </c>
      <c r="L52" s="94">
        <f>SUM(C52:K52)</f>
        <v>0</v>
      </c>
      <c r="M52" s="30">
        <v>0</v>
      </c>
      <c r="N52" s="27">
        <v>0</v>
      </c>
      <c r="O52" s="30">
        <v>0</v>
      </c>
      <c r="P52" s="27">
        <v>0</v>
      </c>
      <c r="Q52" s="30">
        <v>0</v>
      </c>
      <c r="R52" s="27">
        <v>0</v>
      </c>
      <c r="S52" s="30">
        <v>0</v>
      </c>
      <c r="T52" s="27">
        <v>0</v>
      </c>
      <c r="U52" s="30">
        <v>0</v>
      </c>
      <c r="V52" s="27">
        <v>0</v>
      </c>
      <c r="W52" s="30">
        <v>0</v>
      </c>
      <c r="X52" s="27">
        <f>SUM(M52:W52)</f>
        <v>0</v>
      </c>
      <c r="Y52" s="86">
        <f>X52+L52</f>
        <v>0</v>
      </c>
      <c r="Z52" s="4"/>
    </row>
    <row r="53" spans="1:27" ht="13.5" thickBot="1">
      <c r="A53" s="886"/>
      <c r="B53" s="66" t="s">
        <v>66</v>
      </c>
      <c r="C53" s="73"/>
      <c r="D53" s="87"/>
      <c r="E53" s="73"/>
      <c r="F53" s="87"/>
      <c r="G53" s="73"/>
      <c r="H53" s="87"/>
      <c r="I53" s="73"/>
      <c r="J53" s="87"/>
      <c r="K53" s="73"/>
      <c r="L53" s="89"/>
      <c r="M53" s="73"/>
      <c r="N53" s="87"/>
      <c r="O53" s="73"/>
      <c r="P53" s="87"/>
      <c r="Q53" s="73"/>
      <c r="R53" s="87"/>
      <c r="S53" s="73"/>
      <c r="T53" s="87"/>
      <c r="U53" s="73"/>
      <c r="V53" s="87"/>
      <c r="W53" s="73"/>
      <c r="X53" s="87"/>
      <c r="Y53" s="88"/>
    </row>
    <row r="54" spans="1:27">
      <c r="A54" s="886"/>
      <c r="B54" s="65" t="s">
        <v>122</v>
      </c>
      <c r="C54" s="80">
        <v>0</v>
      </c>
      <c r="D54" s="92" t="e">
        <f>SUM(D42:D52)+D38</f>
        <v>#REF!</v>
      </c>
      <c r="E54" s="93" t="e">
        <f>SUM(E42:E52)+E38</f>
        <v>#REF!</v>
      </c>
      <c r="F54" s="92">
        <v>0</v>
      </c>
      <c r="G54" s="93">
        <v>0</v>
      </c>
      <c r="H54" s="92">
        <v>0</v>
      </c>
      <c r="I54" s="93">
        <f>SUM(I42:I52)+I38</f>
        <v>19592.766013596778</v>
      </c>
      <c r="J54" s="92">
        <v>0</v>
      </c>
      <c r="K54" s="93">
        <f>SUM(K42:K52)</f>
        <v>0</v>
      </c>
      <c r="L54" s="92" t="e">
        <f>SUM(L42:L52)+L38</f>
        <v>#REF!</v>
      </c>
      <c r="M54" s="93" t="e">
        <f>SUM(M42:M52)+M38</f>
        <v>#REF!</v>
      </c>
      <c r="N54" s="92" t="e">
        <f>SUM(N42:N52)+N38</f>
        <v>#REF!</v>
      </c>
      <c r="O54" s="93" t="e">
        <f>SUM(O42:O52)</f>
        <v>#REF!</v>
      </c>
      <c r="P54" s="92" t="e">
        <f>SUM(P42:P52)+P38</f>
        <v>#REF!</v>
      </c>
      <c r="Q54" s="93" t="e">
        <f>SUM(Q42:Q52)+Q38</f>
        <v>#REF!</v>
      </c>
      <c r="R54" s="92" t="e">
        <f>SUM(R42:R52)+R38</f>
        <v>#REF!</v>
      </c>
      <c r="S54" s="93">
        <f>SUM(S42:S52)+S38</f>
        <v>581.15</v>
      </c>
      <c r="T54" s="92">
        <f>SUM(T42:T52)</f>
        <v>0</v>
      </c>
      <c r="U54" s="93" t="e">
        <f>SUM(U42:U52)+U38</f>
        <v>#REF!</v>
      </c>
      <c r="V54" s="92" t="e">
        <f>SUM(V42:V52)+V38</f>
        <v>#REF!</v>
      </c>
      <c r="W54" s="93">
        <v>0</v>
      </c>
      <c r="X54" s="92" t="e">
        <f>SUM(X42:X52)+X38</f>
        <v>#REF!</v>
      </c>
      <c r="Y54" s="139" t="e">
        <f>X54+L54</f>
        <v>#REF!</v>
      </c>
      <c r="Z54" s="4"/>
    </row>
    <row r="55" spans="1:27">
      <c r="A55" s="886"/>
      <c r="B55" s="65"/>
      <c r="C55" s="81"/>
      <c r="D55" s="94"/>
      <c r="E55" s="95"/>
      <c r="F55" s="94"/>
      <c r="G55" s="95"/>
      <c r="H55" s="94"/>
      <c r="I55" s="95"/>
      <c r="J55" s="94"/>
      <c r="K55" s="95"/>
      <c r="L55" s="94"/>
      <c r="M55" s="95"/>
      <c r="N55" s="94"/>
      <c r="O55" s="95"/>
      <c r="P55" s="94"/>
      <c r="Q55" s="95"/>
      <c r="R55" s="94"/>
      <c r="S55" s="95"/>
      <c r="T55" s="94"/>
      <c r="U55" s="95"/>
      <c r="V55" s="94"/>
      <c r="W55" s="95"/>
      <c r="X55" s="94"/>
      <c r="Y55" s="86"/>
    </row>
    <row r="56" spans="1:27">
      <c r="A56" s="886"/>
      <c r="B56" s="65" t="s">
        <v>123</v>
      </c>
      <c r="C56" s="81">
        <v>0</v>
      </c>
      <c r="D56" s="94">
        <v>0</v>
      </c>
      <c r="E56" s="95">
        <v>0</v>
      </c>
      <c r="F56" s="94">
        <v>0</v>
      </c>
      <c r="G56" s="95">
        <v>0</v>
      </c>
      <c r="H56" s="94">
        <v>0</v>
      </c>
      <c r="I56" s="95">
        <v>0</v>
      </c>
      <c r="J56" s="94">
        <v>0</v>
      </c>
      <c r="K56" s="95">
        <v>0</v>
      </c>
      <c r="L56" s="94">
        <v>0</v>
      </c>
      <c r="M56" s="95">
        <v>0</v>
      </c>
      <c r="N56" s="94">
        <v>0</v>
      </c>
      <c r="O56" s="95">
        <v>0</v>
      </c>
      <c r="P56" s="94">
        <v>0</v>
      </c>
      <c r="Q56" s="95">
        <v>0</v>
      </c>
      <c r="R56" s="94">
        <v>0</v>
      </c>
      <c r="S56" s="95">
        <v>0</v>
      </c>
      <c r="T56" s="94">
        <v>0</v>
      </c>
      <c r="U56" s="95">
        <v>0</v>
      </c>
      <c r="V56" s="94">
        <v>0</v>
      </c>
      <c r="W56" s="95">
        <f>W18</f>
        <v>427.53057357000012</v>
      </c>
      <c r="X56" s="94">
        <f>SUM(M56:W56)</f>
        <v>427.53057357000012</v>
      </c>
      <c r="Y56" s="86">
        <f>X56+L56</f>
        <v>427.53057357000012</v>
      </c>
      <c r="Z56" s="4"/>
    </row>
    <row r="57" spans="1:27" ht="13.5" thickBot="1">
      <c r="A57" s="886"/>
      <c r="B57" s="66"/>
      <c r="C57" s="82"/>
      <c r="D57" s="89"/>
      <c r="E57" s="78"/>
      <c r="F57" s="89"/>
      <c r="G57" s="78"/>
      <c r="H57" s="89"/>
      <c r="I57" s="78"/>
      <c r="J57" s="89"/>
      <c r="K57" s="78"/>
      <c r="L57" s="89"/>
      <c r="M57" s="78"/>
      <c r="N57" s="89"/>
      <c r="O57" s="78"/>
      <c r="P57" s="89"/>
      <c r="Q57" s="78"/>
      <c r="R57" s="89"/>
      <c r="S57" s="78"/>
      <c r="T57" s="89"/>
      <c r="U57" s="78"/>
      <c r="V57" s="89"/>
      <c r="W57" s="78"/>
      <c r="X57" s="89"/>
      <c r="Y57" s="88"/>
      <c r="Z57" s="4"/>
    </row>
    <row r="58" spans="1:27" ht="13.5" thickBot="1">
      <c r="A58" s="887"/>
      <c r="B58" s="110" t="s">
        <v>124</v>
      </c>
      <c r="C58" s="97">
        <v>0</v>
      </c>
      <c r="D58" s="96" t="e">
        <f t="shared" ref="D58:K58" si="3">D54+D56</f>
        <v>#REF!</v>
      </c>
      <c r="E58" s="97" t="e">
        <f t="shared" si="3"/>
        <v>#REF!</v>
      </c>
      <c r="F58" s="97">
        <f t="shared" si="3"/>
        <v>0</v>
      </c>
      <c r="G58" s="97">
        <f t="shared" si="3"/>
        <v>0</v>
      </c>
      <c r="H58" s="97">
        <f t="shared" si="3"/>
        <v>0</v>
      </c>
      <c r="I58" s="97">
        <f t="shared" si="3"/>
        <v>19592.766013596778</v>
      </c>
      <c r="J58" s="97">
        <f t="shared" si="3"/>
        <v>0</v>
      </c>
      <c r="K58" s="97">
        <f t="shared" si="3"/>
        <v>0</v>
      </c>
      <c r="L58" s="96" t="e">
        <f t="shared" ref="L58:W58" si="4">L54+L56</f>
        <v>#REF!</v>
      </c>
      <c r="M58" s="97" t="e">
        <f t="shared" si="4"/>
        <v>#REF!</v>
      </c>
      <c r="N58" s="96" t="e">
        <f t="shared" si="4"/>
        <v>#REF!</v>
      </c>
      <c r="O58" s="97" t="e">
        <f t="shared" si="4"/>
        <v>#REF!</v>
      </c>
      <c r="P58" s="106" t="e">
        <f t="shared" si="4"/>
        <v>#REF!</v>
      </c>
      <c r="Q58" s="97" t="e">
        <f t="shared" si="4"/>
        <v>#REF!</v>
      </c>
      <c r="R58" s="106" t="e">
        <f t="shared" si="4"/>
        <v>#REF!</v>
      </c>
      <c r="S58" s="96">
        <f t="shared" si="4"/>
        <v>581.15</v>
      </c>
      <c r="T58" s="97">
        <f t="shared" si="4"/>
        <v>0</v>
      </c>
      <c r="U58" s="96" t="e">
        <f t="shared" si="4"/>
        <v>#REF!</v>
      </c>
      <c r="V58" s="97" t="e">
        <f t="shared" si="4"/>
        <v>#REF!</v>
      </c>
      <c r="W58" s="96">
        <f t="shared" si="4"/>
        <v>427.53057357000012</v>
      </c>
      <c r="X58" s="97" t="e">
        <f>X54+X56</f>
        <v>#REF!</v>
      </c>
      <c r="Y58" s="98" t="e">
        <f>X58+L58</f>
        <v>#REF!</v>
      </c>
      <c r="Z58" s="4"/>
    </row>
    <row r="59" spans="1:27" ht="13.5" thickBot="1">
      <c r="A59" s="109"/>
      <c r="B59" s="111" t="s">
        <v>194</v>
      </c>
      <c r="C59" s="97">
        <f>C58+C36</f>
        <v>0</v>
      </c>
      <c r="D59" s="96" t="e">
        <f t="shared" ref="D59:I59" si="5">D58+D36</f>
        <v>#REF!</v>
      </c>
      <c r="E59" s="97" t="e">
        <f t="shared" si="5"/>
        <v>#REF!</v>
      </c>
      <c r="F59" s="96">
        <f t="shared" si="5"/>
        <v>0</v>
      </c>
      <c r="G59" s="97">
        <f t="shared" si="5"/>
        <v>0</v>
      </c>
      <c r="H59" s="96">
        <f t="shared" si="5"/>
        <v>0</v>
      </c>
      <c r="I59" s="97" t="e">
        <f t="shared" si="5"/>
        <v>#REF!</v>
      </c>
      <c r="J59" s="96">
        <f t="shared" ref="J59:Y59" si="6">J58+J36</f>
        <v>0</v>
      </c>
      <c r="K59" s="97">
        <f t="shared" si="6"/>
        <v>0</v>
      </c>
      <c r="L59" s="96" t="e">
        <f t="shared" si="6"/>
        <v>#REF!</v>
      </c>
      <c r="M59" s="97" t="e">
        <f t="shared" si="6"/>
        <v>#REF!</v>
      </c>
      <c r="N59" s="96" t="e">
        <f t="shared" si="6"/>
        <v>#REF!</v>
      </c>
      <c r="O59" s="97" t="e">
        <f t="shared" si="6"/>
        <v>#REF!</v>
      </c>
      <c r="P59" s="106" t="e">
        <f t="shared" si="6"/>
        <v>#REF!</v>
      </c>
      <c r="Q59" s="97" t="e">
        <f t="shared" si="6"/>
        <v>#REF!</v>
      </c>
      <c r="R59" s="106" t="e">
        <f t="shared" si="6"/>
        <v>#REF!</v>
      </c>
      <c r="S59" s="96" t="e">
        <f t="shared" si="6"/>
        <v>#REF!</v>
      </c>
      <c r="T59" s="97">
        <f t="shared" si="6"/>
        <v>0</v>
      </c>
      <c r="U59" s="96" t="e">
        <f t="shared" si="6"/>
        <v>#REF!</v>
      </c>
      <c r="V59" s="97" t="e">
        <f t="shared" si="6"/>
        <v>#REF!</v>
      </c>
      <c r="W59" s="96">
        <f t="shared" si="6"/>
        <v>427.53057357000012</v>
      </c>
      <c r="X59" s="97" t="e">
        <f t="shared" si="6"/>
        <v>#REF!</v>
      </c>
      <c r="Y59" s="140" t="e">
        <f t="shared" si="6"/>
        <v>#REF!</v>
      </c>
      <c r="Z59" s="4"/>
    </row>
    <row r="60" spans="1:27">
      <c r="X60" s="34"/>
      <c r="AA60" s="4"/>
    </row>
    <row r="61" spans="1:27">
      <c r="E61" s="34"/>
      <c r="L61" s="34"/>
      <c r="Y61" s="34"/>
    </row>
    <row r="62" spans="1:27">
      <c r="C62" s="2" t="s">
        <v>195</v>
      </c>
      <c r="M62" s="34"/>
      <c r="Y62" s="34"/>
    </row>
    <row r="63" spans="1:27">
      <c r="C63" s="2" t="s">
        <v>196</v>
      </c>
    </row>
    <row r="64" spans="1:27">
      <c r="C64" s="2" t="s">
        <v>197</v>
      </c>
    </row>
    <row r="65" spans="3:3">
      <c r="C65" s="2" t="s">
        <v>198</v>
      </c>
    </row>
    <row r="66" spans="3:3">
      <c r="C66" s="2" t="s">
        <v>199</v>
      </c>
    </row>
    <row r="67" spans="3:3">
      <c r="C67" s="108" t="s">
        <v>200</v>
      </c>
    </row>
    <row r="68" spans="3:3">
      <c r="C68" s="108" t="s">
        <v>252</v>
      </c>
    </row>
    <row r="69" spans="3:3">
      <c r="C69" s="108" t="s">
        <v>208</v>
      </c>
    </row>
  </sheetData>
  <mergeCells count="5">
    <mergeCell ref="M4:Y4"/>
    <mergeCell ref="A8:A17"/>
    <mergeCell ref="A19:A35"/>
    <mergeCell ref="A41:A58"/>
    <mergeCell ref="C4:L4"/>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X48"/>
  <sheetViews>
    <sheetView workbookViewId="0"/>
  </sheetViews>
  <sheetFormatPr baseColWidth="10" defaultRowHeight="12.75"/>
  <cols>
    <col min="1" max="1" width="34.28515625" style="134" customWidth="1"/>
    <col min="2" max="14" width="11.42578125" style="134"/>
    <col min="15" max="15" width="21.28515625" style="134" customWidth="1"/>
    <col min="16" max="16384" width="11.42578125" style="134"/>
  </cols>
  <sheetData>
    <row r="1" spans="1:24">
      <c r="A1" s="23"/>
      <c r="B1" s="23"/>
      <c r="C1" s="128" t="s">
        <v>229</v>
      </c>
      <c r="D1" s="23"/>
      <c r="E1" s="23"/>
      <c r="F1" s="23"/>
      <c r="G1" s="23"/>
      <c r="H1" s="23"/>
      <c r="I1" s="23"/>
      <c r="J1" s="23"/>
      <c r="K1" s="23"/>
      <c r="L1" s="23"/>
      <c r="M1" s="23"/>
      <c r="N1" s="23"/>
      <c r="O1" s="2"/>
      <c r="P1" s="2"/>
      <c r="Q1" s="2"/>
      <c r="R1" s="2"/>
      <c r="S1" s="2"/>
      <c r="T1" s="2"/>
      <c r="U1" s="2"/>
      <c r="V1" s="2"/>
      <c r="W1" s="2"/>
      <c r="X1" s="2"/>
    </row>
    <row r="2" spans="1:24">
      <c r="A2" s="22" t="s">
        <v>261</v>
      </c>
      <c r="B2" s="23"/>
      <c r="C2" s="23"/>
      <c r="D2" s="23"/>
      <c r="E2" s="22" t="s">
        <v>181</v>
      </c>
      <c r="F2" s="23"/>
      <c r="G2" s="23"/>
      <c r="H2" s="23"/>
      <c r="I2" s="23"/>
      <c r="J2" s="23"/>
      <c r="K2" s="23"/>
      <c r="L2" s="23"/>
      <c r="M2" s="23"/>
      <c r="N2" s="23"/>
      <c r="O2" s="2"/>
      <c r="P2" s="2"/>
      <c r="Q2" s="2"/>
      <c r="R2" s="2"/>
      <c r="S2" s="2"/>
      <c r="T2" s="2"/>
      <c r="U2" s="2"/>
      <c r="V2" s="2"/>
      <c r="W2" s="2"/>
      <c r="X2" s="2"/>
    </row>
    <row r="3" spans="1:24">
      <c r="A3" s="22" t="s">
        <v>70</v>
      </c>
      <c r="B3" s="23">
        <v>1</v>
      </c>
      <c r="C3" s="23">
        <v>2</v>
      </c>
      <c r="D3" s="23">
        <v>3</v>
      </c>
      <c r="E3" s="23">
        <v>4</v>
      </c>
      <c r="F3" s="23">
        <v>5</v>
      </c>
      <c r="G3" s="23">
        <v>6</v>
      </c>
      <c r="H3" s="23">
        <v>7</v>
      </c>
      <c r="I3" s="23">
        <v>8</v>
      </c>
      <c r="J3" s="23">
        <v>9</v>
      </c>
      <c r="K3" s="23">
        <v>10</v>
      </c>
      <c r="L3" s="23">
        <v>11</v>
      </c>
      <c r="M3" s="23">
        <v>12</v>
      </c>
      <c r="N3" s="23">
        <v>13</v>
      </c>
      <c r="O3" s="2"/>
      <c r="P3" s="2"/>
      <c r="Q3" s="2"/>
      <c r="R3" s="2"/>
      <c r="S3" s="2"/>
      <c r="T3" s="2"/>
      <c r="U3" s="2"/>
      <c r="V3" s="2"/>
      <c r="W3" s="2"/>
      <c r="X3" s="2"/>
    </row>
    <row r="4" spans="1:24">
      <c r="A4" s="35"/>
      <c r="B4" s="36" t="s">
        <v>136</v>
      </c>
      <c r="C4" s="37" t="s">
        <v>136</v>
      </c>
      <c r="D4" s="38" t="s">
        <v>137</v>
      </c>
      <c r="E4" s="37" t="s">
        <v>138</v>
      </c>
      <c r="F4" s="38" t="s">
        <v>39</v>
      </c>
      <c r="G4" s="37" t="s">
        <v>139</v>
      </c>
      <c r="H4" s="38" t="s">
        <v>140</v>
      </c>
      <c r="I4" s="37" t="s">
        <v>141</v>
      </c>
      <c r="J4" s="38" t="s">
        <v>142</v>
      </c>
      <c r="K4" s="37" t="s">
        <v>168</v>
      </c>
      <c r="L4" s="38" t="s">
        <v>143</v>
      </c>
      <c r="M4" s="37" t="s">
        <v>144</v>
      </c>
      <c r="N4" s="38" t="s">
        <v>33</v>
      </c>
      <c r="O4" s="37" t="s">
        <v>172</v>
      </c>
      <c r="P4" s="2"/>
      <c r="Q4" s="2"/>
      <c r="R4" s="2"/>
      <c r="S4" s="2"/>
      <c r="T4" s="2"/>
      <c r="U4" s="2"/>
      <c r="V4" s="2"/>
      <c r="W4" s="2"/>
      <c r="X4" s="2"/>
    </row>
    <row r="5" spans="1:24">
      <c r="A5" s="39"/>
      <c r="B5" s="40"/>
      <c r="C5" s="41" t="s">
        <v>145</v>
      </c>
      <c r="D5" s="42" t="s">
        <v>146</v>
      </c>
      <c r="E5" s="41" t="s">
        <v>147</v>
      </c>
      <c r="F5" s="42" t="s">
        <v>148</v>
      </c>
      <c r="G5" s="41" t="s">
        <v>39</v>
      </c>
      <c r="H5" s="42"/>
      <c r="I5" s="41"/>
      <c r="J5" s="42" t="s">
        <v>149</v>
      </c>
      <c r="K5" s="41"/>
      <c r="L5" s="42"/>
      <c r="M5" s="41"/>
      <c r="N5" s="42"/>
      <c r="O5" s="41" t="s">
        <v>180</v>
      </c>
      <c r="P5" s="2"/>
      <c r="Q5" s="2"/>
      <c r="R5" s="2"/>
      <c r="S5" s="2"/>
      <c r="T5" s="2"/>
      <c r="U5" s="2"/>
      <c r="V5" s="2"/>
      <c r="W5" s="2"/>
      <c r="X5" s="2"/>
    </row>
    <row r="6" spans="1:24">
      <c r="A6" s="43" t="s">
        <v>150</v>
      </c>
      <c r="B6" s="44">
        <f>CUADRO3!C9</f>
        <v>13513.885199999999</v>
      </c>
      <c r="C6" s="45">
        <f>CUADRO4!C20+CUADRO4!C22</f>
        <v>3114.5896441599998</v>
      </c>
      <c r="D6" s="46">
        <f>CUADRO3!C7</f>
        <v>2645.1545316944057</v>
      </c>
      <c r="E6" s="45">
        <f>CUADRO4!C7</f>
        <v>96024.525009667399</v>
      </c>
      <c r="F6" s="46">
        <f>CUADRO3!C8</f>
        <v>9401.5571213901076</v>
      </c>
      <c r="G6" s="45">
        <f>CUADRO4!C24</f>
        <v>78.850381000000013</v>
      </c>
      <c r="H6" s="46"/>
      <c r="I6" s="47"/>
      <c r="J6" s="48"/>
      <c r="K6" s="45">
        <f>CUADRO4!C23+CUADRO4!C25</f>
        <v>1897.2257083888724</v>
      </c>
      <c r="L6" s="46">
        <f>CUADRO4!C19</f>
        <v>64091.627778193797</v>
      </c>
      <c r="M6" s="45">
        <f>CUADRO4!C28</f>
        <v>73430.280199428016</v>
      </c>
      <c r="N6" s="46">
        <f>SUM(B6:M6)</f>
        <v>264197.6955739226</v>
      </c>
      <c r="O6" s="45">
        <f>N6-D6</f>
        <v>261552.5410422282</v>
      </c>
      <c r="P6" s="2"/>
      <c r="Q6" s="2"/>
      <c r="R6" s="2"/>
      <c r="S6" s="2"/>
      <c r="T6" s="2"/>
      <c r="U6" s="2"/>
      <c r="V6" s="2"/>
      <c r="W6" s="2"/>
      <c r="X6" s="2"/>
    </row>
    <row r="7" spans="1:24">
      <c r="A7" s="43" t="s">
        <v>151</v>
      </c>
      <c r="B7" s="44">
        <f>CUADRO3!D9</f>
        <v>59728.889766499931</v>
      </c>
      <c r="C7" s="45">
        <f>CUADRO4!D20</f>
        <v>19.189820999999998</v>
      </c>
      <c r="D7" s="46">
        <f>CUADRO3!D7</f>
        <v>90125.784825008406</v>
      </c>
      <c r="E7" s="45">
        <f>CUADRO4!D7</f>
        <v>81949.403110342013</v>
      </c>
      <c r="F7" s="46">
        <f>CUADRO3!D8</f>
        <v>34810.519397158496</v>
      </c>
      <c r="G7" s="45">
        <f>CUADRO4!D24</f>
        <v>8.1302056</v>
      </c>
      <c r="H7" s="48"/>
      <c r="I7" s="47"/>
      <c r="J7" s="48"/>
      <c r="K7" s="45">
        <f>CUADRO4!D23+CUADRO4!D25</f>
        <v>0</v>
      </c>
      <c r="L7" s="46">
        <f>CUADRO4!D19</f>
        <v>0</v>
      </c>
      <c r="M7" s="45">
        <f>CUADRO4!D28</f>
        <v>74.150999999999996</v>
      </c>
      <c r="N7" s="46">
        <f t="shared" ref="N7:N26" si="0">SUM(B7:M7)</f>
        <v>266716.06812560884</v>
      </c>
      <c r="O7" s="45">
        <f t="shared" ref="O7:O25" si="1">N7-D7</f>
        <v>176590.28330060042</v>
      </c>
      <c r="P7" s="2"/>
      <c r="Q7" s="2"/>
      <c r="R7" s="2"/>
      <c r="S7" s="2"/>
      <c r="T7" s="2"/>
      <c r="U7" s="2"/>
      <c r="V7" s="2"/>
      <c r="W7" s="2"/>
      <c r="X7" s="2"/>
    </row>
    <row r="8" spans="1:24">
      <c r="A8" s="43" t="s">
        <v>152</v>
      </c>
      <c r="B8" s="44">
        <f>CUADRO3!E9</f>
        <v>5907.58</v>
      </c>
      <c r="C8" s="45">
        <f>CUADRO4!E20</f>
        <v>278.74079999999998</v>
      </c>
      <c r="D8" s="46">
        <f>CUADRO3!E7</f>
        <v>0</v>
      </c>
      <c r="E8" s="45">
        <f>CUADRO4!E7</f>
        <v>5334.8548232648</v>
      </c>
      <c r="F8" s="46">
        <f>CUADRO3!E8</f>
        <v>0</v>
      </c>
      <c r="G8" s="45">
        <f>CUADRO4!E24</f>
        <v>0</v>
      </c>
      <c r="H8" s="48"/>
      <c r="I8" s="47"/>
      <c r="J8" s="48"/>
      <c r="K8" s="45">
        <f>CUADRO4!E23+CUADRO4!E25</f>
        <v>1103.900155</v>
      </c>
      <c r="L8" s="46">
        <f>CUADRO4!E19</f>
        <v>0</v>
      </c>
      <c r="M8" s="45">
        <f>CUADRO4!E28</f>
        <v>0.50298100000000001</v>
      </c>
      <c r="N8" s="46">
        <f t="shared" si="0"/>
        <v>12625.578759264799</v>
      </c>
      <c r="O8" s="45">
        <f t="shared" si="1"/>
        <v>12625.578759264799</v>
      </c>
      <c r="P8" s="2"/>
      <c r="Q8" s="2"/>
      <c r="R8" s="2"/>
      <c r="S8" s="2"/>
      <c r="T8" s="2"/>
      <c r="U8" s="2"/>
      <c r="V8" s="2"/>
      <c r="W8" s="2"/>
      <c r="X8" s="2"/>
    </row>
    <row r="9" spans="1:24">
      <c r="A9" s="43" t="s">
        <v>153</v>
      </c>
      <c r="B9" s="49">
        <v>0</v>
      </c>
      <c r="C9" s="47"/>
      <c r="D9" s="48"/>
      <c r="E9" s="45">
        <v>0</v>
      </c>
      <c r="F9" s="28"/>
      <c r="G9" s="47">
        <v>0</v>
      </c>
      <c r="H9" s="48"/>
      <c r="I9" s="47"/>
      <c r="J9" s="48"/>
      <c r="K9" s="47">
        <v>0</v>
      </c>
      <c r="L9" s="48">
        <v>0</v>
      </c>
      <c r="M9" s="47">
        <f>0</f>
        <v>0</v>
      </c>
      <c r="N9" s="48">
        <f t="shared" si="0"/>
        <v>0</v>
      </c>
      <c r="O9" s="45">
        <f t="shared" si="1"/>
        <v>0</v>
      </c>
      <c r="P9" s="2"/>
      <c r="Q9" s="2"/>
      <c r="R9" s="2"/>
      <c r="S9" s="2"/>
      <c r="T9" s="2"/>
      <c r="U9" s="2"/>
      <c r="V9" s="2"/>
      <c r="W9" s="2"/>
      <c r="X9" s="2"/>
    </row>
    <row r="10" spans="1:24">
      <c r="A10" s="43" t="s">
        <v>154</v>
      </c>
      <c r="B10" s="44">
        <f>CUADRO3!F9</f>
        <v>-8226.9217888023304</v>
      </c>
      <c r="C10" s="45">
        <f>CUADRO4!F20+CUADRO4!F22</f>
        <v>51.431799899999902</v>
      </c>
      <c r="D10" s="46">
        <f>CUADRO3!F7</f>
        <v>421.04076413592003</v>
      </c>
      <c r="E10" s="45">
        <f>CUADRO4!F7</f>
        <v>6285.3072633543507</v>
      </c>
      <c r="F10" s="46">
        <f>CUADRO3!F8</f>
        <v>2730.6838839472657</v>
      </c>
      <c r="G10" s="45">
        <f>CUADRO4!F24</f>
        <v>7.4885710050680068</v>
      </c>
      <c r="H10" s="48"/>
      <c r="I10" s="47"/>
      <c r="J10" s="48"/>
      <c r="K10" s="45">
        <f>CUADRO4!F23+CUADRO4!F25</f>
        <v>89.855553388872281</v>
      </c>
      <c r="L10" s="46">
        <f>CUADRO4!F19</f>
        <v>3624.0838318819774</v>
      </c>
      <c r="M10" s="45">
        <f>CUADRO4!F28</f>
        <v>545.00895677164249</v>
      </c>
      <c r="N10" s="46">
        <f t="shared" si="0"/>
        <v>5527.978835582765</v>
      </c>
      <c r="O10" s="45">
        <f t="shared" si="1"/>
        <v>5106.9380714468452</v>
      </c>
      <c r="P10" s="2"/>
      <c r="Q10" s="2"/>
      <c r="R10" s="2"/>
      <c r="S10" s="2"/>
      <c r="T10" s="2"/>
      <c r="U10" s="2"/>
      <c r="V10" s="2"/>
      <c r="W10" s="2"/>
      <c r="X10" s="2"/>
    </row>
    <row r="11" spans="1:24">
      <c r="A11" s="50" t="s">
        <v>155</v>
      </c>
      <c r="B11" s="51">
        <f>B6+B7-B8-B9-B10</f>
        <v>75562.116755302253</v>
      </c>
      <c r="C11" s="52">
        <f t="shared" ref="C11:O11" si="2">C6+C7-C8-C9-C10</f>
        <v>2803.6068652599997</v>
      </c>
      <c r="D11" s="53">
        <f t="shared" si="2"/>
        <v>92349.898592566897</v>
      </c>
      <c r="E11" s="52">
        <f t="shared" si="2"/>
        <v>166353.76603339027</v>
      </c>
      <c r="F11" s="53">
        <f t="shared" si="2"/>
        <v>41481.392634601332</v>
      </c>
      <c r="G11" s="52">
        <f t="shared" si="2"/>
        <v>79.492015594931999</v>
      </c>
      <c r="H11" s="53"/>
      <c r="I11" s="52"/>
      <c r="J11" s="53"/>
      <c r="K11" s="52">
        <f t="shared" si="2"/>
        <v>703.47</v>
      </c>
      <c r="L11" s="53">
        <f t="shared" si="2"/>
        <v>60467.543946311816</v>
      </c>
      <c r="M11" s="52">
        <f t="shared" si="2"/>
        <v>72958.919261656367</v>
      </c>
      <c r="N11" s="53">
        <f t="shared" si="2"/>
        <v>512760.20610468386</v>
      </c>
      <c r="O11" s="52">
        <f t="shared" si="2"/>
        <v>420410.30751211697</v>
      </c>
      <c r="P11" s="2"/>
      <c r="Q11" s="2"/>
      <c r="R11" s="2"/>
      <c r="S11" s="2"/>
      <c r="T11" s="2"/>
      <c r="U11" s="2"/>
      <c r="V11" s="2"/>
      <c r="W11" s="2"/>
      <c r="X11" s="2"/>
    </row>
    <row r="12" spans="1:24">
      <c r="A12" s="43" t="s">
        <v>156</v>
      </c>
      <c r="B12" s="44" t="e">
        <f>#REF!</f>
        <v>#REF!</v>
      </c>
      <c r="C12" s="45" t="e">
        <f>#REF!</f>
        <v>#REF!</v>
      </c>
      <c r="D12" s="48">
        <v>0</v>
      </c>
      <c r="E12" s="45" t="e">
        <f>#REF!</f>
        <v>#REF!</v>
      </c>
      <c r="F12" s="46" t="e">
        <f>#REF!</f>
        <v>#REF!</v>
      </c>
      <c r="G12" s="45" t="e">
        <f>#REF!</f>
        <v>#REF!</v>
      </c>
      <c r="H12" s="46"/>
      <c r="I12" s="47"/>
      <c r="J12" s="48"/>
      <c r="K12" s="45" t="e">
        <f>#REF!</f>
        <v>#REF!</v>
      </c>
      <c r="L12" s="46">
        <v>0</v>
      </c>
      <c r="M12" s="45" t="e">
        <f>#REF!</f>
        <v>#REF!</v>
      </c>
      <c r="N12" s="46" t="e">
        <f t="shared" si="0"/>
        <v>#REF!</v>
      </c>
      <c r="O12" s="45" t="e">
        <f t="shared" si="1"/>
        <v>#REF!</v>
      </c>
      <c r="P12" s="2"/>
      <c r="Q12" s="2"/>
      <c r="R12" s="2"/>
      <c r="S12" s="2"/>
      <c r="T12" s="2"/>
      <c r="U12" s="2"/>
      <c r="V12" s="2"/>
      <c r="W12" s="2"/>
      <c r="X12" s="2"/>
    </row>
    <row r="13" spans="1:24">
      <c r="A13" s="43" t="s">
        <v>157</v>
      </c>
      <c r="B13" s="44" t="e">
        <f>#REF!</f>
        <v>#REF!</v>
      </c>
      <c r="C13" s="45" t="e">
        <f>#REF!</f>
        <v>#REF!</v>
      </c>
      <c r="D13" s="48">
        <v>0</v>
      </c>
      <c r="E13" s="45" t="e">
        <f>#REF!</f>
        <v>#REF!</v>
      </c>
      <c r="F13" s="46" t="e">
        <f>#REF!</f>
        <v>#REF!</v>
      </c>
      <c r="G13" s="45" t="e">
        <f>#REF!</f>
        <v>#REF!</v>
      </c>
      <c r="H13" s="48"/>
      <c r="I13" s="47"/>
      <c r="J13" s="48"/>
      <c r="K13" s="45" t="e">
        <f>#REF!</f>
        <v>#REF!</v>
      </c>
      <c r="L13" s="46">
        <v>0</v>
      </c>
      <c r="M13" s="45" t="e">
        <f>#REF!</f>
        <v>#REF!</v>
      </c>
      <c r="N13" s="46" t="e">
        <f t="shared" si="0"/>
        <v>#REF!</v>
      </c>
      <c r="O13" s="45" t="e">
        <f t="shared" si="1"/>
        <v>#REF!</v>
      </c>
      <c r="P13" s="2"/>
      <c r="Q13" s="2"/>
      <c r="R13" s="2"/>
      <c r="S13" s="2"/>
      <c r="T13" s="2"/>
      <c r="U13" s="2"/>
      <c r="V13" s="2"/>
      <c r="W13" s="2"/>
      <c r="X13" s="2"/>
    </row>
    <row r="14" spans="1:24">
      <c r="A14" s="43" t="s">
        <v>158</v>
      </c>
      <c r="B14" s="44" t="e">
        <f>#REF!+#REF!</f>
        <v>#REF!</v>
      </c>
      <c r="C14" s="45" t="e">
        <f>#REF!+#REF!</f>
        <v>#REF!</v>
      </c>
      <c r="D14" s="48">
        <v>0</v>
      </c>
      <c r="E14" s="45" t="e">
        <f>#REF!+#REF!</f>
        <v>#REF!</v>
      </c>
      <c r="F14" s="46">
        <v>0</v>
      </c>
      <c r="G14" s="45" t="e">
        <f>#REF!+#REF!</f>
        <v>#REF!</v>
      </c>
      <c r="H14" s="48"/>
      <c r="I14" s="47"/>
      <c r="J14" s="48"/>
      <c r="K14" s="45">
        <v>0</v>
      </c>
      <c r="L14" s="46">
        <v>0</v>
      </c>
      <c r="M14" s="45" t="e">
        <f>#REF!+#REF!</f>
        <v>#REF!</v>
      </c>
      <c r="N14" s="46" t="e">
        <f t="shared" si="0"/>
        <v>#REF!</v>
      </c>
      <c r="O14" s="45" t="e">
        <f t="shared" si="1"/>
        <v>#REF!</v>
      </c>
      <c r="P14" s="2"/>
      <c r="Q14" s="2"/>
      <c r="R14" s="2"/>
      <c r="S14" s="2"/>
      <c r="T14" s="2"/>
      <c r="U14" s="2"/>
      <c r="V14" s="2"/>
      <c r="W14" s="2"/>
      <c r="X14" s="2"/>
    </row>
    <row r="15" spans="1:24">
      <c r="A15" s="43" t="s">
        <v>159</v>
      </c>
      <c r="B15" s="44" t="e">
        <f>#REF!</f>
        <v>#REF!</v>
      </c>
      <c r="C15" s="45" t="e">
        <f>#REF!</f>
        <v>#REF!</v>
      </c>
      <c r="D15" s="46">
        <f>D11</f>
        <v>92349.898592566897</v>
      </c>
      <c r="E15" s="45" t="e">
        <f>#REF!</f>
        <v>#REF!</v>
      </c>
      <c r="F15" s="46" t="e">
        <f>#REF!</f>
        <v>#REF!</v>
      </c>
      <c r="G15" s="45" t="e">
        <f>#REF!</f>
        <v>#REF!</v>
      </c>
      <c r="H15" s="48"/>
      <c r="I15" s="47"/>
      <c r="J15" s="48"/>
      <c r="K15" s="45">
        <v>0</v>
      </c>
      <c r="L15" s="46">
        <v>0</v>
      </c>
      <c r="M15" s="45" t="e">
        <f>#REF!</f>
        <v>#REF!</v>
      </c>
      <c r="N15" s="46" t="e">
        <f t="shared" si="0"/>
        <v>#REF!</v>
      </c>
      <c r="O15" s="45" t="e">
        <f t="shared" si="1"/>
        <v>#REF!</v>
      </c>
      <c r="P15" s="2"/>
      <c r="Q15" s="2"/>
      <c r="R15" s="2"/>
      <c r="S15" s="2"/>
      <c r="T15" s="2"/>
      <c r="U15" s="2"/>
      <c r="V15" s="2"/>
      <c r="W15" s="2"/>
      <c r="X15" s="2"/>
    </row>
    <row r="16" spans="1:24">
      <c r="A16" s="43" t="s">
        <v>160</v>
      </c>
      <c r="B16" s="44">
        <v>0</v>
      </c>
      <c r="C16" s="45" t="e">
        <f>#REF!+#REF!</f>
        <v>#REF!</v>
      </c>
      <c r="D16" s="48">
        <v>0</v>
      </c>
      <c r="E16" s="45" t="e">
        <f>#REF!+#REF!</f>
        <v>#REF!</v>
      </c>
      <c r="F16" s="46" t="e">
        <f>#REF!+#REF!</f>
        <v>#REF!</v>
      </c>
      <c r="G16" s="45">
        <v>0</v>
      </c>
      <c r="H16" s="48"/>
      <c r="I16" s="47"/>
      <c r="J16" s="48"/>
      <c r="K16" s="45">
        <v>0</v>
      </c>
      <c r="L16" s="46">
        <v>0</v>
      </c>
      <c r="M16" s="45" t="e">
        <f>#REF!+#REF!</f>
        <v>#REF!</v>
      </c>
      <c r="N16" s="46" t="e">
        <f t="shared" si="0"/>
        <v>#REF!</v>
      </c>
      <c r="O16" s="45" t="e">
        <f t="shared" si="1"/>
        <v>#REF!</v>
      </c>
      <c r="P16" s="2"/>
      <c r="Q16" s="2"/>
      <c r="R16" s="2"/>
      <c r="S16" s="2"/>
      <c r="T16" s="2"/>
      <c r="U16" s="2"/>
      <c r="V16" s="2"/>
      <c r="W16" s="2"/>
      <c r="X16" s="2"/>
    </row>
    <row r="17" spans="1:24">
      <c r="A17" s="43" t="s">
        <v>161</v>
      </c>
      <c r="B17" s="44">
        <v>0</v>
      </c>
      <c r="C17" s="45">
        <v>0</v>
      </c>
      <c r="D17" s="46">
        <v>0</v>
      </c>
      <c r="E17" s="45">
        <v>0</v>
      </c>
      <c r="F17" s="46">
        <v>0</v>
      </c>
      <c r="G17" s="45">
        <v>0</v>
      </c>
      <c r="H17" s="48"/>
      <c r="I17" s="47"/>
      <c r="J17" s="48"/>
      <c r="K17" s="45">
        <v>0</v>
      </c>
      <c r="L17" s="46">
        <v>0</v>
      </c>
      <c r="M17" s="45">
        <v>0</v>
      </c>
      <c r="N17" s="46">
        <f t="shared" si="0"/>
        <v>0</v>
      </c>
      <c r="O17" s="45">
        <f t="shared" si="1"/>
        <v>0</v>
      </c>
      <c r="P17" s="2"/>
      <c r="Q17" s="2"/>
      <c r="R17" s="2"/>
      <c r="S17" s="2"/>
      <c r="T17" s="2"/>
      <c r="U17" s="2"/>
      <c r="V17" s="2"/>
      <c r="W17" s="2"/>
      <c r="X17" s="2"/>
    </row>
    <row r="18" spans="1:24">
      <c r="A18" s="43" t="s">
        <v>175</v>
      </c>
      <c r="B18" s="44">
        <v>0</v>
      </c>
      <c r="C18" s="45">
        <v>0</v>
      </c>
      <c r="D18" s="46">
        <v>0</v>
      </c>
      <c r="E18" s="45">
        <v>0</v>
      </c>
      <c r="F18" s="46">
        <v>0</v>
      </c>
      <c r="G18" s="45">
        <v>0</v>
      </c>
      <c r="H18" s="48"/>
      <c r="I18" s="47"/>
      <c r="J18" s="48"/>
      <c r="K18" s="45">
        <v>0</v>
      </c>
      <c r="L18" s="46">
        <v>0</v>
      </c>
      <c r="M18" s="45">
        <v>0</v>
      </c>
      <c r="N18" s="46">
        <f t="shared" si="0"/>
        <v>0</v>
      </c>
      <c r="O18" s="45">
        <f t="shared" si="1"/>
        <v>0</v>
      </c>
      <c r="P18" s="2"/>
      <c r="Q18" s="2"/>
      <c r="R18" s="2"/>
      <c r="S18" s="2"/>
      <c r="T18" s="2"/>
      <c r="U18" s="2"/>
      <c r="V18" s="2"/>
      <c r="W18" s="2"/>
      <c r="X18" s="2"/>
    </row>
    <row r="19" spans="1:24">
      <c r="A19" s="50" t="s">
        <v>169</v>
      </c>
      <c r="B19" s="51" t="e">
        <f>SUM(B12:B18)</f>
        <v>#REF!</v>
      </c>
      <c r="C19" s="52" t="e">
        <f t="shared" ref="C19:O19" si="3">SUM(C12:C18)</f>
        <v>#REF!</v>
      </c>
      <c r="D19" s="53">
        <f t="shared" si="3"/>
        <v>92349.898592566897</v>
      </c>
      <c r="E19" s="52" t="e">
        <f t="shared" si="3"/>
        <v>#REF!</v>
      </c>
      <c r="F19" s="53" t="e">
        <f t="shared" si="3"/>
        <v>#REF!</v>
      </c>
      <c r="G19" s="52" t="e">
        <f t="shared" si="3"/>
        <v>#REF!</v>
      </c>
      <c r="H19" s="53"/>
      <c r="I19" s="52"/>
      <c r="J19" s="53"/>
      <c r="K19" s="52" t="e">
        <f t="shared" si="3"/>
        <v>#REF!</v>
      </c>
      <c r="L19" s="53">
        <f t="shared" si="3"/>
        <v>0</v>
      </c>
      <c r="M19" s="52" t="e">
        <f t="shared" si="3"/>
        <v>#REF!</v>
      </c>
      <c r="N19" s="53" t="e">
        <f t="shared" si="3"/>
        <v>#REF!</v>
      </c>
      <c r="O19" s="52" t="e">
        <f t="shared" si="3"/>
        <v>#REF!</v>
      </c>
      <c r="P19" s="2"/>
      <c r="Q19" s="2"/>
      <c r="R19" s="2"/>
      <c r="S19" s="2"/>
      <c r="T19" s="2"/>
      <c r="U19" s="2"/>
      <c r="V19" s="2"/>
      <c r="W19" s="2"/>
      <c r="X19" s="2"/>
    </row>
    <row r="20" spans="1:24">
      <c r="A20" s="54" t="s">
        <v>162</v>
      </c>
      <c r="B20" s="44" t="e">
        <f>#REF!-B22</f>
        <v>#REF!</v>
      </c>
      <c r="C20" s="45" t="e">
        <f>#REF!-C22+#REF!</f>
        <v>#REF!</v>
      </c>
      <c r="D20" s="48">
        <v>0</v>
      </c>
      <c r="E20" s="45" t="e">
        <f>#REF!-E22</f>
        <v>#REF!</v>
      </c>
      <c r="F20" s="46" t="e">
        <f>#REF!-F22</f>
        <v>#REF!</v>
      </c>
      <c r="G20" s="45" t="e">
        <f>#REF!-G22</f>
        <v>#REF!</v>
      </c>
      <c r="H20" s="48"/>
      <c r="I20" s="47"/>
      <c r="J20" s="48"/>
      <c r="K20" s="45" t="e">
        <f>#REF!-K22</f>
        <v>#REF!</v>
      </c>
      <c r="L20" s="46" t="e">
        <f>#REF!-L22</f>
        <v>#REF!</v>
      </c>
      <c r="M20" s="45" t="e">
        <f>#REF!-M22</f>
        <v>#REF!</v>
      </c>
      <c r="N20" s="46" t="e">
        <f t="shared" si="0"/>
        <v>#REF!</v>
      </c>
      <c r="O20" s="45" t="e">
        <f t="shared" si="1"/>
        <v>#REF!</v>
      </c>
      <c r="P20" s="2"/>
      <c r="Q20" s="2"/>
      <c r="R20" s="2"/>
      <c r="S20" s="2"/>
      <c r="T20" s="2"/>
      <c r="U20" s="2"/>
      <c r="V20" s="2"/>
      <c r="W20" s="2"/>
      <c r="X20" s="2"/>
    </row>
    <row r="21" spans="1:24">
      <c r="A21" s="43" t="s">
        <v>163</v>
      </c>
      <c r="B21" s="44" t="e">
        <f>#REF!</f>
        <v>#REF!</v>
      </c>
      <c r="C21" s="45" t="e">
        <f>#REF!</f>
        <v>#REF!</v>
      </c>
      <c r="D21" s="48"/>
      <c r="E21" s="45" t="e">
        <f>#REF!</f>
        <v>#REF!</v>
      </c>
      <c r="F21" s="46" t="e">
        <f>#REF!</f>
        <v>#REF!</v>
      </c>
      <c r="G21" s="45" t="e">
        <f>#REF!</f>
        <v>#REF!</v>
      </c>
      <c r="H21" s="48"/>
      <c r="I21" s="47"/>
      <c r="J21" s="48"/>
      <c r="K21" s="45" t="e">
        <f>#REF!</f>
        <v>#REF!</v>
      </c>
      <c r="L21" s="46" t="e">
        <f>#REF!</f>
        <v>#REF!</v>
      </c>
      <c r="M21" s="45" t="e">
        <f>#REF!</f>
        <v>#REF!</v>
      </c>
      <c r="N21" s="46" t="e">
        <f t="shared" si="0"/>
        <v>#REF!</v>
      </c>
      <c r="O21" s="45" t="e">
        <f t="shared" si="1"/>
        <v>#REF!</v>
      </c>
      <c r="P21" s="2"/>
      <c r="Q21" s="2"/>
      <c r="R21" s="2"/>
      <c r="S21" s="2"/>
      <c r="T21" s="2"/>
      <c r="U21" s="2"/>
      <c r="V21" s="2"/>
      <c r="W21" s="2"/>
      <c r="X21" s="2"/>
    </row>
    <row r="22" spans="1:24">
      <c r="A22" s="54" t="s">
        <v>164</v>
      </c>
      <c r="B22" s="44" t="e">
        <f>#REF!+#REF!+#REF!+#REF!</f>
        <v>#REF!</v>
      </c>
      <c r="C22" s="45" t="e">
        <f>#REF!+#REF!+#REF!+#REF!</f>
        <v>#REF!</v>
      </c>
      <c r="D22" s="48">
        <v>0</v>
      </c>
      <c r="E22" s="45" t="e">
        <f>#REF!+#REF!+#REF!+#REF!</f>
        <v>#REF!</v>
      </c>
      <c r="F22" s="46" t="e">
        <f>#REF!+#REF!+#REF!+#REF!</f>
        <v>#REF!</v>
      </c>
      <c r="G22" s="45" t="e">
        <f>#REF!+#REF!+#REF!+#REF!</f>
        <v>#REF!</v>
      </c>
      <c r="H22" s="48"/>
      <c r="I22" s="47"/>
      <c r="J22" s="48"/>
      <c r="K22" s="45" t="e">
        <f>#REF!+#REF!+#REF!+#REF!</f>
        <v>#REF!</v>
      </c>
      <c r="L22" s="46" t="e">
        <f>#REF!+#REF!+#REF!+#REF!</f>
        <v>#REF!</v>
      </c>
      <c r="M22" s="45" t="e">
        <f>#REF!+#REF!+#REF!+#REF!</f>
        <v>#REF!</v>
      </c>
      <c r="N22" s="46" t="e">
        <f t="shared" si="0"/>
        <v>#REF!</v>
      </c>
      <c r="O22" s="45" t="e">
        <f t="shared" si="1"/>
        <v>#REF!</v>
      </c>
      <c r="P22" s="2"/>
      <c r="Q22" s="2"/>
      <c r="R22" s="2"/>
      <c r="S22" s="2"/>
      <c r="T22" s="2"/>
      <c r="U22" s="2"/>
      <c r="V22" s="2"/>
      <c r="W22" s="2"/>
      <c r="X22" s="2"/>
    </row>
    <row r="23" spans="1:24">
      <c r="A23" s="54" t="s">
        <v>165</v>
      </c>
      <c r="B23" s="44">
        <v>0</v>
      </c>
      <c r="C23" s="45">
        <v>0</v>
      </c>
      <c r="D23" s="48"/>
      <c r="E23" s="45">
        <v>0</v>
      </c>
      <c r="F23" s="46">
        <v>0</v>
      </c>
      <c r="G23" s="45">
        <v>0</v>
      </c>
      <c r="H23" s="48"/>
      <c r="I23" s="47"/>
      <c r="J23" s="48"/>
      <c r="K23" s="45">
        <v>0</v>
      </c>
      <c r="L23" s="46">
        <v>0</v>
      </c>
      <c r="M23" s="45">
        <v>0</v>
      </c>
      <c r="N23" s="46">
        <f t="shared" si="0"/>
        <v>0</v>
      </c>
      <c r="O23" s="45">
        <f t="shared" si="1"/>
        <v>0</v>
      </c>
      <c r="P23" s="2"/>
      <c r="Q23" s="2"/>
      <c r="R23" s="2"/>
      <c r="S23" s="2"/>
      <c r="T23" s="2"/>
      <c r="U23" s="2"/>
      <c r="V23" s="2"/>
      <c r="W23" s="2"/>
      <c r="X23" s="2"/>
    </row>
    <row r="24" spans="1:24">
      <c r="A24" s="43" t="s">
        <v>166</v>
      </c>
      <c r="B24" s="44" t="e">
        <f>#REF!</f>
        <v>#REF!</v>
      </c>
      <c r="C24" s="45" t="e">
        <f>#REF!</f>
        <v>#REF!</v>
      </c>
      <c r="D24" s="48"/>
      <c r="E24" s="45" t="e">
        <f>#REF!</f>
        <v>#REF!</v>
      </c>
      <c r="F24" s="46" t="e">
        <f>#REF!</f>
        <v>#REF!</v>
      </c>
      <c r="G24" s="45" t="e">
        <f>#REF!</f>
        <v>#REF!</v>
      </c>
      <c r="H24" s="48"/>
      <c r="I24" s="47"/>
      <c r="J24" s="48"/>
      <c r="K24" s="45" t="e">
        <f>#REF!</f>
        <v>#REF!</v>
      </c>
      <c r="L24" s="46" t="e">
        <f>#REF!</f>
        <v>#REF!</v>
      </c>
      <c r="M24" s="45" t="e">
        <f>#REF!</f>
        <v>#REF!</v>
      </c>
      <c r="N24" s="46" t="e">
        <f t="shared" si="0"/>
        <v>#REF!</v>
      </c>
      <c r="O24" s="45" t="e">
        <f t="shared" si="1"/>
        <v>#REF!</v>
      </c>
      <c r="P24" s="2"/>
      <c r="Q24" s="2"/>
      <c r="R24" s="2"/>
      <c r="S24" s="2"/>
      <c r="T24" s="2"/>
      <c r="U24" s="2"/>
      <c r="V24" s="2"/>
      <c r="W24" s="2"/>
      <c r="X24" s="2"/>
    </row>
    <row r="25" spans="1:24">
      <c r="A25" s="43" t="s">
        <v>256</v>
      </c>
      <c r="B25" s="44" t="e">
        <f>#REF!+#REF!</f>
        <v>#REF!</v>
      </c>
      <c r="C25" s="47">
        <v>0</v>
      </c>
      <c r="D25" s="48"/>
      <c r="E25" s="45" t="e">
        <f>#REF!</f>
        <v>#REF!</v>
      </c>
      <c r="F25" s="46" t="e">
        <f>#REF!</f>
        <v>#REF!</v>
      </c>
      <c r="G25" s="45" t="e">
        <f>#REF!+#REF!</f>
        <v>#REF!</v>
      </c>
      <c r="H25" s="48"/>
      <c r="I25" s="47"/>
      <c r="J25" s="48"/>
      <c r="K25" s="45" t="e">
        <f>#REF!+#REF!</f>
        <v>#REF!</v>
      </c>
      <c r="L25" s="46" t="e">
        <f>#REF!</f>
        <v>#REF!</v>
      </c>
      <c r="M25" s="47">
        <v>0</v>
      </c>
      <c r="N25" s="48" t="e">
        <f t="shared" si="0"/>
        <v>#REF!</v>
      </c>
      <c r="O25" s="45" t="e">
        <f t="shared" si="1"/>
        <v>#REF!</v>
      </c>
      <c r="P25" s="2"/>
      <c r="Q25" s="2"/>
      <c r="R25" s="2"/>
      <c r="S25" s="2"/>
      <c r="T25" s="2"/>
      <c r="U25" s="2"/>
      <c r="V25" s="2"/>
      <c r="W25" s="2"/>
      <c r="X25" s="2"/>
    </row>
    <row r="26" spans="1:24">
      <c r="A26" s="39" t="s">
        <v>167</v>
      </c>
      <c r="B26" s="40">
        <v>0</v>
      </c>
      <c r="C26" s="41">
        <v>0</v>
      </c>
      <c r="D26" s="42"/>
      <c r="E26" s="45">
        <f>CUADRO11!C13</f>
        <v>427.53057357000012</v>
      </c>
      <c r="F26" s="42">
        <v>0</v>
      </c>
      <c r="G26" s="41">
        <v>0</v>
      </c>
      <c r="H26" s="42"/>
      <c r="I26" s="41"/>
      <c r="J26" s="42"/>
      <c r="K26" s="41">
        <v>0</v>
      </c>
      <c r="L26" s="42">
        <v>0</v>
      </c>
      <c r="M26" s="41">
        <v>0</v>
      </c>
      <c r="N26" s="46">
        <f t="shared" si="0"/>
        <v>427.53057357000012</v>
      </c>
      <c r="O26" s="45">
        <v>0</v>
      </c>
      <c r="P26" s="2"/>
      <c r="Q26" s="2"/>
      <c r="R26" s="2"/>
      <c r="S26" s="2"/>
      <c r="T26" s="2"/>
      <c r="U26" s="2"/>
      <c r="V26" s="2"/>
      <c r="W26" s="2"/>
      <c r="X26" s="2"/>
    </row>
    <row r="27" spans="1:24">
      <c r="A27" s="50" t="s">
        <v>170</v>
      </c>
      <c r="B27" s="51" t="e">
        <f>SUM(B20:B26)</f>
        <v>#REF!</v>
      </c>
      <c r="C27" s="52" t="e">
        <f t="shared" ref="C27:O27" si="4">SUM(C20:C26)</f>
        <v>#REF!</v>
      </c>
      <c r="D27" s="53">
        <f t="shared" si="4"/>
        <v>0</v>
      </c>
      <c r="E27" s="52" t="e">
        <f t="shared" si="4"/>
        <v>#REF!</v>
      </c>
      <c r="F27" s="53" t="e">
        <f t="shared" si="4"/>
        <v>#REF!</v>
      </c>
      <c r="G27" s="52" t="e">
        <f t="shared" si="4"/>
        <v>#REF!</v>
      </c>
      <c r="H27" s="53"/>
      <c r="I27" s="52"/>
      <c r="J27" s="53"/>
      <c r="K27" s="52" t="e">
        <f t="shared" si="4"/>
        <v>#REF!</v>
      </c>
      <c r="L27" s="53" t="e">
        <f t="shared" si="4"/>
        <v>#REF!</v>
      </c>
      <c r="M27" s="52" t="e">
        <f t="shared" si="4"/>
        <v>#REF!</v>
      </c>
      <c r="N27" s="53" t="e">
        <f t="shared" si="4"/>
        <v>#REF!</v>
      </c>
      <c r="O27" s="52" t="e">
        <f t="shared" si="4"/>
        <v>#REF!</v>
      </c>
      <c r="P27" s="2"/>
      <c r="Q27" s="2"/>
      <c r="R27" s="2"/>
      <c r="S27" s="2"/>
      <c r="T27" s="2"/>
      <c r="U27" s="2"/>
      <c r="V27" s="2"/>
      <c r="W27" s="2"/>
      <c r="X27" s="2"/>
    </row>
    <row r="28" spans="1:24">
      <c r="A28" s="50" t="s">
        <v>171</v>
      </c>
      <c r="B28" s="55" t="e">
        <f>B19+B27</f>
        <v>#REF!</v>
      </c>
      <c r="C28" s="56" t="e">
        <f t="shared" ref="C28:O28" si="5">C19+C27</f>
        <v>#REF!</v>
      </c>
      <c r="D28" s="57">
        <f t="shared" si="5"/>
        <v>92349.898592566897</v>
      </c>
      <c r="E28" s="56" t="e">
        <f t="shared" si="5"/>
        <v>#REF!</v>
      </c>
      <c r="F28" s="57" t="e">
        <f t="shared" si="5"/>
        <v>#REF!</v>
      </c>
      <c r="G28" s="56" t="e">
        <f t="shared" si="5"/>
        <v>#REF!</v>
      </c>
      <c r="H28" s="57"/>
      <c r="I28" s="56"/>
      <c r="J28" s="57"/>
      <c r="K28" s="56" t="e">
        <f t="shared" si="5"/>
        <v>#REF!</v>
      </c>
      <c r="L28" s="57" t="e">
        <f t="shared" si="5"/>
        <v>#REF!</v>
      </c>
      <c r="M28" s="56" t="e">
        <f t="shared" si="5"/>
        <v>#REF!</v>
      </c>
      <c r="N28" s="57" t="e">
        <f t="shared" si="5"/>
        <v>#REF!</v>
      </c>
      <c r="O28" s="56" t="e">
        <f t="shared" si="5"/>
        <v>#REF!</v>
      </c>
      <c r="P28" s="2"/>
      <c r="Q28" s="2"/>
      <c r="R28" s="2"/>
      <c r="S28" s="2"/>
      <c r="T28" s="2"/>
      <c r="U28" s="2"/>
      <c r="V28" s="2"/>
      <c r="W28" s="2"/>
      <c r="X28" s="2"/>
    </row>
    <row r="29" spans="1:24">
      <c r="A29" s="58"/>
      <c r="B29" s="58"/>
      <c r="C29" s="58"/>
      <c r="D29" s="58"/>
      <c r="E29" s="59"/>
      <c r="F29" s="58"/>
      <c r="G29" s="58"/>
      <c r="H29" s="58"/>
      <c r="I29" s="58"/>
      <c r="J29" s="58"/>
      <c r="K29" s="58"/>
      <c r="L29" s="60"/>
      <c r="M29" s="58"/>
      <c r="N29" s="59"/>
      <c r="O29" s="2"/>
      <c r="P29" s="2"/>
      <c r="Q29" s="2"/>
      <c r="R29" s="2"/>
      <c r="S29" s="2"/>
      <c r="T29" s="2"/>
      <c r="U29" s="2"/>
      <c r="V29" s="2"/>
      <c r="W29" s="2"/>
      <c r="X29" s="2"/>
    </row>
    <row r="30" spans="1:24">
      <c r="A30" s="2"/>
      <c r="B30" s="58" t="s">
        <v>173</v>
      </c>
      <c r="C30" s="58"/>
      <c r="D30" s="58"/>
      <c r="E30" s="59"/>
      <c r="F30" s="58"/>
      <c r="G30" s="58"/>
      <c r="H30" s="58"/>
      <c r="I30" s="58"/>
      <c r="J30" s="58"/>
      <c r="K30" s="58"/>
      <c r="L30" s="60"/>
      <c r="M30" s="58"/>
      <c r="N30" s="59"/>
      <c r="O30" s="2" t="s">
        <v>179</v>
      </c>
      <c r="P30" s="2"/>
      <c r="Q30" s="2"/>
      <c r="R30" s="2"/>
      <c r="S30" s="2"/>
      <c r="T30" s="2"/>
      <c r="U30" s="2"/>
      <c r="V30" s="2"/>
      <c r="W30" s="2"/>
      <c r="X30" s="2"/>
    </row>
    <row r="31" spans="1:24">
      <c r="A31" s="2"/>
      <c r="B31" s="58" t="s">
        <v>178</v>
      </c>
      <c r="C31" s="58"/>
      <c r="D31" s="58"/>
      <c r="E31" s="59"/>
      <c r="F31" s="58"/>
      <c r="G31" s="58"/>
      <c r="H31" s="58"/>
      <c r="I31" s="58"/>
      <c r="J31" s="58"/>
      <c r="K31" s="58"/>
      <c r="L31" s="60"/>
      <c r="M31" s="58"/>
      <c r="N31" s="59"/>
      <c r="O31" s="2"/>
      <c r="P31" s="2"/>
      <c r="Q31" s="2"/>
      <c r="R31" s="2"/>
      <c r="S31" s="2"/>
      <c r="T31" s="2"/>
      <c r="U31" s="2"/>
      <c r="V31" s="2"/>
      <c r="W31" s="2"/>
      <c r="X31" s="2"/>
    </row>
    <row r="32" spans="1:24">
      <c r="A32" s="2"/>
      <c r="B32" s="58" t="s">
        <v>174</v>
      </c>
      <c r="C32" s="58"/>
      <c r="D32" s="58"/>
      <c r="E32" s="59"/>
      <c r="F32" s="58"/>
      <c r="G32" s="58"/>
      <c r="H32" s="58"/>
      <c r="I32" s="58"/>
      <c r="J32" s="58"/>
      <c r="K32" s="58"/>
      <c r="L32" s="60"/>
      <c r="M32" s="58"/>
      <c r="N32" s="59"/>
      <c r="O32" s="2"/>
      <c r="P32" s="2"/>
      <c r="Q32" s="2"/>
      <c r="R32" s="2"/>
      <c r="S32" s="2"/>
      <c r="T32" s="2"/>
      <c r="U32" s="2"/>
      <c r="V32" s="2"/>
      <c r="W32" s="2"/>
      <c r="X32" s="2"/>
    </row>
    <row r="33" spans="1:24">
      <c r="A33" s="2"/>
      <c r="B33" s="58" t="s">
        <v>176</v>
      </c>
      <c r="C33" s="58"/>
      <c r="D33" s="58"/>
      <c r="E33" s="59"/>
      <c r="F33" s="58"/>
      <c r="G33" s="58"/>
      <c r="H33" s="58"/>
      <c r="I33" s="58"/>
      <c r="J33" s="58"/>
      <c r="K33" s="58"/>
      <c r="L33" s="60"/>
      <c r="M33" s="58"/>
      <c r="N33" s="59"/>
      <c r="O33" s="2"/>
      <c r="P33" s="2"/>
      <c r="Q33" s="2"/>
      <c r="R33" s="2"/>
      <c r="S33" s="2"/>
      <c r="T33" s="2"/>
      <c r="U33" s="2"/>
      <c r="V33" s="2"/>
      <c r="W33" s="2"/>
      <c r="X33" s="2"/>
    </row>
    <row r="34" spans="1:24">
      <c r="A34" s="2"/>
      <c r="B34" s="23" t="s">
        <v>177</v>
      </c>
      <c r="C34" s="23"/>
      <c r="D34" s="23"/>
      <c r="E34" s="23"/>
      <c r="F34" s="23"/>
      <c r="G34" s="23"/>
      <c r="H34" s="23"/>
      <c r="I34" s="23"/>
      <c r="J34" s="23"/>
      <c r="K34" s="23"/>
      <c r="L34" s="23"/>
      <c r="M34" s="23"/>
      <c r="N34" s="23"/>
      <c r="O34" s="2"/>
      <c r="P34" s="2"/>
      <c r="Q34" s="2"/>
      <c r="R34" s="2"/>
      <c r="S34" s="2"/>
      <c r="T34" s="2"/>
      <c r="U34" s="2"/>
      <c r="V34" s="2"/>
      <c r="W34" s="2"/>
      <c r="X34" s="2"/>
    </row>
    <row r="35" spans="1:24">
      <c r="A35" s="2"/>
      <c r="B35" s="23" t="s">
        <v>257</v>
      </c>
      <c r="C35" s="2"/>
      <c r="D35" s="2"/>
      <c r="E35" s="2"/>
      <c r="F35" s="2"/>
      <c r="G35" s="2"/>
      <c r="H35" s="2"/>
      <c r="I35" s="2"/>
      <c r="J35" s="2"/>
      <c r="K35" s="2"/>
      <c r="L35" s="2"/>
      <c r="M35" s="2"/>
      <c r="N35" s="2"/>
      <c r="O35" s="2"/>
      <c r="P35" s="2"/>
      <c r="Q35" s="2"/>
      <c r="R35" s="2"/>
      <c r="S35" s="2"/>
      <c r="T35" s="2"/>
      <c r="U35" s="2"/>
      <c r="V35" s="2"/>
      <c r="W35" s="2"/>
      <c r="X35" s="2"/>
    </row>
    <row r="36" spans="1:24">
      <c r="A36" s="2"/>
      <c r="B36" s="23" t="s">
        <v>258</v>
      </c>
      <c r="C36" s="2"/>
      <c r="D36" s="2"/>
      <c r="E36" s="2"/>
      <c r="F36" s="2"/>
      <c r="G36" s="2"/>
      <c r="H36" s="2"/>
      <c r="I36" s="2"/>
      <c r="J36" s="2"/>
      <c r="K36" s="2"/>
      <c r="L36" s="2"/>
      <c r="M36" s="2"/>
      <c r="N36" s="2"/>
      <c r="O36" s="2"/>
      <c r="P36" s="2"/>
      <c r="Q36" s="2"/>
      <c r="R36" s="2"/>
      <c r="S36" s="2"/>
      <c r="T36" s="2"/>
      <c r="U36" s="2"/>
      <c r="V36" s="2"/>
      <c r="W36" s="2"/>
      <c r="X36" s="2"/>
    </row>
    <row r="37" spans="1:24">
      <c r="A37" s="58"/>
      <c r="B37" s="2"/>
      <c r="C37" s="2"/>
      <c r="D37" s="2"/>
      <c r="E37" s="2"/>
      <c r="F37" s="2"/>
      <c r="G37" s="2"/>
      <c r="H37" s="2"/>
      <c r="I37" s="2"/>
      <c r="J37" s="2"/>
      <c r="K37" s="2"/>
      <c r="L37" s="2"/>
      <c r="M37" s="2"/>
      <c r="N37" s="2"/>
      <c r="O37" s="2"/>
      <c r="P37" s="2"/>
      <c r="Q37" s="2"/>
      <c r="R37" s="2"/>
      <c r="S37" s="2"/>
      <c r="T37" s="2"/>
      <c r="U37" s="2"/>
      <c r="V37" s="2"/>
      <c r="W37" s="2"/>
      <c r="X37" s="2"/>
    </row>
    <row r="38" spans="1:24">
      <c r="A38" s="2"/>
      <c r="B38" s="2"/>
      <c r="C38" s="2"/>
      <c r="D38" s="2"/>
      <c r="E38" s="2"/>
      <c r="F38" s="2"/>
      <c r="G38" s="2"/>
      <c r="H38" s="2"/>
      <c r="I38" s="2"/>
      <c r="J38" s="2"/>
      <c r="K38" s="2"/>
      <c r="L38" s="2"/>
      <c r="M38" s="2"/>
      <c r="N38" s="2"/>
      <c r="O38" s="2"/>
      <c r="P38" s="2"/>
      <c r="Q38" s="2"/>
      <c r="R38" s="2"/>
      <c r="S38" s="2"/>
      <c r="T38" s="2"/>
      <c r="U38" s="2"/>
      <c r="V38" s="2"/>
      <c r="W38" s="2"/>
      <c r="X38" s="2"/>
    </row>
    <row r="39" spans="1:24">
      <c r="A39" s="2"/>
      <c r="B39" s="2"/>
      <c r="C39" s="2"/>
      <c r="D39" s="2"/>
      <c r="E39" s="2"/>
      <c r="F39" s="2"/>
      <c r="G39" s="2"/>
      <c r="H39" s="2"/>
      <c r="I39" s="2"/>
      <c r="J39" s="2"/>
      <c r="K39" s="2"/>
      <c r="L39" s="2"/>
      <c r="M39" s="2"/>
      <c r="N39" s="2"/>
      <c r="O39" s="2"/>
      <c r="P39" s="2"/>
      <c r="Q39" s="2"/>
      <c r="R39" s="2"/>
      <c r="S39" s="2"/>
      <c r="T39" s="2"/>
      <c r="U39" s="2"/>
      <c r="V39" s="2"/>
      <c r="W39" s="2"/>
      <c r="X39" s="2"/>
    </row>
    <row r="40" spans="1:24">
      <c r="A40" s="2"/>
      <c r="B40" s="2"/>
      <c r="C40" s="2"/>
      <c r="D40" s="2"/>
      <c r="E40" s="2"/>
      <c r="F40" s="2"/>
      <c r="G40" s="2"/>
      <c r="H40" s="2"/>
      <c r="I40" s="2"/>
      <c r="J40" s="2"/>
      <c r="K40" s="2"/>
      <c r="L40" s="2"/>
      <c r="M40" s="2"/>
      <c r="N40" s="2"/>
      <c r="O40" s="2"/>
      <c r="P40" s="2"/>
      <c r="Q40" s="2"/>
      <c r="R40" s="2"/>
      <c r="S40" s="2"/>
      <c r="T40" s="2"/>
      <c r="U40" s="2"/>
      <c r="V40" s="2"/>
      <c r="W40" s="2"/>
      <c r="X40" s="2"/>
    </row>
    <row r="41" spans="1:24">
      <c r="A41" s="2"/>
      <c r="B41" s="2"/>
      <c r="C41" s="2"/>
      <c r="D41" s="2"/>
      <c r="E41" s="2"/>
      <c r="F41" s="2"/>
      <c r="G41" s="2"/>
      <c r="H41" s="2"/>
      <c r="I41" s="2"/>
      <c r="J41" s="2"/>
      <c r="K41" s="2"/>
      <c r="L41" s="2"/>
      <c r="M41" s="2"/>
      <c r="N41" s="2"/>
      <c r="O41" s="2"/>
      <c r="P41" s="2"/>
      <c r="Q41" s="2"/>
      <c r="R41" s="2"/>
      <c r="S41" s="2"/>
      <c r="T41" s="2"/>
      <c r="U41" s="2"/>
      <c r="V41" s="2"/>
      <c r="W41" s="2"/>
      <c r="X41" s="2"/>
    </row>
    <row r="42" spans="1:24">
      <c r="A42" s="2"/>
      <c r="B42" s="2"/>
      <c r="C42" s="2"/>
      <c r="D42" s="2"/>
      <c r="E42" s="2"/>
      <c r="F42" s="2"/>
      <c r="G42" s="2"/>
      <c r="H42" s="2"/>
      <c r="I42" s="2"/>
      <c r="J42" s="2"/>
      <c r="K42" s="2"/>
      <c r="L42" s="2"/>
      <c r="M42" s="2"/>
      <c r="N42" s="2"/>
      <c r="O42" s="2"/>
      <c r="P42" s="2"/>
      <c r="Q42" s="2"/>
      <c r="R42" s="2"/>
      <c r="S42" s="2"/>
      <c r="T42" s="2"/>
      <c r="U42" s="2"/>
      <c r="V42" s="2"/>
      <c r="W42" s="2"/>
      <c r="X42" s="2"/>
    </row>
    <row r="43" spans="1:24">
      <c r="A43" s="2"/>
      <c r="B43" s="2"/>
      <c r="C43" s="2"/>
      <c r="D43" s="2"/>
      <c r="E43" s="2"/>
      <c r="F43" s="2"/>
      <c r="G43" s="2"/>
      <c r="H43" s="2"/>
      <c r="I43" s="2"/>
      <c r="J43" s="2"/>
      <c r="K43" s="2"/>
      <c r="L43" s="2"/>
      <c r="M43" s="2"/>
      <c r="N43" s="2"/>
      <c r="O43" s="2"/>
      <c r="P43" s="2"/>
      <c r="Q43" s="2"/>
      <c r="R43" s="2"/>
      <c r="S43" s="2"/>
      <c r="T43" s="2"/>
      <c r="U43" s="2"/>
      <c r="V43" s="2"/>
      <c r="W43" s="2"/>
      <c r="X43" s="2"/>
    </row>
    <row r="44" spans="1:24">
      <c r="A44" s="2"/>
      <c r="B44" s="2"/>
      <c r="C44" s="2"/>
      <c r="D44" s="2"/>
      <c r="E44" s="2"/>
      <c r="F44" s="2"/>
      <c r="G44" s="2"/>
      <c r="H44" s="2"/>
      <c r="I44" s="2"/>
      <c r="J44" s="2"/>
      <c r="K44" s="2"/>
      <c r="L44" s="2"/>
      <c r="M44" s="2"/>
      <c r="N44" s="2"/>
      <c r="O44" s="2"/>
      <c r="P44" s="2"/>
      <c r="Q44" s="2"/>
      <c r="R44" s="2"/>
      <c r="S44" s="2"/>
      <c r="T44" s="2"/>
      <c r="U44" s="2"/>
      <c r="V44" s="2"/>
      <c r="W44" s="2"/>
      <c r="X44" s="2"/>
    </row>
    <row r="45" spans="1:24">
      <c r="A45" s="2"/>
      <c r="B45" s="2"/>
      <c r="C45" s="2"/>
      <c r="D45" s="2"/>
      <c r="E45" s="2"/>
      <c r="F45" s="2"/>
      <c r="G45" s="2"/>
      <c r="H45" s="2"/>
      <c r="I45" s="2"/>
      <c r="J45" s="2"/>
      <c r="K45" s="2"/>
      <c r="L45" s="2"/>
      <c r="M45" s="2"/>
      <c r="N45" s="2"/>
      <c r="O45" s="2"/>
      <c r="P45" s="2"/>
      <c r="Q45" s="2"/>
      <c r="R45" s="2"/>
      <c r="S45" s="2"/>
      <c r="T45" s="2"/>
      <c r="U45" s="2"/>
      <c r="V45" s="2"/>
      <c r="W45" s="2"/>
      <c r="X45" s="2"/>
    </row>
    <row r="46" spans="1:24">
      <c r="A46" s="2"/>
      <c r="B46" s="2"/>
      <c r="C46" s="2"/>
      <c r="D46" s="2"/>
      <c r="E46" s="2"/>
      <c r="F46" s="2"/>
      <c r="G46" s="2"/>
      <c r="H46" s="2"/>
      <c r="I46" s="2"/>
      <c r="J46" s="2"/>
      <c r="K46" s="2"/>
      <c r="L46" s="2"/>
      <c r="M46" s="2"/>
      <c r="N46" s="2"/>
      <c r="O46" s="2"/>
      <c r="P46" s="2"/>
      <c r="Q46" s="2"/>
      <c r="R46" s="2"/>
      <c r="S46" s="2"/>
      <c r="T46" s="2"/>
      <c r="U46" s="2"/>
      <c r="V46" s="2"/>
      <c r="W46" s="2"/>
      <c r="X46" s="2"/>
    </row>
    <row r="47" spans="1:24">
      <c r="A47" s="2"/>
      <c r="B47" s="2"/>
      <c r="C47" s="2"/>
      <c r="D47" s="2"/>
      <c r="E47" s="2"/>
      <c r="F47" s="2"/>
      <c r="G47" s="2"/>
      <c r="H47" s="2"/>
      <c r="I47" s="2"/>
      <c r="J47" s="2"/>
      <c r="K47" s="2"/>
      <c r="L47" s="2"/>
      <c r="M47" s="2"/>
      <c r="N47" s="2"/>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sheetData>
  <phoneticPr fontId="0" type="noConversion"/>
  <hyperlinks>
    <hyperlink ref="C1" location="INDICE!A70" display="VOLVER A INDICE"/>
  </hyperlinks>
  <pageMargins left="0.75" right="0.75" top="1" bottom="1" header="0" footer="0"/>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AL160"/>
  <sheetViews>
    <sheetView workbookViewId="0"/>
  </sheetViews>
  <sheetFormatPr baseColWidth="10" defaultRowHeight="12.75"/>
  <cols>
    <col min="1" max="1" width="11.42578125" style="134"/>
    <col min="2" max="2" width="26.42578125" style="134" customWidth="1"/>
    <col min="3" max="26" width="11.42578125" style="134"/>
    <col min="27" max="27" width="12.85546875" style="2" customWidth="1"/>
    <col min="28" max="38" width="11.42578125" style="2"/>
    <col min="39" max="16384" width="11.42578125" style="134"/>
  </cols>
  <sheetData>
    <row r="1" spans="1:38">
      <c r="A1" s="61"/>
      <c r="B1" s="62"/>
      <c r="C1" s="63"/>
      <c r="D1" s="63"/>
      <c r="E1" s="129" t="s">
        <v>229</v>
      </c>
      <c r="F1" s="63"/>
      <c r="G1" s="63"/>
      <c r="H1" s="63"/>
      <c r="I1" s="63"/>
      <c r="J1" s="63"/>
      <c r="K1" s="63"/>
      <c r="L1" s="63"/>
      <c r="M1" s="63"/>
      <c r="N1" s="63"/>
      <c r="O1" s="63"/>
      <c r="P1" s="63"/>
      <c r="Q1" s="63"/>
      <c r="R1" s="63" t="s">
        <v>66</v>
      </c>
      <c r="S1" s="63"/>
      <c r="T1" s="63"/>
      <c r="U1" s="63"/>
      <c r="V1" s="63"/>
      <c r="W1" s="63"/>
      <c r="X1" s="63"/>
      <c r="Y1" s="63"/>
      <c r="Z1" s="2"/>
    </row>
    <row r="2" spans="1:38">
      <c r="A2" s="61"/>
      <c r="B2" s="61"/>
      <c r="C2" s="63"/>
      <c r="D2" s="63"/>
      <c r="E2" s="63"/>
      <c r="F2" s="63"/>
      <c r="G2" s="63"/>
      <c r="H2" s="83"/>
      <c r="I2" s="83"/>
      <c r="J2" s="83"/>
      <c r="K2" s="63"/>
      <c r="L2" s="63"/>
      <c r="M2" s="63"/>
      <c r="N2" s="63">
        <v>100</v>
      </c>
      <c r="O2" s="63"/>
      <c r="P2" s="63"/>
      <c r="Q2" s="63"/>
      <c r="R2" s="63" t="s">
        <v>66</v>
      </c>
      <c r="S2" s="63"/>
      <c r="T2" s="63"/>
      <c r="U2" s="63"/>
      <c r="V2" s="63"/>
      <c r="W2" s="84"/>
      <c r="X2" s="63" t="s">
        <v>67</v>
      </c>
      <c r="Y2" s="63"/>
      <c r="Z2" s="2"/>
    </row>
    <row r="3" spans="1:38">
      <c r="A3" s="61"/>
      <c r="B3" s="61"/>
      <c r="C3" s="63"/>
      <c r="D3" s="63"/>
      <c r="E3" s="63"/>
      <c r="F3" s="63"/>
      <c r="G3" s="63"/>
      <c r="H3" s="83"/>
      <c r="I3" s="83" t="s">
        <v>201</v>
      </c>
      <c r="J3" s="83"/>
      <c r="K3" s="63"/>
      <c r="L3" s="63"/>
      <c r="M3" s="63"/>
      <c r="N3" s="63">
        <f>N2-3.4</f>
        <v>96.6</v>
      </c>
      <c r="O3" s="63"/>
      <c r="P3" s="63"/>
      <c r="Q3" s="63"/>
      <c r="R3" s="63" t="s">
        <v>66</v>
      </c>
      <c r="S3" s="63"/>
      <c r="T3" s="63"/>
      <c r="U3" s="63" t="s">
        <v>69</v>
      </c>
      <c r="V3" s="63"/>
      <c r="W3" s="63"/>
      <c r="X3" s="63" t="s">
        <v>70</v>
      </c>
      <c r="Y3" s="63"/>
      <c r="Z3" s="2"/>
    </row>
    <row r="4" spans="1:38" ht="13.5" thickBot="1">
      <c r="A4" s="61"/>
      <c r="B4" s="61"/>
      <c r="C4" s="879" t="s">
        <v>71</v>
      </c>
      <c r="D4" s="880"/>
      <c r="E4" s="880"/>
      <c r="F4" s="880"/>
      <c r="G4" s="880"/>
      <c r="H4" s="880"/>
      <c r="I4" s="880"/>
      <c r="J4" s="880"/>
      <c r="K4" s="880"/>
      <c r="L4" s="881"/>
      <c r="M4" s="879" t="s">
        <v>72</v>
      </c>
      <c r="N4" s="880"/>
      <c r="O4" s="880"/>
      <c r="P4" s="880"/>
      <c r="Q4" s="880"/>
      <c r="R4" s="880"/>
      <c r="S4" s="880"/>
      <c r="T4" s="880"/>
      <c r="U4" s="880"/>
      <c r="V4" s="880"/>
      <c r="W4" s="880"/>
      <c r="X4" s="880"/>
      <c r="Y4" s="881"/>
      <c r="Z4" s="2"/>
    </row>
    <row r="5" spans="1:38">
      <c r="A5" s="67"/>
      <c r="B5" s="70" t="s">
        <v>73</v>
      </c>
      <c r="C5" s="99" t="s">
        <v>187</v>
      </c>
      <c r="D5" s="100" t="s">
        <v>74</v>
      </c>
      <c r="E5" s="99" t="s">
        <v>18</v>
      </c>
      <c r="F5" s="100" t="s">
        <v>75</v>
      </c>
      <c r="G5" s="100" t="s">
        <v>76</v>
      </c>
      <c r="H5" s="101"/>
      <c r="I5" s="99" t="s">
        <v>77</v>
      </c>
      <c r="J5" s="102" t="s">
        <v>78</v>
      </c>
      <c r="K5" s="99" t="s">
        <v>79</v>
      </c>
      <c r="L5" s="100" t="s">
        <v>80</v>
      </c>
      <c r="M5" s="99" t="s">
        <v>81</v>
      </c>
      <c r="N5" s="100" t="s">
        <v>74</v>
      </c>
      <c r="O5" s="99" t="s">
        <v>82</v>
      </c>
      <c r="P5" s="100" t="s">
        <v>83</v>
      </c>
      <c r="Q5" s="99" t="s">
        <v>31</v>
      </c>
      <c r="R5" s="100" t="s">
        <v>84</v>
      </c>
      <c r="S5" s="99" t="s">
        <v>85</v>
      </c>
      <c r="T5" s="100" t="s">
        <v>18</v>
      </c>
      <c r="U5" s="99" t="s">
        <v>86</v>
      </c>
      <c r="V5" s="100" t="s">
        <v>79</v>
      </c>
      <c r="W5" s="99" t="s">
        <v>87</v>
      </c>
      <c r="X5" s="100" t="s">
        <v>80</v>
      </c>
      <c r="Y5" s="77" t="s">
        <v>19</v>
      </c>
      <c r="Z5" s="2"/>
    </row>
    <row r="6" spans="1:38">
      <c r="A6" s="68"/>
      <c r="B6" s="71">
        <v>2004</v>
      </c>
      <c r="C6" s="103" t="s">
        <v>88</v>
      </c>
      <c r="D6" s="102" t="s">
        <v>188</v>
      </c>
      <c r="E6" s="103" t="s">
        <v>189</v>
      </c>
      <c r="F6" s="102" t="s">
        <v>190</v>
      </c>
      <c r="G6" s="102" t="s">
        <v>182</v>
      </c>
      <c r="H6" s="102" t="s">
        <v>183</v>
      </c>
      <c r="I6" s="103" t="s">
        <v>66</v>
      </c>
      <c r="J6" s="102" t="s">
        <v>89</v>
      </c>
      <c r="K6" s="103" t="s">
        <v>66</v>
      </c>
      <c r="L6" s="102" t="s">
        <v>191</v>
      </c>
      <c r="M6" s="103" t="s">
        <v>192</v>
      </c>
      <c r="N6" s="102" t="s">
        <v>193</v>
      </c>
      <c r="O6" s="103" t="s">
        <v>90</v>
      </c>
      <c r="P6" s="102" t="s">
        <v>91</v>
      </c>
      <c r="Q6" s="103" t="s">
        <v>92</v>
      </c>
      <c r="R6" s="102" t="s">
        <v>92</v>
      </c>
      <c r="S6" s="103"/>
      <c r="T6" s="102" t="s">
        <v>93</v>
      </c>
      <c r="U6" s="103"/>
      <c r="V6" s="102" t="s">
        <v>66</v>
      </c>
      <c r="W6" s="103" t="s">
        <v>94</v>
      </c>
      <c r="X6" s="102" t="s">
        <v>95</v>
      </c>
      <c r="Y6" s="85"/>
      <c r="Z6" s="2"/>
    </row>
    <row r="7" spans="1:38" ht="13.5" thickBot="1">
      <c r="A7" s="68"/>
      <c r="B7" s="72"/>
      <c r="C7" s="103"/>
      <c r="D7" s="102"/>
      <c r="E7" s="103"/>
      <c r="F7" s="102"/>
      <c r="G7" s="104"/>
      <c r="H7" s="102" t="s">
        <v>66</v>
      </c>
      <c r="I7" s="103"/>
      <c r="J7" s="102" t="s">
        <v>96</v>
      </c>
      <c r="K7" s="103" t="s">
        <v>66</v>
      </c>
      <c r="L7" s="102"/>
      <c r="M7" s="103"/>
      <c r="N7" s="102"/>
      <c r="O7" s="103" t="s">
        <v>97</v>
      </c>
      <c r="P7" s="102" t="s">
        <v>98</v>
      </c>
      <c r="Q7" s="103"/>
      <c r="R7" s="102" t="s">
        <v>66</v>
      </c>
      <c r="S7" s="103"/>
      <c r="T7" s="105"/>
      <c r="U7" s="103"/>
      <c r="V7" s="102" t="s">
        <v>66</v>
      </c>
      <c r="W7" s="103" t="s">
        <v>99</v>
      </c>
      <c r="X7" s="102" t="s">
        <v>260</v>
      </c>
      <c r="Y7" s="85"/>
      <c r="Z7" s="2"/>
    </row>
    <row r="8" spans="1:38">
      <c r="A8" s="882" t="s">
        <v>206</v>
      </c>
      <c r="B8" s="64" t="s">
        <v>20</v>
      </c>
      <c r="C8" s="30">
        <f>CUADRO3!C7</f>
        <v>2645.1545316944057</v>
      </c>
      <c r="D8" s="27">
        <f>CUADRO3!C8</f>
        <v>9401.5571213901076</v>
      </c>
      <c r="E8" s="30">
        <f>CUADRO3!C9</f>
        <v>13513.885199999999</v>
      </c>
      <c r="F8" s="27">
        <f>CUADRO3!C11</f>
        <v>20310.838125240003</v>
      </c>
      <c r="G8" s="30">
        <v>0</v>
      </c>
      <c r="H8" s="27">
        <v>0</v>
      </c>
      <c r="I8" s="30">
        <f>CUADRO3!C10</f>
        <v>73430.280199428016</v>
      </c>
      <c r="J8" s="27">
        <v>0</v>
      </c>
      <c r="K8" s="30">
        <v>0</v>
      </c>
      <c r="L8" s="94">
        <f>SUM(C8:K8)</f>
        <v>119301.71517775253</v>
      </c>
      <c r="M8" s="30">
        <f>CUADRO4!C19</f>
        <v>64091.627778193797</v>
      </c>
      <c r="N8" s="27">
        <f>CUADRO4!C12</f>
        <v>3688.3434169999996</v>
      </c>
      <c r="O8" s="30" t="e">
        <f>CUADRO4!C10+CUADRO4!#REF!+CUADRO4!C13</f>
        <v>#REF!</v>
      </c>
      <c r="P8" s="27">
        <f>CUADRO4!C11+CUADRO4!C14</f>
        <v>7991.914865220001</v>
      </c>
      <c r="Q8" s="30">
        <f>CUADRO4!C9</f>
        <v>13141.633575</v>
      </c>
      <c r="R8" s="27">
        <f>CUADRO4!C8</f>
        <v>33035.776555739998</v>
      </c>
      <c r="S8" s="30">
        <f>CUADRO4!C20</f>
        <v>2919.1386441599998</v>
      </c>
      <c r="T8" s="27">
        <v>0</v>
      </c>
      <c r="U8" s="30">
        <f>CUADRO4!C16+CUADRO4!C24+CUADRO4!C23</f>
        <v>873.65206270958424</v>
      </c>
      <c r="V8" s="27">
        <f>CUADRO4!C15+CUADRO4!C25+CUADRO4!C22</f>
        <v>2685.1770780000006</v>
      </c>
      <c r="W8" s="30">
        <f>CUADRO11!C13</f>
        <v>427.53057357000012</v>
      </c>
      <c r="X8" s="27" t="e">
        <f>SUM(M8:W8)</f>
        <v>#REF!</v>
      </c>
      <c r="Y8" s="86" t="e">
        <f>X8+L8</f>
        <v>#REF!</v>
      </c>
      <c r="Z8" s="4"/>
    </row>
    <row r="9" spans="1:38">
      <c r="A9" s="883"/>
      <c r="B9" s="65"/>
      <c r="C9" s="30"/>
      <c r="D9" s="27"/>
      <c r="E9" s="30"/>
      <c r="F9" s="27"/>
      <c r="G9" s="30"/>
      <c r="H9" s="126"/>
      <c r="I9" s="27"/>
      <c r="J9" s="31"/>
      <c r="K9" s="30"/>
      <c r="L9" s="94"/>
      <c r="M9" s="30"/>
      <c r="N9" s="27"/>
      <c r="O9" s="30"/>
      <c r="P9" s="27"/>
      <c r="Q9" s="30"/>
      <c r="R9" s="27"/>
      <c r="S9" s="30"/>
      <c r="T9" s="27"/>
      <c r="U9" s="30"/>
      <c r="V9" s="27"/>
      <c r="W9" s="30"/>
      <c r="X9" s="27"/>
      <c r="Y9" s="86"/>
      <c r="Z9" s="2"/>
    </row>
    <row r="10" spans="1:38">
      <c r="A10" s="883"/>
      <c r="B10" s="65" t="s">
        <v>21</v>
      </c>
      <c r="C10" s="30">
        <f>CUADRO3!D7</f>
        <v>90125.784825008406</v>
      </c>
      <c r="D10" s="27">
        <f>CUADRO3!D8</f>
        <v>34810.519397158496</v>
      </c>
      <c r="E10" s="30">
        <f>CUADRO3!D9</f>
        <v>59728.889766499931</v>
      </c>
      <c r="F10" s="126">
        <f>CUADRO3!D11</f>
        <v>0</v>
      </c>
      <c r="G10" s="27">
        <v>0</v>
      </c>
      <c r="H10" s="30">
        <v>0</v>
      </c>
      <c r="I10" s="27">
        <v>0</v>
      </c>
      <c r="J10" s="27">
        <v>0</v>
      </c>
      <c r="K10" s="30">
        <v>0</v>
      </c>
      <c r="L10" s="94">
        <f>SUM(C10:K10)</f>
        <v>184665.19398866684</v>
      </c>
      <c r="M10" s="30">
        <f>CUADRO4!D19</f>
        <v>0</v>
      </c>
      <c r="N10" s="27">
        <f>CUADRO4!D12</f>
        <v>11651.796277000005</v>
      </c>
      <c r="O10" s="30" t="e">
        <f>CUADRO4!D10+CUADRO4!#REF!+CUADRO4!D13</f>
        <v>#REF!</v>
      </c>
      <c r="P10" s="27">
        <f>CUADRO4!D11+CUADRO4!D14</f>
        <v>5551.748537157001</v>
      </c>
      <c r="Q10" s="30">
        <f>CUADRO4!D9</f>
        <v>333.32462782499999</v>
      </c>
      <c r="R10" s="27">
        <f>CUADRO4!D8</f>
        <v>56994.538688359993</v>
      </c>
      <c r="S10" s="30">
        <f>CUADRO4!D20</f>
        <v>19.189820999999998</v>
      </c>
      <c r="T10" s="27">
        <v>0</v>
      </c>
      <c r="U10" s="30">
        <f>CUADRO4!D16+CUADRO4!D24+CUADRO4!D23</f>
        <v>8.1302056</v>
      </c>
      <c r="V10" s="27">
        <f>CUADRO4!D15+CUADRO4!D25+CUADRO4!D22</f>
        <v>1560.8419160000003</v>
      </c>
      <c r="W10" s="30">
        <v>0</v>
      </c>
      <c r="X10" s="27" t="e">
        <f>SUM(M10:W10)</f>
        <v>#REF!</v>
      </c>
      <c r="Y10" s="86" t="e">
        <f>X10+L10</f>
        <v>#REF!</v>
      </c>
      <c r="Z10" s="4"/>
    </row>
    <row r="11" spans="1:38">
      <c r="A11" s="883"/>
      <c r="B11" s="65"/>
      <c r="C11" s="30"/>
      <c r="D11" s="126"/>
      <c r="E11" s="27"/>
      <c r="F11" s="30"/>
      <c r="G11" s="27"/>
      <c r="H11" s="30"/>
      <c r="I11" s="27"/>
      <c r="J11" s="27"/>
      <c r="K11" s="30"/>
      <c r="L11" s="94"/>
      <c r="M11" s="30"/>
      <c r="N11" s="27"/>
      <c r="O11" s="30"/>
      <c r="P11" s="27"/>
      <c r="Q11" s="30"/>
      <c r="R11" s="27"/>
      <c r="S11" s="30"/>
      <c r="T11" s="27"/>
      <c r="U11" s="30"/>
      <c r="V11" s="27"/>
      <c r="W11" s="30"/>
      <c r="X11" s="27"/>
      <c r="Y11" s="86"/>
      <c r="Z11" s="4"/>
    </row>
    <row r="12" spans="1:38" s="136" customFormat="1" ht="11.25">
      <c r="A12" s="883"/>
      <c r="B12" s="112" t="s">
        <v>202</v>
      </c>
      <c r="C12" s="113">
        <f>0.621*C10</f>
        <v>55968.112376330217</v>
      </c>
      <c r="D12" s="127">
        <f>D10</f>
        <v>34810.519397158496</v>
      </c>
      <c r="E12" s="114">
        <f>0.147*E10</f>
        <v>8780.1467956754896</v>
      </c>
      <c r="F12" s="113">
        <v>0</v>
      </c>
      <c r="G12" s="114">
        <v>0</v>
      </c>
      <c r="H12" s="113">
        <v>0</v>
      </c>
      <c r="I12" s="114">
        <v>0</v>
      </c>
      <c r="J12" s="114">
        <v>0</v>
      </c>
      <c r="K12" s="113">
        <v>0</v>
      </c>
      <c r="L12" s="115">
        <f>SUM(C12:K12)</f>
        <v>99558.778569164206</v>
      </c>
      <c r="M12" s="113">
        <f>M10</f>
        <v>0</v>
      </c>
      <c r="N12" s="114">
        <f>N10-N14</f>
        <v>11255.635203582005</v>
      </c>
      <c r="O12" s="113" t="e">
        <f>0.475*O10</f>
        <v>#REF!</v>
      </c>
      <c r="P12" s="114">
        <f>0</f>
        <v>0</v>
      </c>
      <c r="Q12" s="113">
        <f>0.33*Q10</f>
        <v>109.99712718225</v>
      </c>
      <c r="R12" s="114">
        <v>0</v>
      </c>
      <c r="S12" s="113">
        <v>0</v>
      </c>
      <c r="T12" s="114">
        <v>0</v>
      </c>
      <c r="U12" s="113">
        <v>0</v>
      </c>
      <c r="V12" s="114">
        <v>0</v>
      </c>
      <c r="W12" s="113">
        <v>0</v>
      </c>
      <c r="X12" s="114" t="e">
        <f>SUM(M12:W12)</f>
        <v>#REF!</v>
      </c>
      <c r="Y12" s="118" t="e">
        <f>X12+L12</f>
        <v>#REF!</v>
      </c>
      <c r="Z12" s="116"/>
      <c r="AA12" s="20"/>
      <c r="AB12" s="20"/>
      <c r="AC12" s="20"/>
      <c r="AD12" s="20"/>
      <c r="AE12" s="20"/>
      <c r="AF12" s="20"/>
      <c r="AG12" s="20"/>
      <c r="AH12" s="20"/>
      <c r="AI12" s="20"/>
      <c r="AJ12" s="20"/>
      <c r="AK12" s="20"/>
      <c r="AL12" s="20"/>
    </row>
    <row r="13" spans="1:38" s="136" customFormat="1" ht="11.25">
      <c r="A13" s="883"/>
      <c r="B13" s="112"/>
      <c r="C13" s="113"/>
      <c r="D13" s="127"/>
      <c r="E13" s="114"/>
      <c r="F13" s="113"/>
      <c r="G13" s="114"/>
      <c r="H13" s="113"/>
      <c r="I13" s="114"/>
      <c r="J13" s="114"/>
      <c r="K13" s="113"/>
      <c r="L13" s="115"/>
      <c r="M13" s="113"/>
      <c r="N13" s="114"/>
      <c r="O13" s="113"/>
      <c r="P13" s="114"/>
      <c r="Q13" s="113"/>
      <c r="R13" s="114"/>
      <c r="S13" s="113"/>
      <c r="T13" s="114"/>
      <c r="U13" s="113"/>
      <c r="V13" s="114"/>
      <c r="W13" s="113"/>
      <c r="X13" s="114"/>
      <c r="Y13" s="118"/>
      <c r="Z13" s="116"/>
      <c r="AA13" s="20"/>
      <c r="AB13" s="20"/>
      <c r="AC13" s="20"/>
      <c r="AD13" s="20"/>
      <c r="AE13" s="20"/>
      <c r="AF13" s="20"/>
      <c r="AG13" s="20"/>
      <c r="AH13" s="20"/>
      <c r="AI13" s="20"/>
      <c r="AJ13" s="20"/>
      <c r="AK13" s="20"/>
      <c r="AL13" s="20"/>
    </row>
    <row r="14" spans="1:38" s="136" customFormat="1" ht="11.25">
      <c r="A14" s="883"/>
      <c r="B14" s="112" t="s">
        <v>203</v>
      </c>
      <c r="C14" s="113">
        <f>C10-C12</f>
        <v>34157.67244867819</v>
      </c>
      <c r="D14" s="127">
        <v>0</v>
      </c>
      <c r="E14" s="114">
        <f>E10-E12</f>
        <v>50948.742970824445</v>
      </c>
      <c r="F14" s="113">
        <v>0</v>
      </c>
      <c r="G14" s="114">
        <v>0</v>
      </c>
      <c r="H14" s="113">
        <v>0</v>
      </c>
      <c r="I14" s="114">
        <v>0</v>
      </c>
      <c r="J14" s="114">
        <v>0</v>
      </c>
      <c r="K14" s="113">
        <v>0</v>
      </c>
      <c r="L14" s="115">
        <f>SUM(C14:K14)</f>
        <v>85106.415419502635</v>
      </c>
      <c r="M14" s="113">
        <v>0</v>
      </c>
      <c r="N14" s="114">
        <f>0.034*N10</f>
        <v>396.16107341800017</v>
      </c>
      <c r="O14" s="113" t="e">
        <f>O10-O12</f>
        <v>#REF!</v>
      </c>
      <c r="P14" s="114">
        <f>P10</f>
        <v>5551.748537157001</v>
      </c>
      <c r="Q14" s="113">
        <f>Q10-Q12</f>
        <v>223.32750064275001</v>
      </c>
      <c r="R14" s="114">
        <f>R10</f>
        <v>56994.538688359993</v>
      </c>
      <c r="S14" s="113">
        <f>S10</f>
        <v>19.189820999999998</v>
      </c>
      <c r="T14" s="114">
        <v>0</v>
      </c>
      <c r="U14" s="113">
        <v>0</v>
      </c>
      <c r="V14" s="114">
        <v>0</v>
      </c>
      <c r="W14" s="113">
        <v>0</v>
      </c>
      <c r="X14" s="114" t="e">
        <f>SUM(M14:W14)</f>
        <v>#REF!</v>
      </c>
      <c r="Y14" s="118" t="e">
        <f>X14+L14</f>
        <v>#REF!</v>
      </c>
      <c r="Z14" s="116"/>
      <c r="AA14" s="20"/>
      <c r="AB14" s="20"/>
      <c r="AC14" s="20"/>
      <c r="AD14" s="20"/>
      <c r="AE14" s="20"/>
      <c r="AF14" s="20"/>
      <c r="AG14" s="20"/>
      <c r="AH14" s="20"/>
      <c r="AI14" s="20"/>
      <c r="AJ14" s="20"/>
      <c r="AK14" s="20"/>
      <c r="AL14" s="20"/>
    </row>
    <row r="15" spans="1:38">
      <c r="A15" s="883"/>
      <c r="B15" s="65"/>
      <c r="C15" s="30"/>
      <c r="D15" s="126"/>
      <c r="E15" s="27"/>
      <c r="F15" s="30"/>
      <c r="G15" s="27"/>
      <c r="H15" s="30"/>
      <c r="I15" s="27"/>
      <c r="J15" s="27"/>
      <c r="K15" s="30"/>
      <c r="L15" s="94"/>
      <c r="M15" s="30"/>
      <c r="N15" s="27"/>
      <c r="O15" s="30"/>
      <c r="P15" s="27"/>
      <c r="Q15" s="30"/>
      <c r="R15" s="27"/>
      <c r="S15" s="30"/>
      <c r="T15" s="27"/>
      <c r="U15" s="30"/>
      <c r="V15" s="27"/>
      <c r="W15" s="30"/>
      <c r="X15" s="27"/>
      <c r="Y15" s="86"/>
      <c r="Z15" s="2"/>
    </row>
    <row r="16" spans="1:38">
      <c r="A16" s="883"/>
      <c r="B16" s="65" t="s">
        <v>22</v>
      </c>
      <c r="C16" s="30">
        <f>CUADRO3!E7</f>
        <v>0</v>
      </c>
      <c r="D16" s="126">
        <f>CUADRO3!E8</f>
        <v>0</v>
      </c>
      <c r="E16" s="27">
        <f>CUADRO3!E9</f>
        <v>5907.58</v>
      </c>
      <c r="F16" s="30">
        <f>CUADRO3!E11</f>
        <v>0</v>
      </c>
      <c r="G16" s="27">
        <v>0</v>
      </c>
      <c r="H16" s="30">
        <v>0</v>
      </c>
      <c r="I16" s="27">
        <v>0</v>
      </c>
      <c r="J16" s="27">
        <v>0</v>
      </c>
      <c r="K16" s="30">
        <v>0</v>
      </c>
      <c r="L16" s="94">
        <f>SUM(C16:K16)</f>
        <v>5907.58</v>
      </c>
      <c r="M16" s="30">
        <v>0</v>
      </c>
      <c r="N16" s="137">
        <f>CUADRO4!E12</f>
        <v>453.29760520000002</v>
      </c>
      <c r="O16" s="138" t="e">
        <f>CUADRO4!E10+CUADRO4!#REF!+CUADRO4!E13</f>
        <v>#REF!</v>
      </c>
      <c r="P16" s="137">
        <f>CUADRO4!E11+CUADRO4!E14</f>
        <v>3.1108859999999998</v>
      </c>
      <c r="Q16" s="138">
        <f>CUADRO4!E9</f>
        <v>3167.4642299999996</v>
      </c>
      <c r="R16" s="137">
        <f>CUADRO4!E8</f>
        <v>863.5598897640001</v>
      </c>
      <c r="S16" s="138">
        <f>CUADRO4!E20</f>
        <v>278.74079999999998</v>
      </c>
      <c r="T16" s="27">
        <v>0</v>
      </c>
      <c r="U16" s="30">
        <f>CUADRO4!E16+CUADRO4!E24+CUADRO4!E23</f>
        <v>0</v>
      </c>
      <c r="V16" s="27">
        <f>CUADRO4!E15+CUADRO4!E25+CUADRO4!E22</f>
        <v>1103.900155</v>
      </c>
      <c r="W16" s="30">
        <v>0</v>
      </c>
      <c r="X16" s="27" t="e">
        <f>SUM(M16:W16)</f>
        <v>#REF!</v>
      </c>
      <c r="Y16" s="86" t="e">
        <f>X16+L16</f>
        <v>#REF!</v>
      </c>
      <c r="Z16" s="4"/>
    </row>
    <row r="17" spans="1:38">
      <c r="A17" s="883"/>
      <c r="B17" s="65"/>
      <c r="C17" s="30"/>
      <c r="D17" s="126"/>
      <c r="E17" s="27"/>
      <c r="F17" s="30"/>
      <c r="G17" s="27"/>
      <c r="H17" s="30"/>
      <c r="I17" s="27"/>
      <c r="J17" s="27"/>
      <c r="K17" s="30"/>
      <c r="L17" s="94"/>
      <c r="M17" s="30"/>
      <c r="N17" s="27"/>
      <c r="O17" s="30"/>
      <c r="P17" s="27"/>
      <c r="Q17" s="30"/>
      <c r="R17" s="27"/>
      <c r="S17" s="30"/>
      <c r="T17" s="27"/>
      <c r="U17" s="30"/>
      <c r="V17" s="27"/>
      <c r="W17" s="30"/>
      <c r="X17" s="27"/>
      <c r="Y17" s="86"/>
      <c r="Z17" s="4"/>
    </row>
    <row r="18" spans="1:38" s="136" customFormat="1" ht="11.25">
      <c r="A18" s="883"/>
      <c r="B18" s="112" t="s">
        <v>202</v>
      </c>
      <c r="C18" s="125">
        <v>0</v>
      </c>
      <c r="D18" s="113">
        <v>0</v>
      </c>
      <c r="E18" s="114">
        <v>0</v>
      </c>
      <c r="F18" s="113">
        <v>0</v>
      </c>
      <c r="G18" s="114">
        <v>0</v>
      </c>
      <c r="H18" s="113">
        <v>0</v>
      </c>
      <c r="I18" s="114">
        <v>0</v>
      </c>
      <c r="J18" s="114">
        <v>0</v>
      </c>
      <c r="K18" s="113">
        <v>0</v>
      </c>
      <c r="L18" s="115">
        <f>SUM(C18:K18)</f>
        <v>0</v>
      </c>
      <c r="M18" s="113">
        <v>0</v>
      </c>
      <c r="N18" s="114">
        <f>0.904*N16</f>
        <v>409.78103510080001</v>
      </c>
      <c r="O18" s="113" t="e">
        <f>O16*0.107</f>
        <v>#REF!</v>
      </c>
      <c r="P18" s="114">
        <v>0</v>
      </c>
      <c r="Q18" s="113">
        <f>Q16-Q20</f>
        <v>2857.0527354599994</v>
      </c>
      <c r="R18" s="114">
        <f>0.165*R16</f>
        <v>142.48738181106003</v>
      </c>
      <c r="S18" s="113">
        <f>S16</f>
        <v>278.74079999999998</v>
      </c>
      <c r="T18" s="114">
        <v>0</v>
      </c>
      <c r="U18" s="113">
        <v>0</v>
      </c>
      <c r="V18" s="114">
        <f>0.1*V16</f>
        <v>110.3900155</v>
      </c>
      <c r="W18" s="113">
        <v>0</v>
      </c>
      <c r="X18" s="114" t="e">
        <f>SUM(M18:W18)</f>
        <v>#REF!</v>
      </c>
      <c r="Y18" s="118" t="e">
        <f>X18+L18</f>
        <v>#REF!</v>
      </c>
      <c r="Z18" s="116"/>
      <c r="AA18" s="20"/>
      <c r="AB18" s="20"/>
      <c r="AC18" s="20"/>
      <c r="AD18" s="20"/>
      <c r="AE18" s="20"/>
      <c r="AF18" s="20"/>
      <c r="AG18" s="20"/>
      <c r="AH18" s="20"/>
      <c r="AI18" s="20"/>
      <c r="AJ18" s="20"/>
      <c r="AK18" s="20"/>
      <c r="AL18" s="20"/>
    </row>
    <row r="19" spans="1:38" s="136" customFormat="1" ht="11.25">
      <c r="A19" s="883"/>
      <c r="B19" s="112"/>
      <c r="C19" s="125"/>
      <c r="D19" s="113"/>
      <c r="E19" s="114"/>
      <c r="F19" s="113"/>
      <c r="G19" s="114"/>
      <c r="H19" s="113"/>
      <c r="I19" s="114"/>
      <c r="J19" s="114"/>
      <c r="K19" s="113"/>
      <c r="L19" s="115"/>
      <c r="M19" s="113"/>
      <c r="N19" s="114"/>
      <c r="O19" s="113"/>
      <c r="P19" s="114"/>
      <c r="Q19" s="113"/>
      <c r="R19" s="114"/>
      <c r="S19" s="113"/>
      <c r="T19" s="114"/>
      <c r="U19" s="113"/>
      <c r="V19" s="114"/>
      <c r="W19" s="113"/>
      <c r="X19" s="114"/>
      <c r="Y19" s="118"/>
      <c r="Z19" s="116"/>
      <c r="AA19" s="20"/>
      <c r="AB19" s="20"/>
      <c r="AC19" s="20"/>
      <c r="AD19" s="20"/>
      <c r="AE19" s="20"/>
      <c r="AF19" s="20"/>
      <c r="AG19" s="20"/>
      <c r="AH19" s="20"/>
      <c r="AI19" s="20"/>
      <c r="AJ19" s="20"/>
      <c r="AK19" s="20"/>
      <c r="AL19" s="20"/>
    </row>
    <row r="20" spans="1:38" s="136" customFormat="1" ht="11.25">
      <c r="A20" s="883"/>
      <c r="B20" s="112" t="s">
        <v>203</v>
      </c>
      <c r="C20" s="125">
        <v>0</v>
      </c>
      <c r="D20" s="113">
        <v>0</v>
      </c>
      <c r="E20" s="114">
        <v>0</v>
      </c>
      <c r="F20" s="113">
        <v>0</v>
      </c>
      <c r="G20" s="114">
        <v>0</v>
      </c>
      <c r="H20" s="113">
        <v>0</v>
      </c>
      <c r="I20" s="114">
        <v>0</v>
      </c>
      <c r="J20" s="114">
        <v>0</v>
      </c>
      <c r="K20" s="113">
        <v>0</v>
      </c>
      <c r="L20" s="115">
        <f>SUM(C20:K20)</f>
        <v>0</v>
      </c>
      <c r="M20" s="113">
        <v>0</v>
      </c>
      <c r="N20" s="114">
        <f>N16-N18</f>
        <v>43.51657009920001</v>
      </c>
      <c r="O20" s="113" t="e">
        <f>O16-O18</f>
        <v>#REF!</v>
      </c>
      <c r="P20" s="114">
        <v>0</v>
      </c>
      <c r="Q20" s="113">
        <f>0.098*Q16</f>
        <v>310.41149453999998</v>
      </c>
      <c r="R20" s="114">
        <f>R16-R18</f>
        <v>721.0725079529401</v>
      </c>
      <c r="S20" s="113">
        <f>0</f>
        <v>0</v>
      </c>
      <c r="T20" s="114">
        <v>0</v>
      </c>
      <c r="U20" s="113">
        <v>0</v>
      </c>
      <c r="V20" s="114">
        <f>0.9*V16</f>
        <v>993.51013950000004</v>
      </c>
      <c r="W20" s="113">
        <v>0</v>
      </c>
      <c r="X20" s="114" t="e">
        <f>SUM(M20:W20)</f>
        <v>#REF!</v>
      </c>
      <c r="Y20" s="118" t="e">
        <f>X20+L20</f>
        <v>#REF!</v>
      </c>
      <c r="Z20" s="116"/>
      <c r="AA20" s="20"/>
      <c r="AB20" s="20"/>
      <c r="AC20" s="20"/>
      <c r="AD20" s="20"/>
      <c r="AE20" s="20"/>
      <c r="AF20" s="20"/>
      <c r="AG20" s="20"/>
      <c r="AH20" s="20"/>
      <c r="AI20" s="20"/>
      <c r="AJ20" s="20"/>
      <c r="AK20" s="20"/>
      <c r="AL20" s="20"/>
    </row>
    <row r="21" spans="1:38">
      <c r="A21" s="883"/>
      <c r="B21" s="65"/>
      <c r="C21" s="30"/>
      <c r="D21" s="126"/>
      <c r="E21" s="27"/>
      <c r="F21" s="30"/>
      <c r="G21" s="27"/>
      <c r="H21" s="31"/>
      <c r="I21" s="30"/>
      <c r="J21" s="27"/>
      <c r="K21" s="30"/>
      <c r="L21" s="94"/>
      <c r="M21" s="30"/>
      <c r="N21" s="27"/>
      <c r="O21" s="30"/>
      <c r="P21" s="27"/>
      <c r="Q21" s="30"/>
      <c r="R21" s="27"/>
      <c r="S21" s="30"/>
      <c r="T21" s="27"/>
      <c r="U21" s="30"/>
      <c r="V21" s="27"/>
      <c r="W21" s="30"/>
      <c r="X21" s="27"/>
      <c r="Y21" s="86"/>
      <c r="Z21" s="2"/>
    </row>
    <row r="22" spans="1:38">
      <c r="A22" s="883"/>
      <c r="B22" s="65" t="s">
        <v>101</v>
      </c>
      <c r="C22" s="30">
        <f>CUADRO3!F7</f>
        <v>421.04076413592003</v>
      </c>
      <c r="D22" s="126">
        <v>0</v>
      </c>
      <c r="E22" s="27">
        <f>CUADRO3!F9</f>
        <v>-8226.9217888023304</v>
      </c>
      <c r="F22" s="31">
        <v>0</v>
      </c>
      <c r="G22" s="30">
        <v>0</v>
      </c>
      <c r="H22" s="27">
        <v>0</v>
      </c>
      <c r="I22" s="30">
        <v>0</v>
      </c>
      <c r="J22" s="27">
        <v>0</v>
      </c>
      <c r="K22" s="30">
        <v>0</v>
      </c>
      <c r="L22" s="94">
        <f>SUM(C22:K22)</f>
        <v>-7805.8810246664107</v>
      </c>
      <c r="M22" s="30">
        <f>CUADRO4!F19</f>
        <v>3624.0838318819774</v>
      </c>
      <c r="N22" s="27">
        <f>CUADRO4!F12</f>
        <v>788.0050368755301</v>
      </c>
      <c r="O22" s="30" t="e">
        <f>CUADRO4!F10+CUADRO4!#REF!+CUADRO4!F13</f>
        <v>#REF!</v>
      </c>
      <c r="P22" s="27">
        <f>CUADRO4!F11+CUADRO4!F14</f>
        <v>127.88263729917746</v>
      </c>
      <c r="Q22" s="30">
        <f>CUADRO4!F9</f>
        <v>-679.23619221181502</v>
      </c>
      <c r="R22" s="27">
        <f>CUADRO4!F8</f>
        <v>7354.794292370505</v>
      </c>
      <c r="S22" s="30">
        <f>CUADRO4!F20</f>
        <v>51.431799899999902</v>
      </c>
      <c r="T22" s="27">
        <v>0</v>
      </c>
      <c r="U22" s="30">
        <f>CUADRO4!F16+CUADRO4!F24+CUADRO4!F23</f>
        <v>97.344124393940291</v>
      </c>
      <c r="V22" s="27">
        <f>CUADRO4!F15+CUADRO4!F22+CUADRO4!F25</f>
        <v>86.198839950000547</v>
      </c>
      <c r="W22" s="30">
        <v>0</v>
      </c>
      <c r="X22" s="27" t="e">
        <f>SUM(M22:W22)</f>
        <v>#REF!</v>
      </c>
      <c r="Y22" s="86" t="e">
        <f>X22+L22</f>
        <v>#REF!</v>
      </c>
      <c r="Z22" s="4"/>
    </row>
    <row r="23" spans="1:38">
      <c r="A23" s="883"/>
      <c r="B23" s="65"/>
      <c r="C23" s="30"/>
      <c r="D23" s="27"/>
      <c r="E23" s="30"/>
      <c r="F23" s="27"/>
      <c r="G23" s="30"/>
      <c r="H23" s="27"/>
      <c r="I23" s="30"/>
      <c r="J23" s="27"/>
      <c r="K23" s="30"/>
      <c r="L23" s="94"/>
      <c r="M23" s="30"/>
      <c r="N23" s="27"/>
      <c r="O23" s="30"/>
      <c r="P23" s="27"/>
      <c r="Q23" s="30"/>
      <c r="R23" s="27"/>
      <c r="S23" s="30"/>
      <c r="T23" s="27"/>
      <c r="U23" s="30"/>
      <c r="V23" s="27"/>
      <c r="W23" s="30"/>
      <c r="X23" s="27"/>
      <c r="Y23" s="86"/>
      <c r="Z23" s="2"/>
    </row>
    <row r="24" spans="1:38">
      <c r="A24" s="883"/>
      <c r="B24" s="65" t="s">
        <v>102</v>
      </c>
      <c r="C24" s="30">
        <v>0</v>
      </c>
      <c r="D24" s="27">
        <f>CUADRO3!F8</f>
        <v>2730.6838839472657</v>
      </c>
      <c r="E24" s="30">
        <v>0</v>
      </c>
      <c r="F24" s="27">
        <f>CUADRO3!F11</f>
        <v>0</v>
      </c>
      <c r="G24" s="30">
        <v>0</v>
      </c>
      <c r="H24" s="27">
        <v>0</v>
      </c>
      <c r="I24" s="30">
        <v>0</v>
      </c>
      <c r="J24" s="27">
        <v>0</v>
      </c>
      <c r="K24" s="30">
        <v>0</v>
      </c>
      <c r="L24" s="94">
        <f>SUM(C24:K24)</f>
        <v>2730.6838839472657</v>
      </c>
      <c r="M24" s="30">
        <v>0</v>
      </c>
      <c r="N24" s="27">
        <v>0</v>
      </c>
      <c r="O24" s="30">
        <v>0</v>
      </c>
      <c r="P24" s="27">
        <v>0</v>
      </c>
      <c r="Q24" s="30">
        <v>0</v>
      </c>
      <c r="R24" s="27">
        <v>0</v>
      </c>
      <c r="S24" s="30">
        <v>0</v>
      </c>
      <c r="T24" s="27">
        <v>0</v>
      </c>
      <c r="U24" s="30">
        <v>0</v>
      </c>
      <c r="V24" s="27">
        <v>0</v>
      </c>
      <c r="W24" s="30">
        <v>0</v>
      </c>
      <c r="X24" s="27">
        <f>SUM(M24:W24)</f>
        <v>0</v>
      </c>
      <c r="Y24" s="86">
        <f>X24+L24</f>
        <v>2730.6838839472657</v>
      </c>
      <c r="Z24" s="4"/>
    </row>
    <row r="25" spans="1:38" ht="13.5" thickBot="1">
      <c r="A25" s="884"/>
      <c r="B25" s="66"/>
      <c r="C25" s="73"/>
      <c r="D25" s="87"/>
      <c r="E25" s="73"/>
      <c r="F25" s="87"/>
      <c r="G25" s="73"/>
      <c r="H25" s="87"/>
      <c r="I25" s="73"/>
      <c r="J25" s="87"/>
      <c r="K25" s="73"/>
      <c r="L25" s="89"/>
      <c r="M25" s="73"/>
      <c r="N25" s="87"/>
      <c r="O25" s="73"/>
      <c r="P25" s="87"/>
      <c r="Q25" s="73"/>
      <c r="R25" s="87"/>
      <c r="S25" s="73"/>
      <c r="T25" s="87"/>
      <c r="U25" s="73"/>
      <c r="V25" s="87"/>
      <c r="W25" s="73"/>
      <c r="X25" s="87"/>
      <c r="Y25" s="88"/>
      <c r="Z25" s="4"/>
    </row>
    <row r="26" spans="1:38" ht="13.5" thickBot="1">
      <c r="A26" s="69"/>
      <c r="B26" s="66" t="s">
        <v>103</v>
      </c>
      <c r="C26" s="78">
        <f>CUADRO3!G7</f>
        <v>92349.898592566897</v>
      </c>
      <c r="D26" s="89">
        <f>CUADRO3!G8</f>
        <v>41481.392634601332</v>
      </c>
      <c r="E26" s="78">
        <f>CUADRO3!G9</f>
        <v>75562.116755302253</v>
      </c>
      <c r="F26" s="89">
        <f>CUADRO3!G11</f>
        <v>20310.838125240003</v>
      </c>
      <c r="G26" s="78">
        <v>0</v>
      </c>
      <c r="H26" s="89">
        <v>0</v>
      </c>
      <c r="I26" s="78">
        <f>I8</f>
        <v>73430.280199428016</v>
      </c>
      <c r="J26" s="89">
        <v>0</v>
      </c>
      <c r="K26" s="78">
        <f>K8+K10-K16-K22-K24</f>
        <v>0</v>
      </c>
      <c r="L26" s="89">
        <f>L8+L10-L16-L22-L24</f>
        <v>303134.5263071385</v>
      </c>
      <c r="M26" s="78">
        <f>CUADRO4!I19</f>
        <v>60467.543946311816</v>
      </c>
      <c r="N26" s="89">
        <f>CUADRO4!I12</f>
        <v>14098.837051924476</v>
      </c>
      <c r="O26" s="78" t="e">
        <f>CUADRO4!I10+CUADRO4!#REF!+CUADRO4!I13</f>
        <v>#REF!</v>
      </c>
      <c r="P26" s="89">
        <f>CUADRO4!I11+CUADRO4!I14</f>
        <v>13412.669879077825</v>
      </c>
      <c r="Q26" s="78">
        <f>CUADRO4!I9</f>
        <v>10986.730165036817</v>
      </c>
      <c r="R26" s="89">
        <f>CUADRO4!I8</f>
        <v>81811.961061965485</v>
      </c>
      <c r="S26" s="78">
        <f>CUADRO4!I20</f>
        <v>2608.1558652599997</v>
      </c>
      <c r="T26" s="89">
        <f>T8+T10-T16-T22-T24</f>
        <v>0</v>
      </c>
      <c r="U26" s="78">
        <f>CUADRO4!I16+CUADRO4!I24+CUADRO4!I23</f>
        <v>784.43814391564399</v>
      </c>
      <c r="V26" s="89">
        <f>CUADRO4!I15+CUADRO4!I25+CUADRO4!I22</f>
        <v>3055.9199990500001</v>
      </c>
      <c r="W26" s="78">
        <f>W8</f>
        <v>427.53057357000012</v>
      </c>
      <c r="X26" s="89" t="e">
        <f>X8+X10-X16-X22-X24</f>
        <v>#REF!</v>
      </c>
      <c r="Y26" s="88" t="e">
        <f>X26+L26</f>
        <v>#REF!</v>
      </c>
      <c r="Z26" s="4"/>
    </row>
    <row r="27" spans="1:38">
      <c r="A27" s="885" t="s">
        <v>207</v>
      </c>
      <c r="B27" s="64"/>
      <c r="C27" s="74"/>
      <c r="D27" s="90"/>
      <c r="E27" s="74"/>
      <c r="F27" s="90"/>
      <c r="G27" s="74"/>
      <c r="H27" s="90"/>
      <c r="I27" s="74"/>
      <c r="J27" s="90"/>
      <c r="K27" s="74"/>
      <c r="L27" s="92"/>
      <c r="M27" s="74"/>
      <c r="N27" s="90"/>
      <c r="O27" s="74"/>
      <c r="P27" s="90"/>
      <c r="Q27" s="74"/>
      <c r="R27" s="90"/>
      <c r="S27" s="74"/>
      <c r="T27" s="90"/>
      <c r="U27" s="74"/>
      <c r="V27" s="90"/>
      <c r="W27" s="74"/>
      <c r="X27" s="90"/>
      <c r="Y27" s="91"/>
      <c r="Z27" s="4"/>
    </row>
    <row r="28" spans="1:38">
      <c r="A28" s="886"/>
      <c r="B28" s="65" t="s">
        <v>104</v>
      </c>
      <c r="C28" s="30">
        <v>0</v>
      </c>
      <c r="D28" s="27">
        <f>CUADRO10!E28</f>
        <v>0</v>
      </c>
      <c r="E28" s="30">
        <v>0</v>
      </c>
      <c r="F28" s="27">
        <v>0</v>
      </c>
      <c r="G28" s="30">
        <v>0</v>
      </c>
      <c r="H28" s="27">
        <v>0</v>
      </c>
      <c r="I28" s="30">
        <v>0</v>
      </c>
      <c r="J28" s="27">
        <v>0</v>
      </c>
      <c r="K28" s="30">
        <v>0</v>
      </c>
      <c r="L28" s="94">
        <f>SUM(C28:K28)</f>
        <v>0</v>
      </c>
      <c r="M28" s="30">
        <v>0</v>
      </c>
      <c r="N28" s="27">
        <f>CUADRO10!E17</f>
        <v>0</v>
      </c>
      <c r="O28" s="30">
        <v>0</v>
      </c>
      <c r="P28" s="27">
        <v>0</v>
      </c>
      <c r="Q28" s="30">
        <v>0</v>
      </c>
      <c r="R28" s="27">
        <f>CUADRO10!E16</f>
        <v>0</v>
      </c>
      <c r="S28" s="30">
        <v>0</v>
      </c>
      <c r="T28" s="27">
        <v>0</v>
      </c>
      <c r="U28" s="30">
        <v>0</v>
      </c>
      <c r="V28" s="27">
        <v>0</v>
      </c>
      <c r="W28" s="30">
        <v>0</v>
      </c>
      <c r="X28" s="27">
        <f>SUM(M28:W28)</f>
        <v>0</v>
      </c>
      <c r="Y28" s="86">
        <f>X28+L28</f>
        <v>0</v>
      </c>
      <c r="Z28" s="4"/>
    </row>
    <row r="29" spans="1:38">
      <c r="A29" s="886"/>
      <c r="B29" s="65"/>
      <c r="C29" s="30"/>
      <c r="D29" s="27"/>
      <c r="E29" s="30"/>
      <c r="F29" s="27"/>
      <c r="G29" s="30"/>
      <c r="H29" s="27"/>
      <c r="I29" s="30"/>
      <c r="J29" s="27"/>
      <c r="K29" s="30"/>
      <c r="L29" s="94"/>
      <c r="M29" s="30"/>
      <c r="N29" s="27"/>
      <c r="O29" s="30"/>
      <c r="P29" s="27"/>
      <c r="Q29" s="30"/>
      <c r="R29" s="27"/>
      <c r="S29" s="30"/>
      <c r="T29" s="27"/>
      <c r="U29" s="30"/>
      <c r="V29" s="27"/>
      <c r="W29" s="30"/>
      <c r="X29" s="27"/>
      <c r="Y29" s="86"/>
      <c r="Z29" s="2"/>
    </row>
    <row r="30" spans="1:38">
      <c r="A30" s="886"/>
      <c r="B30" s="65" t="s">
        <v>105</v>
      </c>
      <c r="C30" s="30">
        <v>0</v>
      </c>
      <c r="D30" s="27" t="e">
        <f>#REF!</f>
        <v>#REF!</v>
      </c>
      <c r="E30" s="30" t="e">
        <f>#REF!</f>
        <v>#REF!</v>
      </c>
      <c r="F30" s="27">
        <v>0</v>
      </c>
      <c r="G30" s="30">
        <v>0</v>
      </c>
      <c r="H30" s="27">
        <v>0</v>
      </c>
      <c r="I30" s="30" t="e">
        <f>#REF!</f>
        <v>#REF!</v>
      </c>
      <c r="J30" s="27">
        <v>0</v>
      </c>
      <c r="K30" s="30">
        <v>0</v>
      </c>
      <c r="L30" s="94" t="e">
        <f>SUM(C30:K30)</f>
        <v>#REF!</v>
      </c>
      <c r="M30" s="30">
        <v>0</v>
      </c>
      <c r="N30" s="27" t="e">
        <f>#REF!</f>
        <v>#REF!</v>
      </c>
      <c r="O30" s="30">
        <v>0</v>
      </c>
      <c r="P30" s="27">
        <v>0</v>
      </c>
      <c r="Q30" s="30" t="e">
        <f>#REF!</f>
        <v>#REF!</v>
      </c>
      <c r="R30" s="27" t="e">
        <f>#REF!</f>
        <v>#REF!</v>
      </c>
      <c r="S30" s="30" t="e">
        <f>#REF!</f>
        <v>#REF!</v>
      </c>
      <c r="T30" s="27">
        <v>0</v>
      </c>
      <c r="U30" s="30" t="e">
        <f>#REF!+#REF!+#REF!</f>
        <v>#REF!</v>
      </c>
      <c r="V30" s="27">
        <v>0</v>
      </c>
      <c r="W30" s="30">
        <v>0</v>
      </c>
      <c r="X30" s="27" t="e">
        <f>SUM(M30:W30)</f>
        <v>#REF!</v>
      </c>
      <c r="Y30" s="86" t="e">
        <f>X30+L30</f>
        <v>#REF!</v>
      </c>
      <c r="Z30" s="4"/>
    </row>
    <row r="31" spans="1:38">
      <c r="A31" s="886"/>
      <c r="B31" s="65"/>
      <c r="C31" s="30"/>
      <c r="D31" s="27"/>
      <c r="E31" s="30"/>
      <c r="F31" s="27"/>
      <c r="G31" s="30"/>
      <c r="H31" s="27"/>
      <c r="I31" s="30"/>
      <c r="J31" s="27"/>
      <c r="K31" s="30"/>
      <c r="L31" s="94"/>
      <c r="M31" s="30"/>
      <c r="N31" s="27"/>
      <c r="O31" s="30"/>
      <c r="P31" s="27"/>
      <c r="Q31" s="30"/>
      <c r="R31" s="27"/>
      <c r="S31" s="30"/>
      <c r="T31" s="27"/>
      <c r="U31" s="30"/>
      <c r="V31" s="27"/>
      <c r="W31" s="30"/>
      <c r="X31" s="27"/>
      <c r="Y31" s="86"/>
      <c r="Z31" s="4"/>
    </row>
    <row r="32" spans="1:38" s="136" customFormat="1" ht="11.25">
      <c r="A32" s="886"/>
      <c r="B32" s="112" t="s">
        <v>204</v>
      </c>
      <c r="C32" s="113">
        <v>0</v>
      </c>
      <c r="D32" s="114">
        <v>0</v>
      </c>
      <c r="E32" s="113">
        <v>0</v>
      </c>
      <c r="F32" s="114">
        <f>F30</f>
        <v>0</v>
      </c>
      <c r="G32" s="113">
        <v>0</v>
      </c>
      <c r="H32" s="114">
        <v>0</v>
      </c>
      <c r="I32" s="113">
        <v>0</v>
      </c>
      <c r="J32" s="114">
        <v>0</v>
      </c>
      <c r="K32" s="113">
        <v>0</v>
      </c>
      <c r="L32" s="115">
        <v>0</v>
      </c>
      <c r="M32" s="113">
        <v>0</v>
      </c>
      <c r="N32" s="114">
        <v>0</v>
      </c>
      <c r="O32" s="114">
        <v>0</v>
      </c>
      <c r="P32" s="114">
        <v>0</v>
      </c>
      <c r="Q32" s="114">
        <v>0</v>
      </c>
      <c r="R32" s="114">
        <v>0</v>
      </c>
      <c r="S32" s="114">
        <v>0</v>
      </c>
      <c r="T32" s="114">
        <v>0</v>
      </c>
      <c r="U32" s="114">
        <v>0</v>
      </c>
      <c r="V32" s="114">
        <v>0</v>
      </c>
      <c r="W32" s="114">
        <v>0</v>
      </c>
      <c r="X32" s="114">
        <f>SUM(M32:W32)</f>
        <v>0</v>
      </c>
      <c r="Y32" s="118">
        <f>X32+L32</f>
        <v>0</v>
      </c>
      <c r="Z32" s="116"/>
      <c r="AA32" s="20"/>
      <c r="AB32" s="20"/>
      <c r="AC32" s="20"/>
      <c r="AD32" s="20"/>
      <c r="AE32" s="20"/>
      <c r="AF32" s="20"/>
      <c r="AG32" s="20"/>
      <c r="AH32" s="20"/>
      <c r="AI32" s="20"/>
      <c r="AJ32" s="20"/>
      <c r="AK32" s="20"/>
      <c r="AL32" s="20"/>
    </row>
    <row r="33" spans="1:38" s="136" customFormat="1" ht="11.25">
      <c r="A33" s="886"/>
      <c r="B33" s="112"/>
      <c r="C33" s="113"/>
      <c r="D33" s="114"/>
      <c r="E33" s="113"/>
      <c r="F33" s="117"/>
      <c r="G33" s="113"/>
      <c r="H33" s="114"/>
      <c r="I33" s="113"/>
      <c r="J33" s="114"/>
      <c r="K33" s="113"/>
      <c r="L33" s="115"/>
      <c r="M33" s="113"/>
      <c r="N33" s="114"/>
      <c r="O33" s="114"/>
      <c r="P33" s="114"/>
      <c r="Q33" s="114"/>
      <c r="R33" s="114"/>
      <c r="S33" s="114"/>
      <c r="T33" s="114"/>
      <c r="U33" s="114"/>
      <c r="V33" s="114"/>
      <c r="W33" s="114"/>
      <c r="X33" s="114"/>
      <c r="Y33" s="115"/>
      <c r="Z33" s="116"/>
      <c r="AA33" s="20"/>
      <c r="AB33" s="20"/>
      <c r="AC33" s="20"/>
      <c r="AD33" s="20"/>
      <c r="AE33" s="20"/>
      <c r="AF33" s="20"/>
      <c r="AG33" s="20"/>
      <c r="AH33" s="20"/>
      <c r="AI33" s="20"/>
      <c r="AJ33" s="20"/>
      <c r="AK33" s="20"/>
      <c r="AL33" s="20"/>
    </row>
    <row r="34" spans="1:38" s="136" customFormat="1" ht="11.25">
      <c r="A34" s="886"/>
      <c r="B34" s="112" t="s">
        <v>205</v>
      </c>
      <c r="C34" s="113">
        <f>C30</f>
        <v>0</v>
      </c>
      <c r="D34" s="114" t="e">
        <f t="shared" ref="D34:L34" si="0">D30</f>
        <v>#REF!</v>
      </c>
      <c r="E34" s="113" t="e">
        <f t="shared" si="0"/>
        <v>#REF!</v>
      </c>
      <c r="F34" s="114">
        <v>0</v>
      </c>
      <c r="G34" s="113">
        <f t="shared" si="0"/>
        <v>0</v>
      </c>
      <c r="H34" s="114">
        <f t="shared" si="0"/>
        <v>0</v>
      </c>
      <c r="I34" s="113" t="e">
        <f t="shared" si="0"/>
        <v>#REF!</v>
      </c>
      <c r="J34" s="114">
        <f t="shared" si="0"/>
        <v>0</v>
      </c>
      <c r="K34" s="113">
        <f t="shared" si="0"/>
        <v>0</v>
      </c>
      <c r="L34" s="115" t="e">
        <f t="shared" si="0"/>
        <v>#REF!</v>
      </c>
      <c r="M34" s="113">
        <v>0</v>
      </c>
      <c r="N34" s="114" t="e">
        <f>N30</f>
        <v>#REF!</v>
      </c>
      <c r="O34" s="114">
        <f t="shared" ref="O34:W34" si="1">O30</f>
        <v>0</v>
      </c>
      <c r="P34" s="114">
        <f t="shared" si="1"/>
        <v>0</v>
      </c>
      <c r="Q34" s="114" t="e">
        <f t="shared" si="1"/>
        <v>#REF!</v>
      </c>
      <c r="R34" s="114" t="e">
        <f t="shared" si="1"/>
        <v>#REF!</v>
      </c>
      <c r="S34" s="114" t="e">
        <f t="shared" si="1"/>
        <v>#REF!</v>
      </c>
      <c r="T34" s="114">
        <f t="shared" si="1"/>
        <v>0</v>
      </c>
      <c r="U34" s="114" t="e">
        <f t="shared" si="1"/>
        <v>#REF!</v>
      </c>
      <c r="V34" s="114">
        <f t="shared" si="1"/>
        <v>0</v>
      </c>
      <c r="W34" s="114">
        <f t="shared" si="1"/>
        <v>0</v>
      </c>
      <c r="X34" s="114" t="e">
        <f>SUM(M34:W34)</f>
        <v>#REF!</v>
      </c>
      <c r="Y34" s="118" t="e">
        <f>X34+L34</f>
        <v>#REF!</v>
      </c>
      <c r="Z34" s="116"/>
      <c r="AA34" s="20"/>
      <c r="AB34" s="20"/>
      <c r="AC34" s="20"/>
      <c r="AD34" s="20"/>
      <c r="AE34" s="20"/>
      <c r="AF34" s="20"/>
      <c r="AG34" s="20"/>
      <c r="AH34" s="20"/>
      <c r="AI34" s="20"/>
      <c r="AJ34" s="20"/>
      <c r="AK34" s="20"/>
      <c r="AL34" s="20"/>
    </row>
    <row r="35" spans="1:38">
      <c r="A35" s="886"/>
      <c r="B35" s="65"/>
      <c r="C35" s="30"/>
      <c r="D35" s="27"/>
      <c r="E35" s="30"/>
      <c r="F35" s="27"/>
      <c r="G35" s="30"/>
      <c r="H35" s="27"/>
      <c r="I35" s="30"/>
      <c r="J35" s="27"/>
      <c r="K35" s="30"/>
      <c r="L35" s="94"/>
      <c r="M35" s="30"/>
      <c r="N35" s="27"/>
      <c r="O35" s="30"/>
      <c r="P35" s="27"/>
      <c r="Q35" s="30"/>
      <c r="R35" s="27"/>
      <c r="S35" s="30"/>
      <c r="T35" s="27"/>
      <c r="U35" s="30"/>
      <c r="V35" s="27"/>
      <c r="W35" s="30"/>
      <c r="X35" s="27"/>
      <c r="Y35" s="86"/>
      <c r="Z35" s="2"/>
    </row>
    <row r="36" spans="1:38">
      <c r="A36" s="886"/>
      <c r="B36" s="65" t="s">
        <v>106</v>
      </c>
      <c r="C36" s="30">
        <v>0</v>
      </c>
      <c r="D36" s="27" t="e">
        <f>#REF!</f>
        <v>#REF!</v>
      </c>
      <c r="E36" s="30" t="e">
        <f>#REF!</f>
        <v>#REF!</v>
      </c>
      <c r="F36" s="27">
        <v>0</v>
      </c>
      <c r="G36" s="30">
        <v>0</v>
      </c>
      <c r="H36" s="27">
        <v>0</v>
      </c>
      <c r="I36" s="30" t="e">
        <f>#REF!</f>
        <v>#REF!</v>
      </c>
      <c r="J36" s="27">
        <v>0</v>
      </c>
      <c r="K36" s="30">
        <v>0</v>
      </c>
      <c r="L36" s="94" t="e">
        <f>SUM(C36:K36)</f>
        <v>#REF!</v>
      </c>
      <c r="M36" s="30">
        <v>0</v>
      </c>
      <c r="N36" s="27" t="e">
        <f>#REF!</f>
        <v>#REF!</v>
      </c>
      <c r="O36" s="30">
        <v>0</v>
      </c>
      <c r="P36" s="27">
        <v>0</v>
      </c>
      <c r="Q36" s="30" t="e">
        <f>#REF!</f>
        <v>#REF!</v>
      </c>
      <c r="R36" s="27" t="e">
        <f>#REF!</f>
        <v>#REF!</v>
      </c>
      <c r="S36" s="30" t="e">
        <f>#REF!</f>
        <v>#REF!</v>
      </c>
      <c r="T36" s="27">
        <v>0</v>
      </c>
      <c r="U36" s="30" t="e">
        <f>#REF!+#REF!+#REF!</f>
        <v>#REF!</v>
      </c>
      <c r="V36" s="27">
        <v>0</v>
      </c>
      <c r="W36" s="30">
        <v>0</v>
      </c>
      <c r="X36" s="27" t="e">
        <f>SUM(M36:W36)</f>
        <v>#REF!</v>
      </c>
      <c r="Y36" s="86" t="e">
        <f>X36+L36</f>
        <v>#REF!</v>
      </c>
      <c r="Z36" s="4"/>
    </row>
    <row r="37" spans="1:38">
      <c r="A37" s="886"/>
      <c r="B37" s="65"/>
      <c r="C37" s="30"/>
      <c r="D37" s="27"/>
      <c r="E37" s="30"/>
      <c r="F37" s="27"/>
      <c r="G37" s="30"/>
      <c r="H37" s="27"/>
      <c r="I37" s="30"/>
      <c r="J37" s="27"/>
      <c r="K37" s="30"/>
      <c r="L37" s="94"/>
      <c r="M37" s="30"/>
      <c r="N37" s="27"/>
      <c r="O37" s="30"/>
      <c r="P37" s="27"/>
      <c r="Q37" s="30"/>
      <c r="R37" s="27"/>
      <c r="S37" s="30"/>
      <c r="T37" s="27"/>
      <c r="U37" s="30"/>
      <c r="V37" s="27"/>
      <c r="W37" s="30"/>
      <c r="X37" s="27"/>
      <c r="Y37" s="86"/>
      <c r="Z37" s="2"/>
    </row>
    <row r="38" spans="1:38">
      <c r="A38" s="886"/>
      <c r="B38" s="65" t="s">
        <v>107</v>
      </c>
      <c r="C38" s="30">
        <v>0</v>
      </c>
      <c r="D38" s="27">
        <v>0</v>
      </c>
      <c r="E38" s="28">
        <v>0</v>
      </c>
      <c r="F38" s="27">
        <v>0</v>
      </c>
      <c r="G38" s="30">
        <v>0</v>
      </c>
      <c r="H38" s="27">
        <v>0</v>
      </c>
      <c r="I38" s="30">
        <v>0</v>
      </c>
      <c r="J38" s="27">
        <v>0</v>
      </c>
      <c r="K38" s="30">
        <v>0</v>
      </c>
      <c r="L38" s="94">
        <f>SUM(C38:K38)</f>
        <v>0</v>
      </c>
      <c r="M38" s="30">
        <v>0</v>
      </c>
      <c r="N38" s="27">
        <v>0</v>
      </c>
      <c r="O38" s="30">
        <v>0</v>
      </c>
      <c r="P38" s="27">
        <v>0</v>
      </c>
      <c r="Q38" s="30">
        <v>0</v>
      </c>
      <c r="R38" s="27">
        <v>0</v>
      </c>
      <c r="S38" s="28">
        <v>0</v>
      </c>
      <c r="T38" s="27">
        <v>0</v>
      </c>
      <c r="U38" s="30">
        <v>0</v>
      </c>
      <c r="V38" s="27">
        <v>0</v>
      </c>
      <c r="W38" s="30">
        <v>0</v>
      </c>
      <c r="X38" s="27">
        <f>SUM(M38:W38)</f>
        <v>0</v>
      </c>
      <c r="Y38" s="86">
        <f>X38+L38</f>
        <v>0</v>
      </c>
      <c r="Z38" s="4"/>
    </row>
    <row r="39" spans="1:38">
      <c r="A39" s="886"/>
      <c r="B39" s="65"/>
      <c r="C39" s="30"/>
      <c r="D39" s="27"/>
      <c r="E39" s="30"/>
      <c r="F39" s="27"/>
      <c r="G39" s="30"/>
      <c r="H39" s="27"/>
      <c r="I39" s="30"/>
      <c r="J39" s="27"/>
      <c r="K39" s="30"/>
      <c r="L39" s="94"/>
      <c r="M39" s="30"/>
      <c r="N39" s="27"/>
      <c r="O39" s="30"/>
      <c r="P39" s="27"/>
      <c r="Q39" s="30"/>
      <c r="R39" s="27"/>
      <c r="S39" s="30"/>
      <c r="T39" s="27"/>
      <c r="U39" s="30"/>
      <c r="V39" s="27"/>
      <c r="W39" s="30"/>
      <c r="X39" s="27"/>
      <c r="Y39" s="86"/>
      <c r="Z39" s="2"/>
    </row>
    <row r="40" spans="1:38">
      <c r="A40" s="886"/>
      <c r="B40" s="65" t="s">
        <v>108</v>
      </c>
      <c r="C40" s="30">
        <v>0</v>
      </c>
      <c r="D40" s="27">
        <v>0</v>
      </c>
      <c r="E40" s="30">
        <f>CUADRO10!F25</f>
        <v>0</v>
      </c>
      <c r="F40" s="27">
        <v>0</v>
      </c>
      <c r="G40" s="30">
        <v>0</v>
      </c>
      <c r="H40" s="27">
        <v>0</v>
      </c>
      <c r="I40" s="30">
        <v>0</v>
      </c>
      <c r="J40" s="27">
        <v>0</v>
      </c>
      <c r="K40" s="30">
        <v>0</v>
      </c>
      <c r="L40" s="94">
        <f>SUM(C40:K40)</f>
        <v>0</v>
      </c>
      <c r="M40" s="30">
        <v>0</v>
      </c>
      <c r="N40" s="27">
        <v>0</v>
      </c>
      <c r="O40" s="30">
        <v>0</v>
      </c>
      <c r="P40" s="27">
        <v>0</v>
      </c>
      <c r="Q40" s="30">
        <v>0</v>
      </c>
      <c r="R40" s="27">
        <v>0</v>
      </c>
      <c r="S40" s="30">
        <v>0</v>
      </c>
      <c r="T40" s="27">
        <v>0</v>
      </c>
      <c r="U40" s="30">
        <v>0</v>
      </c>
      <c r="V40" s="27">
        <v>0</v>
      </c>
      <c r="W40" s="30">
        <v>0</v>
      </c>
      <c r="X40" s="27">
        <f>SUM(M40:W40)</f>
        <v>0</v>
      </c>
      <c r="Y40" s="86">
        <f>X40+L40</f>
        <v>0</v>
      </c>
      <c r="Z40" s="4"/>
    </row>
    <row r="41" spans="1:38">
      <c r="A41" s="886"/>
      <c r="B41" s="65"/>
      <c r="C41" s="30"/>
      <c r="D41" s="27"/>
      <c r="E41" s="30"/>
      <c r="F41" s="27"/>
      <c r="G41" s="30"/>
      <c r="H41" s="27"/>
      <c r="I41" s="30"/>
      <c r="J41" s="27"/>
      <c r="K41" s="30"/>
      <c r="L41" s="94"/>
      <c r="M41" s="30"/>
      <c r="N41" s="27"/>
      <c r="O41" s="30"/>
      <c r="P41" s="27"/>
      <c r="Q41" s="30"/>
      <c r="R41" s="27"/>
      <c r="S41" s="30"/>
      <c r="T41" s="27"/>
      <c r="U41" s="30"/>
      <c r="V41" s="27"/>
      <c r="W41" s="30"/>
      <c r="X41" s="27"/>
      <c r="Y41" s="86"/>
      <c r="Z41" s="2"/>
    </row>
    <row r="42" spans="1:38">
      <c r="A42" s="886"/>
      <c r="B42" s="65" t="s">
        <v>109</v>
      </c>
      <c r="C42" s="30">
        <v>0</v>
      </c>
      <c r="D42" s="27">
        <v>0</v>
      </c>
      <c r="E42" s="30">
        <f>CUADRO10!D25</f>
        <v>0</v>
      </c>
      <c r="F42" s="27">
        <v>0</v>
      </c>
      <c r="G42" s="30">
        <v>0</v>
      </c>
      <c r="H42" s="27">
        <v>0</v>
      </c>
      <c r="I42" s="30">
        <v>0</v>
      </c>
      <c r="J42" s="27">
        <v>0</v>
      </c>
      <c r="K42" s="30">
        <v>0</v>
      </c>
      <c r="L42" s="94">
        <f>SUM(C42:K42)</f>
        <v>0</v>
      </c>
      <c r="M42" s="30">
        <v>0</v>
      </c>
      <c r="N42" s="27">
        <f>CUADRO10!D17</f>
        <v>0</v>
      </c>
      <c r="O42" s="30">
        <v>0</v>
      </c>
      <c r="P42" s="27">
        <v>0</v>
      </c>
      <c r="Q42" s="30">
        <v>0</v>
      </c>
      <c r="R42" s="27">
        <v>0</v>
      </c>
      <c r="S42" s="30">
        <f>CUADRO10!D26</f>
        <v>0</v>
      </c>
      <c r="T42" s="27">
        <v>0</v>
      </c>
      <c r="U42" s="30">
        <v>0</v>
      </c>
      <c r="V42" s="27">
        <v>0</v>
      </c>
      <c r="W42" s="30">
        <v>0</v>
      </c>
      <c r="X42" s="27">
        <f>SUM(M42:W42)</f>
        <v>0</v>
      </c>
      <c r="Y42" s="86">
        <f>X42+L42</f>
        <v>0</v>
      </c>
      <c r="Z42" s="4"/>
    </row>
    <row r="43" spans="1:38">
      <c r="A43" s="886"/>
      <c r="B43" s="65"/>
      <c r="C43" s="30"/>
      <c r="D43" s="27"/>
      <c r="E43" s="30"/>
      <c r="F43" s="27"/>
      <c r="G43" s="30"/>
      <c r="H43" s="27"/>
      <c r="I43" s="30"/>
      <c r="J43" s="27"/>
      <c r="K43" s="30"/>
      <c r="L43" s="94"/>
      <c r="M43" s="30"/>
      <c r="N43" s="27"/>
      <c r="O43" s="30"/>
      <c r="P43" s="27"/>
      <c r="Q43" s="30"/>
      <c r="R43" s="27"/>
      <c r="S43" s="30"/>
      <c r="T43" s="27"/>
      <c r="U43" s="30"/>
      <c r="V43" s="27"/>
      <c r="W43" s="30"/>
      <c r="X43" s="27"/>
      <c r="Y43" s="86"/>
      <c r="Z43" s="2"/>
    </row>
    <row r="44" spans="1:38">
      <c r="A44" s="886"/>
      <c r="B44" s="65" t="s">
        <v>111</v>
      </c>
      <c r="C44" s="30">
        <v>0</v>
      </c>
      <c r="D44" s="27">
        <v>0</v>
      </c>
      <c r="E44" s="30">
        <v>0</v>
      </c>
      <c r="F44" s="27">
        <v>0</v>
      </c>
      <c r="G44" s="30">
        <v>0</v>
      </c>
      <c r="H44" s="27">
        <v>0</v>
      </c>
      <c r="I44" s="30">
        <v>0</v>
      </c>
      <c r="J44" s="27">
        <v>0</v>
      </c>
      <c r="K44" s="30">
        <v>0</v>
      </c>
      <c r="L44" s="94">
        <f>SUM(C44:K44)</f>
        <v>0</v>
      </c>
      <c r="M44" s="30">
        <v>0</v>
      </c>
      <c r="N44" s="27">
        <v>0</v>
      </c>
      <c r="O44" s="30">
        <v>0</v>
      </c>
      <c r="P44" s="27">
        <v>0</v>
      </c>
      <c r="Q44" s="30">
        <v>0</v>
      </c>
      <c r="R44" s="27">
        <v>0</v>
      </c>
      <c r="S44" s="30">
        <v>0</v>
      </c>
      <c r="T44" s="27">
        <v>0</v>
      </c>
      <c r="U44" s="30">
        <v>0</v>
      </c>
      <c r="V44" s="27">
        <v>0</v>
      </c>
      <c r="W44" s="30">
        <v>0</v>
      </c>
      <c r="X44" s="27">
        <f>SUM(M44:W44)</f>
        <v>0</v>
      </c>
      <c r="Y44" s="86">
        <f>X44+L44</f>
        <v>0</v>
      </c>
      <c r="Z44" s="4"/>
    </row>
    <row r="45" spans="1:38">
      <c r="A45" s="886"/>
      <c r="B45" s="65"/>
      <c r="C45" s="30"/>
      <c r="D45" s="27"/>
      <c r="E45" s="30"/>
      <c r="F45" s="27"/>
      <c r="G45" s="30"/>
      <c r="H45" s="27"/>
      <c r="I45" s="30"/>
      <c r="J45" s="27"/>
      <c r="K45" s="30"/>
      <c r="L45" s="94"/>
      <c r="M45" s="30"/>
      <c r="N45" s="27"/>
      <c r="O45" s="30"/>
      <c r="P45" s="27"/>
      <c r="Q45" s="30"/>
      <c r="R45" s="27"/>
      <c r="S45" s="30"/>
      <c r="T45" s="27"/>
      <c r="U45" s="30"/>
      <c r="V45" s="27"/>
      <c r="W45" s="30"/>
      <c r="X45" s="27"/>
      <c r="Y45" s="86"/>
      <c r="Z45" s="2"/>
    </row>
    <row r="46" spans="1:38">
      <c r="A46" s="886"/>
      <c r="B46" s="65" t="s">
        <v>112</v>
      </c>
      <c r="C46" s="30">
        <v>0</v>
      </c>
      <c r="D46" s="27">
        <f>CUADRO10!G28</f>
        <v>0</v>
      </c>
      <c r="E46" s="30">
        <v>0</v>
      </c>
      <c r="F46" s="27">
        <v>0</v>
      </c>
      <c r="G46" s="30">
        <v>0</v>
      </c>
      <c r="H46" s="27">
        <v>0</v>
      </c>
      <c r="I46" s="30">
        <v>0</v>
      </c>
      <c r="J46" s="27">
        <v>0</v>
      </c>
      <c r="K46" s="30">
        <v>0</v>
      </c>
      <c r="L46" s="94">
        <f>SUM(C46:K46)</f>
        <v>0</v>
      </c>
      <c r="M46" s="30">
        <v>0</v>
      </c>
      <c r="N46" s="27">
        <v>0</v>
      </c>
      <c r="O46" s="30">
        <v>0</v>
      </c>
      <c r="P46" s="27">
        <v>0</v>
      </c>
      <c r="Q46" s="30">
        <v>0</v>
      </c>
      <c r="R46" s="27">
        <v>0</v>
      </c>
      <c r="S46" s="30">
        <v>0</v>
      </c>
      <c r="T46" s="27">
        <v>0</v>
      </c>
      <c r="U46" s="30">
        <v>0</v>
      </c>
      <c r="V46" s="27">
        <v>0</v>
      </c>
      <c r="W46" s="30">
        <v>0</v>
      </c>
      <c r="X46" s="27">
        <f>SUM(M46:W46)</f>
        <v>0</v>
      </c>
      <c r="Y46" s="86">
        <f>X46+L46</f>
        <v>0</v>
      </c>
      <c r="Z46" s="4"/>
    </row>
    <row r="47" spans="1:38" ht="13.5" thickBot="1">
      <c r="A47" s="887"/>
      <c r="B47" s="66"/>
      <c r="C47" s="30"/>
      <c r="D47" s="27"/>
      <c r="E47" s="30"/>
      <c r="F47" s="27"/>
      <c r="G47" s="30"/>
      <c r="H47" s="27"/>
      <c r="I47" s="30"/>
      <c r="J47" s="27"/>
      <c r="K47" s="30"/>
      <c r="L47" s="89"/>
      <c r="M47" s="73"/>
      <c r="N47" s="87"/>
      <c r="O47" s="73"/>
      <c r="P47" s="87"/>
      <c r="Q47" s="73"/>
      <c r="R47" s="87"/>
      <c r="S47" s="73"/>
      <c r="T47" s="87"/>
      <c r="U47" s="73"/>
      <c r="V47" s="87"/>
      <c r="W47" s="73"/>
      <c r="X47" s="87"/>
      <c r="Y47" s="88"/>
      <c r="Z47" s="4"/>
    </row>
    <row r="48" spans="1:38" ht="13.5" thickBot="1">
      <c r="A48" s="79"/>
      <c r="B48" s="66" t="s">
        <v>113</v>
      </c>
      <c r="C48" s="151">
        <f>C28</f>
        <v>0</v>
      </c>
      <c r="D48" s="97" t="e">
        <f>SUM(D28:D46)-D32-D34</f>
        <v>#REF!</v>
      </c>
      <c r="E48" s="97" t="e">
        <f t="shared" ref="E48:Y48" si="2">SUM(E28:E46)-E32-E34</f>
        <v>#REF!</v>
      </c>
      <c r="F48" s="97">
        <f t="shared" si="2"/>
        <v>0</v>
      </c>
      <c r="G48" s="153">
        <f t="shared" si="2"/>
        <v>0</v>
      </c>
      <c r="H48" s="97">
        <f t="shared" si="2"/>
        <v>0</v>
      </c>
      <c r="I48" s="106" t="e">
        <f t="shared" si="2"/>
        <v>#REF!</v>
      </c>
      <c r="J48" s="97">
        <f t="shared" si="2"/>
        <v>0</v>
      </c>
      <c r="K48" s="152">
        <f t="shared" si="2"/>
        <v>0</v>
      </c>
      <c r="L48" s="145" t="e">
        <f t="shared" si="2"/>
        <v>#REF!</v>
      </c>
      <c r="M48" s="89">
        <f t="shared" si="2"/>
        <v>0</v>
      </c>
      <c r="N48" s="89" t="e">
        <f t="shared" si="2"/>
        <v>#REF!</v>
      </c>
      <c r="O48" s="89">
        <f t="shared" si="2"/>
        <v>0</v>
      </c>
      <c r="P48" s="89">
        <f t="shared" si="2"/>
        <v>0</v>
      </c>
      <c r="Q48" s="89" t="e">
        <f t="shared" si="2"/>
        <v>#REF!</v>
      </c>
      <c r="R48" s="89" t="e">
        <f t="shared" si="2"/>
        <v>#REF!</v>
      </c>
      <c r="S48" s="89" t="e">
        <f t="shared" si="2"/>
        <v>#REF!</v>
      </c>
      <c r="T48" s="89">
        <f t="shared" si="2"/>
        <v>0</v>
      </c>
      <c r="U48" s="89" t="e">
        <f t="shared" si="2"/>
        <v>#REF!</v>
      </c>
      <c r="V48" s="89">
        <f t="shared" si="2"/>
        <v>0</v>
      </c>
      <c r="W48" s="89">
        <f t="shared" si="2"/>
        <v>0</v>
      </c>
      <c r="X48" s="89" t="e">
        <f t="shared" si="2"/>
        <v>#REF!</v>
      </c>
      <c r="Y48" s="89" t="e">
        <f t="shared" si="2"/>
        <v>#REF!</v>
      </c>
      <c r="Z48" s="4"/>
    </row>
    <row r="49" spans="1:27">
      <c r="A49" s="107"/>
      <c r="B49" s="154"/>
      <c r="C49" s="155"/>
      <c r="D49" s="90"/>
      <c r="E49" s="74"/>
      <c r="F49" s="90"/>
      <c r="G49" s="74"/>
      <c r="H49" s="90"/>
      <c r="I49" s="74"/>
      <c r="J49" s="90"/>
      <c r="K49" s="146"/>
      <c r="L49" s="143"/>
      <c r="M49" s="74"/>
      <c r="N49" s="90"/>
      <c r="O49" s="74"/>
      <c r="P49" s="90"/>
      <c r="Q49" s="74"/>
      <c r="R49" s="90"/>
      <c r="S49" s="74"/>
      <c r="T49" s="90"/>
      <c r="U49" s="74"/>
      <c r="V49" s="90"/>
      <c r="W49" s="74"/>
      <c r="X49" s="90"/>
      <c r="Y49" s="91"/>
      <c r="Z49" s="4"/>
    </row>
    <row r="50" spans="1:27">
      <c r="A50" s="107"/>
      <c r="B50" s="141" t="s">
        <v>114</v>
      </c>
      <c r="C50" s="126">
        <v>0</v>
      </c>
      <c r="D50" s="27" t="e">
        <f>#REF!</f>
        <v>#REF!</v>
      </c>
      <c r="E50" s="30" t="e">
        <f>#REF!</f>
        <v>#REF!</v>
      </c>
      <c r="F50" s="27">
        <v>0</v>
      </c>
      <c r="G50" s="30">
        <v>0</v>
      </c>
      <c r="H50" s="27">
        <v>0</v>
      </c>
      <c r="I50" s="30">
        <v>0</v>
      </c>
      <c r="J50" s="27">
        <v>0</v>
      </c>
      <c r="K50" s="147">
        <v>0</v>
      </c>
      <c r="L50" s="94" t="e">
        <f>SUM(C50:K50)</f>
        <v>#REF!</v>
      </c>
      <c r="M50" s="30" t="e">
        <f>#REF!</f>
        <v>#REF!</v>
      </c>
      <c r="N50" s="27" t="e">
        <f>#REF!</f>
        <v>#REF!</v>
      </c>
      <c r="O50" s="30">
        <v>0</v>
      </c>
      <c r="P50" s="27" t="e">
        <f>#REF!+#REF!</f>
        <v>#REF!</v>
      </c>
      <c r="Q50" s="30" t="e">
        <f>#REF!</f>
        <v>#REF!</v>
      </c>
      <c r="R50" s="27" t="e">
        <f>#REF!</f>
        <v>#REF!</v>
      </c>
      <c r="S50" s="30">
        <v>0</v>
      </c>
      <c r="T50" s="27">
        <v>0</v>
      </c>
      <c r="U50" s="30" t="e">
        <f>#REF!+#REF!+#REF!</f>
        <v>#REF!</v>
      </c>
      <c r="V50" s="27" t="e">
        <f>#REF!+#REF!+#REF!</f>
        <v>#REF!</v>
      </c>
      <c r="W50" s="30">
        <v>0</v>
      </c>
      <c r="X50" s="27" t="e">
        <f>SUM(M50:W50)</f>
        <v>#REF!</v>
      </c>
      <c r="Y50" s="86" t="e">
        <f>X50+L50</f>
        <v>#REF!</v>
      </c>
      <c r="Z50" s="4"/>
    </row>
    <row r="51" spans="1:27">
      <c r="A51" s="107"/>
      <c r="B51" s="141" t="s">
        <v>115</v>
      </c>
      <c r="C51" s="126">
        <v>0</v>
      </c>
      <c r="D51" s="27" t="e">
        <f>CUADRO3!#REF!</f>
        <v>#REF!</v>
      </c>
      <c r="E51" s="30">
        <v>0</v>
      </c>
      <c r="F51" s="27">
        <v>0</v>
      </c>
      <c r="G51" s="30">
        <v>0</v>
      </c>
      <c r="H51" s="27">
        <v>0</v>
      </c>
      <c r="I51" s="30">
        <v>0</v>
      </c>
      <c r="J51" s="27">
        <v>0</v>
      </c>
      <c r="K51" s="147">
        <v>0</v>
      </c>
      <c r="L51" s="94" t="e">
        <f>SUM(C51:K51)</f>
        <v>#REF!</v>
      </c>
      <c r="M51" s="30">
        <f>CUADRO4!F19</f>
        <v>3624.0838318819774</v>
      </c>
      <c r="N51" s="27">
        <v>0</v>
      </c>
      <c r="O51" s="30">
        <v>0</v>
      </c>
      <c r="P51" s="27">
        <v>0</v>
      </c>
      <c r="Q51" s="30">
        <v>0</v>
      </c>
      <c r="R51" s="27">
        <v>0</v>
      </c>
      <c r="S51" s="30">
        <v>0</v>
      </c>
      <c r="T51" s="27">
        <v>0</v>
      </c>
      <c r="U51" s="30">
        <v>0</v>
      </c>
      <c r="V51" s="27">
        <v>0</v>
      </c>
      <c r="W51" s="30">
        <v>0</v>
      </c>
      <c r="X51" s="27">
        <f>SUM(M51:W51)</f>
        <v>3624.0838318819774</v>
      </c>
      <c r="Y51" s="86" t="e">
        <f>X51+L51</f>
        <v>#REF!</v>
      </c>
      <c r="Z51" s="4"/>
      <c r="AA51" s="4"/>
    </row>
    <row r="52" spans="1:27" ht="13.5" thickBot="1">
      <c r="A52" s="79"/>
      <c r="B52" s="142" t="s">
        <v>116</v>
      </c>
      <c r="C52" s="150">
        <f t="shared" ref="C52:K52" si="3">C26-C48-C51-C70</f>
        <v>92349.898592566897</v>
      </c>
      <c r="D52" s="32" t="e">
        <f t="shared" si="3"/>
        <v>#REF!</v>
      </c>
      <c r="E52" s="33" t="e">
        <f t="shared" si="3"/>
        <v>#REF!</v>
      </c>
      <c r="F52" s="32">
        <f t="shared" si="3"/>
        <v>20310.838125240003</v>
      </c>
      <c r="G52" s="33">
        <f t="shared" si="3"/>
        <v>0</v>
      </c>
      <c r="H52" s="32">
        <f t="shared" si="3"/>
        <v>0</v>
      </c>
      <c r="I52" s="33" t="e">
        <f t="shared" si="3"/>
        <v>#REF!</v>
      </c>
      <c r="J52" s="32">
        <f t="shared" si="3"/>
        <v>0</v>
      </c>
      <c r="K52" s="156">
        <f t="shared" si="3"/>
        <v>0</v>
      </c>
      <c r="L52" s="94" t="e">
        <f>SUM(C52:K52)</f>
        <v>#REF!</v>
      </c>
      <c r="M52" s="73" t="e">
        <f>M26-M48-M51-M70+M22</f>
        <v>#REF!</v>
      </c>
      <c r="N52" s="87" t="e">
        <f>N26-N48-N51-N70</f>
        <v>#REF!</v>
      </c>
      <c r="O52" s="73" t="e">
        <f>O26-O48-O50-O51-O70</f>
        <v>#REF!</v>
      </c>
      <c r="P52" s="87" t="e">
        <f>P26-P48-P51-P70</f>
        <v>#REF!</v>
      </c>
      <c r="Q52" s="73" t="e">
        <f>Q26-Q48-Q51-Q70</f>
        <v>#REF!</v>
      </c>
      <c r="R52" s="87" t="e">
        <f>R26-R48-R51-R70</f>
        <v>#REF!</v>
      </c>
      <c r="S52" s="73" t="e">
        <f>S26-S48-S51-S70</f>
        <v>#REF!</v>
      </c>
      <c r="T52" s="87">
        <f>T26-T48-T50-T51-T70</f>
        <v>0</v>
      </c>
      <c r="U52" s="73" t="e">
        <f>U26-U48-U51-U70</f>
        <v>#REF!</v>
      </c>
      <c r="V52" s="87" t="e">
        <f>V26-V48-V51-V70</f>
        <v>#REF!</v>
      </c>
      <c r="W52" s="73">
        <f>W26-W48-W50-W51-W70</f>
        <v>0</v>
      </c>
      <c r="X52" s="27" t="e">
        <f>SUM(M52:W52)</f>
        <v>#REF!</v>
      </c>
      <c r="Y52" s="86" t="e">
        <f>X52+L52</f>
        <v>#REF!</v>
      </c>
      <c r="Z52" s="4"/>
    </row>
    <row r="53" spans="1:27">
      <c r="A53" s="885" t="s">
        <v>186</v>
      </c>
      <c r="B53" s="154"/>
      <c r="C53" s="149"/>
      <c r="D53" s="25"/>
      <c r="E53" s="26"/>
      <c r="F53" s="25"/>
      <c r="G53" s="26"/>
      <c r="H53" s="25"/>
      <c r="I53" s="26"/>
      <c r="J53" s="25"/>
      <c r="K53" s="157"/>
      <c r="L53" s="143"/>
      <c r="M53" s="74"/>
      <c r="N53" s="90"/>
      <c r="O53" s="74"/>
      <c r="P53" s="90"/>
      <c r="Q53" s="74"/>
      <c r="R53" s="90"/>
      <c r="S53" s="74"/>
      <c r="T53" s="90"/>
      <c r="U53" s="74"/>
      <c r="V53" s="90"/>
      <c r="W53" s="74"/>
      <c r="X53" s="90"/>
      <c r="Y53" s="91"/>
      <c r="Z53" s="4"/>
    </row>
    <row r="54" spans="1:27">
      <c r="A54" s="886"/>
      <c r="B54" s="141" t="s">
        <v>117</v>
      </c>
      <c r="C54" s="126">
        <v>0</v>
      </c>
      <c r="D54" s="27">
        <f>CUADRO5!C26</f>
        <v>2854.0025196758079</v>
      </c>
      <c r="E54" s="30">
        <v>0</v>
      </c>
      <c r="F54" s="27">
        <v>0</v>
      </c>
      <c r="G54" s="30">
        <v>0</v>
      </c>
      <c r="H54" s="27">
        <v>0</v>
      </c>
      <c r="I54" s="30">
        <v>0</v>
      </c>
      <c r="J54" s="27">
        <v>0</v>
      </c>
      <c r="K54" s="147">
        <v>0</v>
      </c>
      <c r="L54" s="144">
        <f>SUM(C54:K54)</f>
        <v>2854.0025196758079</v>
      </c>
      <c r="M54" s="30">
        <f>CUADRO5!C19</f>
        <v>3295.6753486855478</v>
      </c>
      <c r="N54" s="27">
        <f>CUADRO5!C12</f>
        <v>153.4840351</v>
      </c>
      <c r="O54" s="30" t="e">
        <f>CUADRO5!C10+CUADRO5!#REF!+CUADRO5!C13</f>
        <v>#REF!</v>
      </c>
      <c r="P54" s="27">
        <f>CUADRO5!C11+CUADRO5!C14</f>
        <v>0.21099179699999998</v>
      </c>
      <c r="Q54" s="30">
        <f>CUADRO5!C9</f>
        <v>34.010686499999998</v>
      </c>
      <c r="R54" s="27">
        <f>CUADRO5!C8</f>
        <v>0.84760754399999994</v>
      </c>
      <c r="S54" s="30">
        <v>0</v>
      </c>
      <c r="T54" s="27">
        <v>0</v>
      </c>
      <c r="U54" s="30">
        <v>0</v>
      </c>
      <c r="V54" s="27">
        <v>0</v>
      </c>
      <c r="W54" s="30">
        <v>0</v>
      </c>
      <c r="X54" s="27" t="e">
        <f>SUM(M54:W54)</f>
        <v>#REF!</v>
      </c>
      <c r="Y54" s="86" t="e">
        <f>X54+L54</f>
        <v>#REF!</v>
      </c>
      <c r="Z54" s="4"/>
    </row>
    <row r="55" spans="1:27">
      <c r="A55" s="886"/>
      <c r="B55" s="141"/>
      <c r="C55" s="126"/>
      <c r="D55" s="27"/>
      <c r="E55" s="30"/>
      <c r="F55" s="27"/>
      <c r="G55" s="30"/>
      <c r="H55" s="27"/>
      <c r="I55" s="30"/>
      <c r="J55" s="27"/>
      <c r="K55" s="147"/>
      <c r="L55" s="144"/>
      <c r="M55" s="30"/>
      <c r="N55" s="27"/>
      <c r="O55" s="30"/>
      <c r="P55" s="27"/>
      <c r="Q55" s="30"/>
      <c r="R55" s="27"/>
      <c r="S55" s="30"/>
      <c r="T55" s="27"/>
      <c r="U55" s="30"/>
      <c r="V55" s="27"/>
      <c r="W55" s="30"/>
      <c r="X55" s="27"/>
      <c r="Y55" s="86"/>
      <c r="Z55" s="2"/>
    </row>
    <row r="56" spans="1:27">
      <c r="A56" s="886"/>
      <c r="B56" s="141" t="s">
        <v>118</v>
      </c>
      <c r="C56" s="126">
        <v>0</v>
      </c>
      <c r="D56" s="27">
        <f>CUADRO5!D26</f>
        <v>7923.3903045652951</v>
      </c>
      <c r="E56" s="30">
        <f>CUADRO5!D20</f>
        <v>90.029335500000002</v>
      </c>
      <c r="F56" s="27">
        <v>0</v>
      </c>
      <c r="G56" s="30">
        <v>0</v>
      </c>
      <c r="H56" s="27">
        <v>0</v>
      </c>
      <c r="I56" s="30">
        <f>CUADRO5!D28</f>
        <v>19428.873731196778</v>
      </c>
      <c r="J56" s="27">
        <v>0</v>
      </c>
      <c r="K56" s="147">
        <v>0</v>
      </c>
      <c r="L56" s="144">
        <f>SUM(C56:K56)</f>
        <v>27442.293371262072</v>
      </c>
      <c r="M56" s="30">
        <f>CUADRO5!D19</f>
        <v>35983.882592985203</v>
      </c>
      <c r="N56" s="27">
        <f>CUADRO5!D12</f>
        <v>3166.2744507126408</v>
      </c>
      <c r="O56" s="30" t="e">
        <f>CUADRO5!D10+CUADRO5!#REF!+CUADRO5!D13</f>
        <v>#REF!</v>
      </c>
      <c r="P56" s="27">
        <f>CUADRO5!D11+CUADRO5!D14</f>
        <v>862.2972129240876</v>
      </c>
      <c r="Q56" s="30">
        <f>CUADRO5!D9</f>
        <v>5670.0088918405727</v>
      </c>
      <c r="R56" s="27">
        <f>CUADRO5!D8</f>
        <v>31374.110353450291</v>
      </c>
      <c r="S56" s="30">
        <f>CUADRO5!D21</f>
        <v>581.15</v>
      </c>
      <c r="T56" s="27">
        <v>0</v>
      </c>
      <c r="U56" s="30">
        <f>CUADRO5!D16+CUADRO5!D24+CUADRO5!D25</f>
        <v>1.145864292</v>
      </c>
      <c r="V56" s="27">
        <f>CUADRO5!D15+CUADRO5!D22</f>
        <v>0</v>
      </c>
      <c r="W56" s="30">
        <v>0</v>
      </c>
      <c r="X56" s="27" t="e">
        <f>SUM(M56:W56)</f>
        <v>#REF!</v>
      </c>
      <c r="Y56" s="86" t="e">
        <f>X56+L56</f>
        <v>#REF!</v>
      </c>
      <c r="Z56" s="4"/>
    </row>
    <row r="57" spans="1:27">
      <c r="A57" s="886"/>
      <c r="B57" s="141"/>
      <c r="C57" s="126"/>
      <c r="D57" s="27"/>
      <c r="E57" s="30"/>
      <c r="F57" s="27"/>
      <c r="G57" s="30"/>
      <c r="H57" s="27"/>
      <c r="I57" s="30"/>
      <c r="J57" s="27"/>
      <c r="K57" s="147"/>
      <c r="L57" s="144"/>
      <c r="M57" s="30"/>
      <c r="N57" s="27"/>
      <c r="O57" s="30"/>
      <c r="P57" s="27"/>
      <c r="Q57" s="30"/>
      <c r="R57" s="27"/>
      <c r="S57" s="30"/>
      <c r="T57" s="27"/>
      <c r="U57" s="30"/>
      <c r="V57" s="27"/>
      <c r="W57" s="30"/>
      <c r="X57" s="27"/>
      <c r="Y57" s="86"/>
      <c r="Z57" s="2"/>
    </row>
    <row r="58" spans="1:27">
      <c r="A58" s="886"/>
      <c r="B58" s="141" t="s">
        <v>34</v>
      </c>
      <c r="C58" s="126">
        <v>0</v>
      </c>
      <c r="D58" s="27">
        <f>CUADRO8!E28</f>
        <v>17714.156874019784</v>
      </c>
      <c r="E58" s="30">
        <f>CUADRO8!E26</f>
        <v>4907.5447983288595</v>
      </c>
      <c r="F58" s="27">
        <v>0</v>
      </c>
      <c r="G58" s="30">
        <v>0</v>
      </c>
      <c r="H58" s="27">
        <v>0</v>
      </c>
      <c r="I58" s="30">
        <f>CUADRO8!E29</f>
        <v>0</v>
      </c>
      <c r="J58" s="27">
        <v>0</v>
      </c>
      <c r="K58" s="147">
        <v>0</v>
      </c>
      <c r="L58" s="144">
        <f>SUM(C58:K58)</f>
        <v>22621.701672348645</v>
      </c>
      <c r="M58" s="30">
        <f>CUADRO8!E25</f>
        <v>0</v>
      </c>
      <c r="N58" s="27">
        <f>CUADRO8!E15</f>
        <v>0</v>
      </c>
      <c r="O58" s="30">
        <f>0</f>
        <v>0</v>
      </c>
      <c r="P58" s="27">
        <f>CUADRO8!E14</f>
        <v>0</v>
      </c>
      <c r="Q58" s="30">
        <f>CUADRO8!E12</f>
        <v>8995.1695021340711</v>
      </c>
      <c r="R58" s="27">
        <f>CUADRO8!E11</f>
        <v>1335.7076495068425</v>
      </c>
      <c r="S58" s="30">
        <v>0</v>
      </c>
      <c r="T58" s="27">
        <v>0</v>
      </c>
      <c r="U58" s="30">
        <f>CUADRO8!E27</f>
        <v>0</v>
      </c>
      <c r="V58" s="27">
        <v>0</v>
      </c>
      <c r="W58" s="30">
        <v>0</v>
      </c>
      <c r="X58" s="27">
        <f>SUM(M58:W58)</f>
        <v>10330.877151640914</v>
      </c>
      <c r="Y58" s="86">
        <f>X58+L58</f>
        <v>32952.578823989563</v>
      </c>
      <c r="Z58" s="4"/>
    </row>
    <row r="59" spans="1:27">
      <c r="A59" s="886"/>
      <c r="B59" s="141" t="s">
        <v>66</v>
      </c>
      <c r="C59" s="126"/>
      <c r="D59" s="27"/>
      <c r="E59" s="30"/>
      <c r="F59" s="27"/>
      <c r="G59" s="30"/>
      <c r="H59" s="27"/>
      <c r="I59" s="30"/>
      <c r="J59" s="27"/>
      <c r="K59" s="147"/>
      <c r="L59" s="144"/>
      <c r="M59" s="30"/>
      <c r="N59" s="27"/>
      <c r="O59" s="30"/>
      <c r="P59" s="27"/>
      <c r="Q59" s="30"/>
      <c r="R59" s="27"/>
      <c r="S59" s="30"/>
      <c r="T59" s="27"/>
      <c r="U59" s="30"/>
      <c r="V59" s="27"/>
      <c r="W59" s="30"/>
      <c r="X59" s="27"/>
      <c r="Y59" s="86"/>
      <c r="Z59" s="2"/>
    </row>
    <row r="60" spans="1:27">
      <c r="A60" s="886"/>
      <c r="B60" s="141" t="s">
        <v>119</v>
      </c>
      <c r="C60" s="126">
        <v>0</v>
      </c>
      <c r="D60" s="27">
        <f>CUADRO8!C28+CUADRO8!D28</f>
        <v>120.86000260204764</v>
      </c>
      <c r="E60" s="30">
        <f>CUADRO8!C26+CUADRO8!D26</f>
        <v>1636.451330627252</v>
      </c>
      <c r="F60" s="27">
        <v>0</v>
      </c>
      <c r="G60" s="30">
        <v>0</v>
      </c>
      <c r="H60" s="27">
        <v>0</v>
      </c>
      <c r="I60" s="30">
        <f>CUADRO8!C29+CUADRO8!D29</f>
        <v>163.8922824</v>
      </c>
      <c r="J60" s="27">
        <v>0</v>
      </c>
      <c r="K60" s="147">
        <v>0</v>
      </c>
      <c r="L60" s="144">
        <f>SUM(C60:K60)</f>
        <v>1921.2036156292997</v>
      </c>
      <c r="M60" s="30">
        <f>CUADRO8!C25+CUADRO8!D25</f>
        <v>0</v>
      </c>
      <c r="N60" s="27">
        <f>CUADRO8!C15+CUADRO8!D15</f>
        <v>0</v>
      </c>
      <c r="O60" s="30">
        <v>0</v>
      </c>
      <c r="P60" s="27">
        <f>CUADRO8!C14+CUADRO8!D14</f>
        <v>403.27920311399998</v>
      </c>
      <c r="Q60" s="30">
        <f>CUADRO8!C12+CUADRO8!D12</f>
        <v>1325.8037315929998</v>
      </c>
      <c r="R60" s="27">
        <f>CUADRO8!C11+CUADRO8!D11</f>
        <v>25.085925032498981</v>
      </c>
      <c r="S60" s="30">
        <v>0</v>
      </c>
      <c r="T60" s="27">
        <v>0</v>
      </c>
      <c r="U60" s="30">
        <f>CUADRO8!C27+CUADRO8!D27</f>
        <v>31.907538547592914</v>
      </c>
      <c r="V60" s="27">
        <f>CUADRO8!D18</f>
        <v>0</v>
      </c>
      <c r="W60" s="30">
        <v>0</v>
      </c>
      <c r="X60" s="27">
        <f>SUM(M60:W60)</f>
        <v>1786.0763982870917</v>
      </c>
      <c r="Y60" s="86">
        <f>X60+L60</f>
        <v>3707.2800139163915</v>
      </c>
      <c r="Z60" s="4"/>
    </row>
    <row r="61" spans="1:27">
      <c r="A61" s="886"/>
      <c r="B61" s="141" t="s">
        <v>66</v>
      </c>
      <c r="C61" s="126"/>
      <c r="D61" s="27"/>
      <c r="E61" s="30"/>
      <c r="F61" s="27"/>
      <c r="G61" s="30"/>
      <c r="H61" s="27"/>
      <c r="I61" s="30"/>
      <c r="J61" s="27"/>
      <c r="K61" s="147"/>
      <c r="L61" s="144"/>
      <c r="M61" s="30"/>
      <c r="N61" s="27"/>
      <c r="O61" s="30"/>
      <c r="P61" s="27"/>
      <c r="Q61" s="30"/>
      <c r="R61" s="27"/>
      <c r="S61" s="30"/>
      <c r="T61" s="27"/>
      <c r="U61" s="30"/>
      <c r="V61" s="27"/>
      <c r="W61" s="30"/>
      <c r="X61" s="27"/>
      <c r="Y61" s="86"/>
      <c r="Z61" s="2"/>
    </row>
    <row r="62" spans="1:27">
      <c r="A62" s="886"/>
      <c r="B62" s="141" t="s">
        <v>120</v>
      </c>
      <c r="C62" s="126">
        <v>0</v>
      </c>
      <c r="D62" s="27">
        <v>0</v>
      </c>
      <c r="E62" s="30">
        <v>0</v>
      </c>
      <c r="F62" s="27">
        <v>0</v>
      </c>
      <c r="G62" s="30">
        <v>0</v>
      </c>
      <c r="H62" s="27">
        <v>0</v>
      </c>
      <c r="I62" s="30">
        <v>0</v>
      </c>
      <c r="J62" s="27">
        <v>0</v>
      </c>
      <c r="K62" s="147">
        <v>0</v>
      </c>
      <c r="L62" s="144">
        <f>SUM(C62:K62)</f>
        <v>0</v>
      </c>
      <c r="M62" s="30">
        <v>0</v>
      </c>
      <c r="N62" s="27">
        <v>0</v>
      </c>
      <c r="O62" s="30">
        <v>0</v>
      </c>
      <c r="P62" s="27">
        <v>0</v>
      </c>
      <c r="Q62" s="30">
        <v>0</v>
      </c>
      <c r="R62" s="27">
        <v>0</v>
      </c>
      <c r="S62" s="30">
        <v>0</v>
      </c>
      <c r="T62" s="27">
        <v>0</v>
      </c>
      <c r="U62" s="30">
        <v>0</v>
      </c>
      <c r="V62" s="27">
        <v>0</v>
      </c>
      <c r="W62" s="30">
        <v>0</v>
      </c>
      <c r="X62" s="27">
        <f>SUM(M62:W62)</f>
        <v>0</v>
      </c>
      <c r="Y62" s="86">
        <f>X62+L62</f>
        <v>0</v>
      </c>
      <c r="Z62" s="4"/>
    </row>
    <row r="63" spans="1:27">
      <c r="A63" s="886"/>
      <c r="B63" s="141" t="s">
        <v>66</v>
      </c>
      <c r="C63" s="126"/>
      <c r="D63" s="27"/>
      <c r="E63" s="30"/>
      <c r="F63" s="27"/>
      <c r="G63" s="30"/>
      <c r="H63" s="27"/>
      <c r="I63" s="30"/>
      <c r="J63" s="27"/>
      <c r="K63" s="147"/>
      <c r="L63" s="144"/>
      <c r="M63" s="30"/>
      <c r="N63" s="27"/>
      <c r="O63" s="30"/>
      <c r="P63" s="27"/>
      <c r="Q63" s="30"/>
      <c r="R63" s="27"/>
      <c r="S63" s="30"/>
      <c r="T63" s="27"/>
      <c r="U63" s="30"/>
      <c r="V63" s="27"/>
      <c r="W63" s="30"/>
      <c r="X63" s="27"/>
      <c r="Y63" s="86"/>
      <c r="Z63" s="2"/>
    </row>
    <row r="64" spans="1:27">
      <c r="A64" s="886"/>
      <c r="B64" s="141" t="s">
        <v>121</v>
      </c>
      <c r="C64" s="126">
        <v>0</v>
      </c>
      <c r="D64" s="27">
        <v>0</v>
      </c>
      <c r="E64" s="30">
        <v>0</v>
      </c>
      <c r="F64" s="27">
        <v>0</v>
      </c>
      <c r="G64" s="30">
        <v>0</v>
      </c>
      <c r="H64" s="27">
        <v>0</v>
      </c>
      <c r="I64" s="30">
        <v>0</v>
      </c>
      <c r="J64" s="27">
        <v>0</v>
      </c>
      <c r="K64" s="147">
        <v>0</v>
      </c>
      <c r="L64" s="144">
        <f>SUM(C64:K64)</f>
        <v>0</v>
      </c>
      <c r="M64" s="30">
        <v>0</v>
      </c>
      <c r="N64" s="27">
        <v>0</v>
      </c>
      <c r="O64" s="30">
        <v>0</v>
      </c>
      <c r="P64" s="27">
        <v>0</v>
      </c>
      <c r="Q64" s="30">
        <v>0</v>
      </c>
      <c r="R64" s="27">
        <v>0</v>
      </c>
      <c r="S64" s="30">
        <v>0</v>
      </c>
      <c r="T64" s="27">
        <v>0</v>
      </c>
      <c r="U64" s="30">
        <v>0</v>
      </c>
      <c r="V64" s="27">
        <v>0</v>
      </c>
      <c r="W64" s="30">
        <v>0</v>
      </c>
      <c r="X64" s="27">
        <f>SUM(M64:W64)</f>
        <v>0</v>
      </c>
      <c r="Y64" s="86">
        <f>X64+L64</f>
        <v>0</v>
      </c>
      <c r="Z64" s="4"/>
    </row>
    <row r="65" spans="1:27" ht="13.5" thickBot="1">
      <c r="A65" s="886"/>
      <c r="B65" s="142" t="s">
        <v>66</v>
      </c>
      <c r="C65" s="158"/>
      <c r="D65" s="87"/>
      <c r="E65" s="73"/>
      <c r="F65" s="87"/>
      <c r="G65" s="73"/>
      <c r="H65" s="87"/>
      <c r="I65" s="73"/>
      <c r="J65" s="87"/>
      <c r="K65" s="148"/>
      <c r="L65" s="145"/>
      <c r="M65" s="73"/>
      <c r="N65" s="87"/>
      <c r="O65" s="73"/>
      <c r="P65" s="87"/>
      <c r="Q65" s="73"/>
      <c r="R65" s="87"/>
      <c r="S65" s="73"/>
      <c r="T65" s="87"/>
      <c r="U65" s="73"/>
      <c r="V65" s="87"/>
      <c r="W65" s="73"/>
      <c r="X65" s="87"/>
      <c r="Y65" s="88"/>
      <c r="Z65" s="2"/>
    </row>
    <row r="66" spans="1:27">
      <c r="A66" s="886"/>
      <c r="B66" s="65" t="s">
        <v>122</v>
      </c>
      <c r="C66" s="81">
        <v>0</v>
      </c>
      <c r="D66" s="94" t="e">
        <f>SUM(D54:D64)+D50</f>
        <v>#REF!</v>
      </c>
      <c r="E66" s="94" t="e">
        <f t="shared" ref="E66:W66" si="4">SUM(E54:E64)+E50</f>
        <v>#REF!</v>
      </c>
      <c r="F66" s="94">
        <f t="shared" si="4"/>
        <v>0</v>
      </c>
      <c r="G66" s="94">
        <f t="shared" si="4"/>
        <v>0</v>
      </c>
      <c r="H66" s="94">
        <f t="shared" si="4"/>
        <v>0</v>
      </c>
      <c r="I66" s="94">
        <f t="shared" si="4"/>
        <v>19592.766013596778</v>
      </c>
      <c r="J66" s="94">
        <f t="shared" si="4"/>
        <v>0</v>
      </c>
      <c r="K66" s="94">
        <f t="shared" si="4"/>
        <v>0</v>
      </c>
      <c r="L66" s="144" t="e">
        <f>SUM(C66:K66)</f>
        <v>#REF!</v>
      </c>
      <c r="M66" s="92" t="e">
        <f t="shared" si="4"/>
        <v>#REF!</v>
      </c>
      <c r="N66" s="92" t="e">
        <f t="shared" si="4"/>
        <v>#REF!</v>
      </c>
      <c r="O66" s="92" t="e">
        <f t="shared" si="4"/>
        <v>#REF!</v>
      </c>
      <c r="P66" s="92" t="e">
        <f t="shared" si="4"/>
        <v>#REF!</v>
      </c>
      <c r="Q66" s="92" t="e">
        <f t="shared" si="4"/>
        <v>#REF!</v>
      </c>
      <c r="R66" s="92" t="e">
        <f t="shared" si="4"/>
        <v>#REF!</v>
      </c>
      <c r="S66" s="92">
        <f t="shared" si="4"/>
        <v>581.15</v>
      </c>
      <c r="T66" s="92">
        <f t="shared" si="4"/>
        <v>0</v>
      </c>
      <c r="U66" s="92" t="e">
        <f t="shared" si="4"/>
        <v>#REF!</v>
      </c>
      <c r="V66" s="92" t="e">
        <f t="shared" si="4"/>
        <v>#REF!</v>
      </c>
      <c r="W66" s="92">
        <f t="shared" si="4"/>
        <v>0</v>
      </c>
      <c r="X66" s="92" t="e">
        <f>SUM(X54:X64)+X50</f>
        <v>#REF!</v>
      </c>
      <c r="Y66" s="139" t="e">
        <f>X66+L66</f>
        <v>#REF!</v>
      </c>
      <c r="Z66" s="4"/>
    </row>
    <row r="67" spans="1:27">
      <c r="A67" s="886"/>
      <c r="B67" s="65"/>
      <c r="C67" s="81"/>
      <c r="D67" s="94"/>
      <c r="E67" s="95"/>
      <c r="F67" s="94"/>
      <c r="G67" s="95"/>
      <c r="H67" s="94"/>
      <c r="I67" s="95"/>
      <c r="J67" s="94"/>
      <c r="K67" s="95"/>
      <c r="L67" s="94"/>
      <c r="M67" s="95"/>
      <c r="N67" s="94"/>
      <c r="O67" s="95"/>
      <c r="P67" s="94"/>
      <c r="Q67" s="95"/>
      <c r="R67" s="94"/>
      <c r="S67" s="95"/>
      <c r="T67" s="94"/>
      <c r="U67" s="95"/>
      <c r="V67" s="94"/>
      <c r="W67" s="95"/>
      <c r="X67" s="94"/>
      <c r="Y67" s="86"/>
      <c r="Z67" s="2"/>
    </row>
    <row r="68" spans="1:27">
      <c r="A68" s="886"/>
      <c r="B68" s="65" t="s">
        <v>123</v>
      </c>
      <c r="C68" s="81">
        <v>0</v>
      </c>
      <c r="D68" s="94">
        <v>0</v>
      </c>
      <c r="E68" s="95">
        <v>0</v>
      </c>
      <c r="F68" s="94">
        <v>0</v>
      </c>
      <c r="G68" s="95">
        <v>0</v>
      </c>
      <c r="H68" s="94">
        <v>0</v>
      </c>
      <c r="I68" s="95">
        <v>0</v>
      </c>
      <c r="J68" s="94">
        <v>0</v>
      </c>
      <c r="K68" s="95">
        <v>0</v>
      </c>
      <c r="L68" s="94">
        <v>0</v>
      </c>
      <c r="M68" s="95">
        <v>0</v>
      </c>
      <c r="N68" s="94">
        <v>0</v>
      </c>
      <c r="O68" s="95">
        <v>0</v>
      </c>
      <c r="P68" s="94">
        <v>0</v>
      </c>
      <c r="Q68" s="95">
        <v>0</v>
      </c>
      <c r="R68" s="94">
        <v>0</v>
      </c>
      <c r="S68" s="95">
        <v>0</v>
      </c>
      <c r="T68" s="94">
        <v>0</v>
      </c>
      <c r="U68" s="95">
        <v>0</v>
      </c>
      <c r="V68" s="94">
        <v>0</v>
      </c>
      <c r="W68" s="95">
        <f>W26</f>
        <v>427.53057357000012</v>
      </c>
      <c r="X68" s="94">
        <f>SUM(M68:W68)</f>
        <v>427.53057357000012</v>
      </c>
      <c r="Y68" s="86">
        <f>X68+L68</f>
        <v>427.53057357000012</v>
      </c>
      <c r="Z68" s="4"/>
    </row>
    <row r="69" spans="1:27" ht="13.5" thickBot="1">
      <c r="A69" s="886"/>
      <c r="B69" s="66"/>
      <c r="C69" s="82"/>
      <c r="D69" s="89"/>
      <c r="E69" s="78"/>
      <c r="F69" s="89"/>
      <c r="G69" s="78"/>
      <c r="H69" s="89"/>
      <c r="I69" s="78"/>
      <c r="J69" s="89"/>
      <c r="K69" s="78"/>
      <c r="L69" s="89"/>
      <c r="M69" s="78"/>
      <c r="N69" s="89"/>
      <c r="O69" s="78"/>
      <c r="P69" s="89"/>
      <c r="Q69" s="78"/>
      <c r="R69" s="89"/>
      <c r="S69" s="78"/>
      <c r="T69" s="89"/>
      <c r="U69" s="78"/>
      <c r="V69" s="89"/>
      <c r="W69" s="78"/>
      <c r="X69" s="89"/>
      <c r="Y69" s="88"/>
      <c r="Z69" s="4"/>
    </row>
    <row r="70" spans="1:27" ht="13.5" thickBot="1">
      <c r="A70" s="887"/>
      <c r="B70" s="110" t="s">
        <v>124</v>
      </c>
      <c r="C70" s="97">
        <v>0</v>
      </c>
      <c r="D70" s="96" t="e">
        <f t="shared" ref="D70:X70" si="5">D66+D68</f>
        <v>#REF!</v>
      </c>
      <c r="E70" s="97" t="e">
        <f t="shared" si="5"/>
        <v>#REF!</v>
      </c>
      <c r="F70" s="96">
        <f t="shared" si="5"/>
        <v>0</v>
      </c>
      <c r="G70" s="97">
        <f t="shared" si="5"/>
        <v>0</v>
      </c>
      <c r="H70" s="96">
        <f t="shared" si="5"/>
        <v>0</v>
      </c>
      <c r="I70" s="97">
        <f t="shared" si="5"/>
        <v>19592.766013596778</v>
      </c>
      <c r="J70" s="96">
        <f t="shared" si="5"/>
        <v>0</v>
      </c>
      <c r="K70" s="97">
        <f t="shared" si="5"/>
        <v>0</v>
      </c>
      <c r="L70" s="96" t="e">
        <f>SUM(C70:K70)</f>
        <v>#REF!</v>
      </c>
      <c r="M70" s="97" t="e">
        <f t="shared" si="5"/>
        <v>#REF!</v>
      </c>
      <c r="N70" s="96" t="e">
        <f t="shared" si="5"/>
        <v>#REF!</v>
      </c>
      <c r="O70" s="97" t="e">
        <f t="shared" si="5"/>
        <v>#REF!</v>
      </c>
      <c r="P70" s="106" t="e">
        <f t="shared" si="5"/>
        <v>#REF!</v>
      </c>
      <c r="Q70" s="97" t="e">
        <f t="shared" si="5"/>
        <v>#REF!</v>
      </c>
      <c r="R70" s="106" t="e">
        <f t="shared" si="5"/>
        <v>#REF!</v>
      </c>
      <c r="S70" s="96">
        <f t="shared" si="5"/>
        <v>581.15</v>
      </c>
      <c r="T70" s="97">
        <f t="shared" si="5"/>
        <v>0</v>
      </c>
      <c r="U70" s="96" t="e">
        <f t="shared" si="5"/>
        <v>#REF!</v>
      </c>
      <c r="V70" s="97" t="e">
        <f t="shared" si="5"/>
        <v>#REF!</v>
      </c>
      <c r="W70" s="96">
        <f t="shared" si="5"/>
        <v>427.53057357000012</v>
      </c>
      <c r="X70" s="97" t="e">
        <f t="shared" si="5"/>
        <v>#REF!</v>
      </c>
      <c r="Y70" s="98" t="e">
        <f>X70+L70</f>
        <v>#REF!</v>
      </c>
      <c r="Z70" s="4"/>
      <c r="AA70" s="4"/>
    </row>
    <row r="71" spans="1:27" ht="13.5" thickBot="1">
      <c r="A71" s="109"/>
      <c r="B71" s="111" t="s">
        <v>194</v>
      </c>
      <c r="C71" s="97">
        <f>C70+C48</f>
        <v>0</v>
      </c>
      <c r="D71" s="96" t="e">
        <f t="shared" ref="D71:Y71" si="6">D70+D48</f>
        <v>#REF!</v>
      </c>
      <c r="E71" s="97" t="e">
        <f t="shared" si="6"/>
        <v>#REF!</v>
      </c>
      <c r="F71" s="96">
        <f t="shared" si="6"/>
        <v>0</v>
      </c>
      <c r="G71" s="97">
        <f t="shared" si="6"/>
        <v>0</v>
      </c>
      <c r="H71" s="96">
        <f t="shared" si="6"/>
        <v>0</v>
      </c>
      <c r="I71" s="97" t="e">
        <f t="shared" si="6"/>
        <v>#REF!</v>
      </c>
      <c r="J71" s="96">
        <f t="shared" si="6"/>
        <v>0</v>
      </c>
      <c r="K71" s="97">
        <f t="shared" si="6"/>
        <v>0</v>
      </c>
      <c r="L71" s="96" t="e">
        <f>SUM(C71:K71)</f>
        <v>#REF!</v>
      </c>
      <c r="M71" s="97" t="e">
        <f t="shared" si="6"/>
        <v>#REF!</v>
      </c>
      <c r="N71" s="96" t="e">
        <f t="shared" si="6"/>
        <v>#REF!</v>
      </c>
      <c r="O71" s="97" t="e">
        <f t="shared" si="6"/>
        <v>#REF!</v>
      </c>
      <c r="P71" s="106" t="e">
        <f t="shared" si="6"/>
        <v>#REF!</v>
      </c>
      <c r="Q71" s="97" t="e">
        <f t="shared" si="6"/>
        <v>#REF!</v>
      </c>
      <c r="R71" s="106" t="e">
        <f t="shared" si="6"/>
        <v>#REF!</v>
      </c>
      <c r="S71" s="96" t="e">
        <f t="shared" si="6"/>
        <v>#REF!</v>
      </c>
      <c r="T71" s="97">
        <f t="shared" si="6"/>
        <v>0</v>
      </c>
      <c r="U71" s="96" t="e">
        <f t="shared" si="6"/>
        <v>#REF!</v>
      </c>
      <c r="V71" s="97" t="e">
        <f t="shared" si="6"/>
        <v>#REF!</v>
      </c>
      <c r="W71" s="96">
        <f t="shared" si="6"/>
        <v>427.53057357000012</v>
      </c>
      <c r="X71" s="97" t="e">
        <f t="shared" si="6"/>
        <v>#REF!</v>
      </c>
      <c r="Y71" s="140" t="e">
        <f t="shared" si="6"/>
        <v>#REF!</v>
      </c>
      <c r="Z71" s="2"/>
    </row>
    <row r="72" spans="1:27">
      <c r="A72" s="2"/>
      <c r="B72" s="2"/>
      <c r="C72" s="21"/>
      <c r="D72" s="21"/>
      <c r="E72" s="21"/>
      <c r="F72" s="21"/>
      <c r="G72" s="21"/>
      <c r="H72" s="21"/>
      <c r="I72" s="21"/>
      <c r="J72" s="21"/>
      <c r="K72" s="21"/>
      <c r="L72" s="21"/>
      <c r="M72" s="21"/>
      <c r="N72" s="21"/>
      <c r="O72" s="21"/>
      <c r="P72" s="21"/>
      <c r="Q72" s="21"/>
      <c r="R72" s="21"/>
      <c r="S72" s="21"/>
      <c r="T72" s="21"/>
      <c r="U72" s="21"/>
      <c r="V72" s="21"/>
      <c r="W72" s="21"/>
      <c r="X72" s="34"/>
      <c r="Y72" s="21"/>
      <c r="Z72" s="4"/>
    </row>
    <row r="73" spans="1:27">
      <c r="A73" s="2"/>
      <c r="B73" s="2"/>
      <c r="C73" s="21"/>
      <c r="D73" s="21"/>
      <c r="E73" s="34"/>
      <c r="F73" s="21"/>
      <c r="G73" s="21"/>
      <c r="H73" s="21"/>
      <c r="I73" s="21"/>
      <c r="J73" s="21"/>
      <c r="K73" s="21"/>
      <c r="L73" s="34"/>
      <c r="M73" s="21"/>
      <c r="N73" s="21"/>
      <c r="O73" s="21"/>
      <c r="P73" s="21"/>
      <c r="Q73" s="21"/>
      <c r="R73" s="21"/>
      <c r="S73" s="21"/>
      <c r="T73" s="21"/>
      <c r="U73" s="21"/>
      <c r="V73" s="21"/>
      <c r="W73" s="21"/>
      <c r="X73" s="21"/>
      <c r="Y73" s="34"/>
      <c r="Z73" s="2"/>
    </row>
    <row r="74" spans="1:27">
      <c r="A74" s="2"/>
      <c r="B74" s="2"/>
      <c r="C74" s="2" t="s">
        <v>195</v>
      </c>
      <c r="D74" s="21"/>
      <c r="E74" s="21"/>
      <c r="F74" s="21"/>
      <c r="G74" s="21"/>
      <c r="H74" s="21"/>
      <c r="I74" s="21"/>
      <c r="J74" s="21"/>
      <c r="K74" s="21"/>
      <c r="L74" s="21"/>
      <c r="M74" s="34"/>
      <c r="N74" s="21"/>
      <c r="O74" s="21"/>
      <c r="P74" s="21"/>
      <c r="Q74" s="21"/>
      <c r="R74" s="21"/>
      <c r="S74" s="21"/>
      <c r="T74" s="21"/>
      <c r="U74" s="21"/>
      <c r="V74" s="21"/>
      <c r="W74" s="21"/>
      <c r="X74" s="21"/>
      <c r="Y74" s="34"/>
      <c r="Z74" s="2"/>
    </row>
    <row r="75" spans="1:27">
      <c r="A75" s="2"/>
      <c r="B75" s="2"/>
      <c r="C75" s="2" t="s">
        <v>196</v>
      </c>
      <c r="D75" s="21"/>
      <c r="E75" s="21"/>
      <c r="F75" s="21"/>
      <c r="G75" s="21"/>
      <c r="H75" s="21"/>
      <c r="I75" s="21"/>
      <c r="J75" s="21"/>
      <c r="K75" s="21"/>
      <c r="L75" s="21"/>
      <c r="M75" s="21"/>
      <c r="N75" s="21"/>
      <c r="O75" s="21"/>
      <c r="P75" s="21"/>
      <c r="Q75" s="21"/>
      <c r="R75" s="21"/>
      <c r="S75" s="21"/>
      <c r="T75" s="21"/>
      <c r="U75" s="21"/>
      <c r="V75" s="21"/>
      <c r="W75" s="21"/>
      <c r="X75" s="21"/>
      <c r="Y75" s="21"/>
      <c r="Z75" s="2"/>
    </row>
    <row r="76" spans="1:27">
      <c r="A76" s="2"/>
      <c r="B76" s="2"/>
      <c r="C76" s="2" t="s">
        <v>197</v>
      </c>
      <c r="D76" s="21"/>
      <c r="E76" s="21"/>
      <c r="F76" s="21"/>
      <c r="G76" s="21"/>
      <c r="H76" s="21"/>
      <c r="I76" s="21"/>
      <c r="J76" s="21"/>
      <c r="K76" s="21"/>
      <c r="L76" s="21"/>
      <c r="M76" s="21"/>
      <c r="N76" s="21"/>
      <c r="O76" s="21"/>
      <c r="P76" s="21"/>
      <c r="Q76" s="21"/>
      <c r="R76" s="21"/>
      <c r="S76" s="21"/>
      <c r="T76" s="21"/>
      <c r="U76" s="21"/>
      <c r="V76" s="21"/>
      <c r="W76" s="21"/>
      <c r="X76" s="21"/>
      <c r="Y76" s="21"/>
      <c r="Z76" s="2"/>
    </row>
    <row r="77" spans="1:27">
      <c r="A77" s="2"/>
      <c r="B77" s="2"/>
      <c r="C77" s="2" t="s">
        <v>198</v>
      </c>
      <c r="D77" s="21"/>
      <c r="E77" s="21"/>
      <c r="F77" s="21"/>
      <c r="G77" s="21"/>
      <c r="H77" s="21"/>
      <c r="I77" s="21"/>
      <c r="J77" s="21"/>
      <c r="K77" s="21"/>
      <c r="L77" s="21"/>
      <c r="M77" s="21"/>
      <c r="N77" s="21"/>
      <c r="O77" s="21"/>
      <c r="P77" s="21"/>
      <c r="Q77" s="21"/>
      <c r="R77" s="21"/>
      <c r="S77" s="21"/>
      <c r="T77" s="21"/>
      <c r="U77" s="21"/>
      <c r="V77" s="21"/>
      <c r="W77" s="21"/>
      <c r="X77" s="21"/>
      <c r="Y77" s="21"/>
      <c r="Z77" s="2"/>
    </row>
    <row r="78" spans="1:27">
      <c r="A78" s="2"/>
      <c r="B78" s="2"/>
      <c r="C78" s="2" t="s">
        <v>199</v>
      </c>
      <c r="D78" s="21"/>
      <c r="E78" s="21"/>
      <c r="F78" s="21"/>
      <c r="G78" s="21"/>
      <c r="H78" s="21"/>
      <c r="I78" s="21"/>
      <c r="J78" s="21"/>
      <c r="K78" s="21"/>
      <c r="L78" s="21"/>
      <c r="M78" s="21"/>
      <c r="N78" s="21"/>
      <c r="O78" s="21"/>
      <c r="P78" s="21"/>
      <c r="Q78" s="21"/>
      <c r="R78" s="21"/>
      <c r="S78" s="21"/>
      <c r="T78" s="21"/>
      <c r="U78" s="21"/>
      <c r="V78" s="21"/>
      <c r="W78" s="21"/>
      <c r="X78" s="21"/>
      <c r="Y78" s="21"/>
      <c r="Z78" s="2"/>
    </row>
    <row r="79" spans="1:27">
      <c r="A79" s="2"/>
      <c r="B79" s="2"/>
      <c r="C79" s="108" t="s">
        <v>200</v>
      </c>
      <c r="D79" s="21"/>
      <c r="E79" s="21"/>
      <c r="F79" s="21"/>
      <c r="G79" s="21"/>
      <c r="H79" s="21"/>
      <c r="I79" s="21"/>
      <c r="J79" s="21"/>
      <c r="K79" s="21"/>
      <c r="L79" s="21"/>
      <c r="M79" s="21"/>
      <c r="N79" s="21"/>
      <c r="O79" s="21"/>
      <c r="P79" s="21"/>
      <c r="Q79" s="21"/>
      <c r="R79" s="21"/>
      <c r="S79" s="21"/>
      <c r="T79" s="21"/>
      <c r="U79" s="21"/>
      <c r="V79" s="21"/>
      <c r="W79" s="21"/>
      <c r="X79" s="21"/>
      <c r="Y79" s="21"/>
      <c r="Z79" s="2"/>
    </row>
    <row r="80" spans="1:27">
      <c r="A80" s="2"/>
      <c r="B80" s="2"/>
      <c r="C80" s="108" t="s">
        <v>209</v>
      </c>
      <c r="D80" s="21"/>
      <c r="E80" s="21"/>
      <c r="F80" s="21"/>
      <c r="G80" s="21"/>
      <c r="H80" s="21"/>
      <c r="I80" s="21"/>
      <c r="J80" s="21"/>
      <c r="K80" s="21"/>
      <c r="L80" s="21"/>
      <c r="M80" s="21"/>
      <c r="N80" s="21"/>
      <c r="O80" s="21"/>
      <c r="P80" s="21"/>
      <c r="Q80" s="21"/>
      <c r="R80" s="21"/>
      <c r="S80" s="21"/>
      <c r="T80" s="21"/>
      <c r="U80" s="21"/>
      <c r="V80" s="21"/>
      <c r="W80" s="21"/>
      <c r="X80" s="21"/>
      <c r="Y80" s="21"/>
      <c r="Z80" s="2"/>
    </row>
    <row r="81" spans="1:26">
      <c r="A81" s="2"/>
      <c r="B81" s="2"/>
      <c r="C81" s="108" t="s">
        <v>208</v>
      </c>
      <c r="D81" s="21"/>
      <c r="E81" s="21"/>
      <c r="F81" s="21"/>
      <c r="G81" s="21"/>
      <c r="H81" s="21"/>
      <c r="I81" s="21"/>
      <c r="J81" s="21"/>
      <c r="K81" s="21"/>
      <c r="L81" s="21"/>
      <c r="M81" s="21"/>
      <c r="N81" s="21"/>
      <c r="O81" s="21"/>
      <c r="P81" s="21"/>
      <c r="Q81" s="21"/>
      <c r="R81" s="21"/>
      <c r="S81" s="21"/>
      <c r="T81" s="21"/>
      <c r="U81" s="21"/>
      <c r="V81" s="21"/>
      <c r="W81" s="21"/>
      <c r="X81" s="21"/>
      <c r="Y81" s="21"/>
      <c r="Z81" s="2"/>
    </row>
    <row r="82" spans="1:26">
      <c r="A82" s="2"/>
      <c r="B82" s="2"/>
      <c r="C82" s="108" t="s">
        <v>225</v>
      </c>
      <c r="D82" s="21"/>
      <c r="E82" s="21"/>
      <c r="F82" s="21"/>
      <c r="G82" s="21"/>
      <c r="H82" s="21"/>
      <c r="I82" s="21"/>
      <c r="J82" s="21"/>
      <c r="K82" s="21"/>
      <c r="L82" s="21"/>
      <c r="M82" s="21"/>
      <c r="N82" s="21"/>
      <c r="O82" s="21"/>
      <c r="P82" s="21"/>
      <c r="Q82" s="21"/>
      <c r="R82" s="21"/>
      <c r="S82" s="21"/>
      <c r="T82" s="21"/>
      <c r="U82" s="21"/>
      <c r="V82" s="21"/>
      <c r="W82" s="21"/>
      <c r="X82" s="21"/>
      <c r="Y82" s="21"/>
      <c r="Z82" s="2"/>
    </row>
    <row r="83" spans="1:26">
      <c r="A83" s="2"/>
      <c r="B83" s="2"/>
      <c r="C83" s="2" t="s">
        <v>224</v>
      </c>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sheetData>
  <mergeCells count="5">
    <mergeCell ref="A53:A70"/>
    <mergeCell ref="C4:L4"/>
    <mergeCell ref="M4:Y4"/>
    <mergeCell ref="A8:A25"/>
    <mergeCell ref="A27:A47"/>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tabColor theme="8" tint="0.39997558519241921"/>
  </sheetPr>
  <dimension ref="B2:P4"/>
  <sheetViews>
    <sheetView workbookViewId="0">
      <selection activeCell="M43" sqref="M43"/>
    </sheetView>
  </sheetViews>
  <sheetFormatPr baseColWidth="10" defaultRowHeight="12.75"/>
  <cols>
    <col min="1" max="1" width="8.5703125" style="360" customWidth="1"/>
    <col min="2" max="16384" width="11.42578125" style="360"/>
  </cols>
  <sheetData>
    <row r="2" spans="2:16" ht="23.25">
      <c r="B2" s="566" t="s">
        <v>422</v>
      </c>
      <c r="O2" s="567" t="s">
        <v>229</v>
      </c>
    </row>
    <row r="4" spans="2:16" ht="43.5" customHeight="1">
      <c r="B4" s="888" t="s">
        <v>423</v>
      </c>
      <c r="C4" s="889"/>
      <c r="D4" s="889"/>
      <c r="E4" s="889"/>
      <c r="F4" s="889"/>
      <c r="G4" s="889"/>
      <c r="H4" s="889"/>
      <c r="I4" s="889"/>
      <c r="J4" s="889"/>
      <c r="K4" s="889"/>
      <c r="L4" s="889"/>
      <c r="M4" s="889"/>
      <c r="N4" s="889"/>
      <c r="O4" s="889"/>
      <c r="P4" s="890"/>
    </row>
  </sheetData>
  <mergeCells count="1">
    <mergeCell ref="B4:P4"/>
  </mergeCells>
  <hyperlinks>
    <hyperlink ref="O2" location="Índice!A1" display="VOLVER A INDICE"/>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tabColor theme="8" tint="0.59999389629810485"/>
  </sheetPr>
  <dimension ref="A1:V67"/>
  <sheetViews>
    <sheetView zoomScale="130" zoomScaleNormal="130" workbookViewId="0">
      <selection activeCell="B29" sqref="B29"/>
    </sheetView>
  </sheetViews>
  <sheetFormatPr baseColWidth="10" defaultRowHeight="12.75"/>
  <cols>
    <col min="1" max="1" width="1.7109375" style="2" customWidth="1"/>
    <col min="2" max="2" width="26.5703125" style="134" customWidth="1"/>
    <col min="3" max="3" width="11.42578125" style="134"/>
    <col min="4" max="4" width="18.7109375" style="134" customWidth="1"/>
    <col min="5" max="5" width="6.7109375" style="2" customWidth="1"/>
    <col min="6" max="22" width="11.42578125" style="2"/>
    <col min="23" max="16384" width="11.42578125" style="134"/>
  </cols>
  <sheetData>
    <row r="1" spans="1:22" ht="9" customHeight="1"/>
    <row r="2" spans="1:22" s="301" customFormat="1">
      <c r="A2" s="316"/>
      <c r="B2" s="891" t="s">
        <v>352</v>
      </c>
      <c r="C2" s="891"/>
      <c r="D2" s="891"/>
      <c r="E2" s="891"/>
      <c r="G2" s="210" t="s">
        <v>229</v>
      </c>
      <c r="H2" s="207"/>
      <c r="I2" s="207"/>
      <c r="J2" s="207"/>
      <c r="K2" s="207"/>
      <c r="L2" s="207"/>
      <c r="M2" s="207"/>
      <c r="N2" s="207"/>
      <c r="O2" s="207"/>
      <c r="P2" s="207"/>
      <c r="Q2" s="207"/>
      <c r="R2" s="207"/>
      <c r="S2" s="207"/>
      <c r="T2" s="207"/>
      <c r="U2" s="207"/>
      <c r="V2" s="207"/>
    </row>
    <row r="3" spans="1:22" s="301" customFormat="1">
      <c r="A3" s="316"/>
      <c r="B3" s="891" t="s">
        <v>353</v>
      </c>
      <c r="C3" s="891"/>
      <c r="D3" s="891"/>
      <c r="E3" s="891"/>
      <c r="G3" s="207"/>
      <c r="H3" s="207"/>
      <c r="I3" s="207"/>
      <c r="J3" s="207"/>
      <c r="K3" s="207"/>
      <c r="L3" s="207"/>
      <c r="M3" s="207"/>
      <c r="N3" s="207"/>
      <c r="O3" s="207"/>
      <c r="P3" s="207"/>
      <c r="Q3" s="207"/>
      <c r="R3" s="207"/>
      <c r="S3" s="207"/>
      <c r="T3" s="207"/>
      <c r="U3" s="207"/>
      <c r="V3" s="207"/>
    </row>
    <row r="4" spans="1:22" s="301" customFormat="1">
      <c r="A4" s="316"/>
      <c r="B4" s="892" t="s">
        <v>351</v>
      </c>
      <c r="C4" s="892" t="s">
        <v>525</v>
      </c>
      <c r="D4" s="892" t="s">
        <v>526</v>
      </c>
      <c r="E4" s="536"/>
      <c r="G4" s="207"/>
      <c r="H4" s="207"/>
      <c r="I4" s="207"/>
      <c r="J4" s="207"/>
      <c r="K4" s="207"/>
      <c r="L4" s="207"/>
      <c r="M4" s="207"/>
      <c r="N4" s="207"/>
      <c r="O4" s="207"/>
      <c r="P4" s="207"/>
      <c r="Q4" s="207"/>
      <c r="R4" s="207"/>
      <c r="S4" s="207"/>
      <c r="T4" s="207"/>
      <c r="U4" s="207"/>
      <c r="V4" s="207"/>
    </row>
    <row r="5" spans="1:22" s="301" customFormat="1">
      <c r="A5" s="316"/>
      <c r="B5" s="892"/>
      <c r="C5" s="892"/>
      <c r="D5" s="892"/>
      <c r="E5" s="536"/>
      <c r="G5" s="207"/>
      <c r="H5" s="207"/>
      <c r="I5" s="207"/>
      <c r="J5" s="207"/>
      <c r="K5" s="207"/>
      <c r="L5" s="207"/>
      <c r="M5" s="207"/>
      <c r="N5" s="207"/>
      <c r="O5" s="207"/>
      <c r="P5" s="207"/>
      <c r="Q5" s="207"/>
      <c r="R5" s="207"/>
      <c r="S5" s="207"/>
      <c r="T5" s="207"/>
      <c r="U5" s="207"/>
      <c r="V5" s="207"/>
    </row>
    <row r="6" spans="1:22" s="301" customFormat="1">
      <c r="A6" s="316"/>
      <c r="B6" s="538" t="s">
        <v>355</v>
      </c>
      <c r="C6" s="539">
        <v>0.82450000000000001</v>
      </c>
      <c r="D6" s="540">
        <v>10963</v>
      </c>
      <c r="E6" s="541" t="s">
        <v>180</v>
      </c>
      <c r="F6" s="207"/>
      <c r="G6" s="207"/>
      <c r="H6" s="207"/>
      <c r="I6" s="361"/>
      <c r="J6" s="361"/>
      <c r="K6" s="361"/>
      <c r="L6" s="361"/>
      <c r="M6" s="207"/>
      <c r="N6" s="207"/>
      <c r="O6" s="207"/>
      <c r="P6" s="207"/>
      <c r="Q6" s="207"/>
      <c r="R6" s="207"/>
      <c r="S6" s="207"/>
      <c r="T6" s="207"/>
      <c r="U6" s="207"/>
      <c r="V6" s="207"/>
    </row>
    <row r="7" spans="1:22" s="301" customFormat="1">
      <c r="A7" s="316"/>
      <c r="B7" s="538" t="s">
        <v>354</v>
      </c>
      <c r="C7" s="539">
        <v>0.85499999999999998</v>
      </c>
      <c r="D7" s="540">
        <v>10860</v>
      </c>
      <c r="E7" s="541"/>
      <c r="F7" s="207"/>
      <c r="G7" s="207"/>
      <c r="H7" s="207"/>
      <c r="I7" s="361"/>
      <c r="J7" s="361"/>
      <c r="K7" s="537"/>
      <c r="L7" s="361"/>
      <c r="M7" s="207"/>
      <c r="N7" s="207"/>
      <c r="O7" s="207"/>
      <c r="P7" s="207"/>
      <c r="Q7" s="207"/>
      <c r="R7" s="207"/>
      <c r="S7" s="207"/>
      <c r="T7" s="207"/>
      <c r="U7" s="207"/>
      <c r="V7" s="207"/>
    </row>
    <row r="8" spans="1:22" s="301" customFormat="1">
      <c r="A8" s="316"/>
      <c r="B8" s="538" t="s">
        <v>356</v>
      </c>
      <c r="C8" s="539">
        <v>0.92700000000000005</v>
      </c>
      <c r="D8" s="540">
        <v>10500</v>
      </c>
      <c r="E8" s="541"/>
      <c r="F8" s="207"/>
      <c r="G8" s="207"/>
      <c r="H8" s="207"/>
      <c r="I8" s="361"/>
      <c r="J8" s="361"/>
      <c r="K8" s="537"/>
      <c r="L8" s="361"/>
      <c r="M8" s="207"/>
      <c r="N8" s="207"/>
      <c r="O8" s="207"/>
      <c r="P8" s="207"/>
      <c r="Q8" s="207"/>
      <c r="R8" s="207"/>
      <c r="S8" s="207"/>
      <c r="T8" s="207"/>
      <c r="U8" s="207"/>
      <c r="V8" s="207"/>
    </row>
    <row r="9" spans="1:22" s="301" customFormat="1">
      <c r="A9" s="316"/>
      <c r="B9" s="538" t="s">
        <v>357</v>
      </c>
      <c r="C9" s="539">
        <v>0.93600000000000005</v>
      </c>
      <c r="D9" s="540">
        <v>10500</v>
      </c>
      <c r="E9" s="541"/>
      <c r="F9" s="207"/>
      <c r="G9" s="207"/>
      <c r="H9" s="207"/>
      <c r="I9" s="361"/>
      <c r="J9" s="361"/>
      <c r="K9" s="532"/>
      <c r="L9" s="361"/>
      <c r="M9" s="207"/>
      <c r="N9" s="207"/>
      <c r="O9" s="207"/>
      <c r="P9" s="207"/>
      <c r="Q9" s="207"/>
      <c r="R9" s="207"/>
      <c r="S9" s="207"/>
      <c r="T9" s="207"/>
      <c r="U9" s="207"/>
      <c r="V9" s="207"/>
    </row>
    <row r="10" spans="1:22" s="301" customFormat="1">
      <c r="A10" s="316"/>
      <c r="B10" s="538" t="s">
        <v>358</v>
      </c>
      <c r="C10" s="539">
        <v>0.94499999999999995</v>
      </c>
      <c r="D10" s="540">
        <v>10500</v>
      </c>
      <c r="E10" s="541"/>
      <c r="F10" s="207"/>
      <c r="G10" s="207"/>
      <c r="H10" s="207"/>
      <c r="I10" s="361"/>
      <c r="J10" s="361"/>
      <c r="K10" s="532"/>
      <c r="L10" s="361"/>
      <c r="M10" s="207"/>
      <c r="N10" s="207"/>
      <c r="O10" s="207"/>
      <c r="P10" s="207"/>
      <c r="Q10" s="207"/>
      <c r="R10" s="207"/>
      <c r="S10" s="207"/>
      <c r="T10" s="207"/>
      <c r="U10" s="207"/>
      <c r="V10" s="207"/>
    </row>
    <row r="11" spans="1:22" s="301" customFormat="1">
      <c r="A11" s="316"/>
      <c r="B11" s="538" t="s">
        <v>40</v>
      </c>
      <c r="C11" s="539">
        <v>0.7</v>
      </c>
      <c r="D11" s="540">
        <v>11500</v>
      </c>
      <c r="E11" s="541"/>
      <c r="F11" s="207"/>
      <c r="G11" s="207"/>
      <c r="H11" s="207"/>
      <c r="I11" s="361"/>
      <c r="J11" s="361"/>
      <c r="K11" s="361"/>
      <c r="L11" s="361"/>
      <c r="M11" s="207"/>
      <c r="N11" s="207"/>
      <c r="O11" s="207"/>
      <c r="P11" s="207"/>
      <c r="Q11" s="207"/>
      <c r="R11" s="207"/>
      <c r="S11" s="207"/>
      <c r="T11" s="207"/>
      <c r="U11" s="207"/>
      <c r="V11" s="207"/>
    </row>
    <row r="12" spans="1:22" s="301" customFormat="1">
      <c r="A12" s="316"/>
      <c r="B12" s="538" t="s">
        <v>271</v>
      </c>
      <c r="C12" s="539">
        <v>0.55000000000000004</v>
      </c>
      <c r="D12" s="540">
        <v>12100</v>
      </c>
      <c r="E12" s="541"/>
      <c r="F12" s="207"/>
      <c r="G12" s="207"/>
      <c r="H12" s="207"/>
      <c r="I12" s="361"/>
      <c r="J12" s="361"/>
      <c r="K12" s="361"/>
      <c r="L12" s="361"/>
      <c r="M12" s="207"/>
      <c r="N12" s="207"/>
      <c r="O12" s="207"/>
      <c r="P12" s="207"/>
      <c r="Q12" s="207"/>
      <c r="R12" s="207"/>
      <c r="S12" s="207"/>
      <c r="T12" s="207"/>
      <c r="U12" s="207"/>
      <c r="V12" s="207"/>
    </row>
    <row r="13" spans="1:22" s="301" customFormat="1">
      <c r="A13" s="316"/>
      <c r="B13" s="538" t="s">
        <v>480</v>
      </c>
      <c r="C13" s="539">
        <v>0.73</v>
      </c>
      <c r="D13" s="540">
        <v>11200</v>
      </c>
      <c r="E13" s="541"/>
      <c r="F13" s="207"/>
      <c r="G13" s="207"/>
      <c r="H13" s="207"/>
      <c r="I13" s="207"/>
      <c r="J13" s="207"/>
      <c r="K13" s="207"/>
      <c r="L13" s="207"/>
      <c r="M13" s="207"/>
      <c r="N13" s="207"/>
      <c r="O13" s="207"/>
      <c r="P13" s="207"/>
      <c r="Q13" s="207"/>
      <c r="R13" s="207"/>
      <c r="S13" s="207"/>
      <c r="T13" s="207"/>
      <c r="U13" s="207"/>
      <c r="V13" s="207"/>
    </row>
    <row r="14" spans="1:22" s="301" customFormat="1">
      <c r="A14" s="316"/>
      <c r="B14" s="538" t="s">
        <v>272</v>
      </c>
      <c r="C14" s="539">
        <v>0.7</v>
      </c>
      <c r="D14" s="540">
        <v>11400</v>
      </c>
      <c r="E14" s="541"/>
      <c r="F14" s="207"/>
      <c r="G14" s="207"/>
      <c r="H14" s="207"/>
      <c r="I14" s="207"/>
      <c r="J14" s="207"/>
      <c r="K14" s="207"/>
      <c r="L14" s="207"/>
      <c r="M14" s="207"/>
      <c r="N14" s="207"/>
      <c r="O14" s="207"/>
      <c r="P14" s="207"/>
      <c r="Q14" s="207"/>
      <c r="R14" s="207"/>
      <c r="S14" s="207"/>
      <c r="T14" s="207"/>
      <c r="U14" s="207"/>
      <c r="V14" s="207"/>
    </row>
    <row r="15" spans="1:22" s="301" customFormat="1">
      <c r="A15" s="316"/>
      <c r="B15" s="538" t="s">
        <v>273</v>
      </c>
      <c r="C15" s="539">
        <v>0.81</v>
      </c>
      <c r="D15" s="540">
        <v>11100</v>
      </c>
      <c r="E15" s="541"/>
      <c r="F15" s="207"/>
      <c r="G15" s="207"/>
      <c r="H15" s="207"/>
      <c r="I15" s="207"/>
      <c r="J15" s="207"/>
      <c r="K15" s="207"/>
      <c r="L15" s="207"/>
      <c r="M15" s="207"/>
      <c r="N15" s="207"/>
      <c r="O15" s="207"/>
      <c r="P15" s="207"/>
      <c r="Q15" s="207"/>
      <c r="R15" s="207"/>
      <c r="S15" s="207"/>
      <c r="T15" s="207"/>
      <c r="U15" s="207"/>
      <c r="V15" s="207"/>
    </row>
    <row r="16" spans="1:22" s="301" customFormat="1">
      <c r="A16" s="316"/>
      <c r="B16" s="538" t="s">
        <v>38</v>
      </c>
      <c r="C16" s="539">
        <v>0.81</v>
      </c>
      <c r="D16" s="540">
        <v>11100</v>
      </c>
      <c r="E16" s="541"/>
      <c r="F16" s="207"/>
      <c r="G16" s="207"/>
      <c r="H16" s="207"/>
      <c r="I16" s="207"/>
      <c r="J16" s="207"/>
      <c r="K16" s="207"/>
      <c r="L16" s="207"/>
      <c r="M16" s="207"/>
      <c r="N16" s="207"/>
      <c r="O16" s="207"/>
      <c r="P16" s="207"/>
      <c r="Q16" s="207"/>
      <c r="R16" s="207"/>
      <c r="S16" s="207"/>
      <c r="T16" s="207"/>
      <c r="U16" s="207"/>
      <c r="V16" s="207"/>
    </row>
    <row r="17" spans="1:22" s="301" customFormat="1">
      <c r="A17" s="316"/>
      <c r="B17" s="538" t="s">
        <v>481</v>
      </c>
      <c r="C17" s="539">
        <v>0.84</v>
      </c>
      <c r="D17" s="540">
        <v>10900</v>
      </c>
      <c r="E17" s="541"/>
      <c r="F17" s="207"/>
      <c r="G17" s="207"/>
      <c r="H17" s="207"/>
      <c r="I17" s="207"/>
      <c r="J17" s="207"/>
      <c r="K17" s="207"/>
      <c r="L17" s="207"/>
      <c r="M17" s="207"/>
      <c r="N17" s="207"/>
      <c r="O17" s="207"/>
      <c r="P17" s="207"/>
      <c r="Q17" s="207"/>
      <c r="R17" s="207"/>
      <c r="S17" s="207"/>
      <c r="T17" s="207"/>
      <c r="U17" s="207"/>
      <c r="V17" s="207"/>
    </row>
    <row r="18" spans="1:22" s="301" customFormat="1">
      <c r="A18" s="316"/>
      <c r="B18" s="538" t="s">
        <v>359</v>
      </c>
      <c r="C18" s="542" t="s">
        <v>44</v>
      </c>
      <c r="D18" s="540">
        <v>9341</v>
      </c>
      <c r="E18" s="541" t="s">
        <v>213</v>
      </c>
      <c r="F18" s="207"/>
      <c r="G18" s="207"/>
      <c r="H18" s="207"/>
      <c r="I18" s="207"/>
      <c r="J18" s="207"/>
      <c r="K18" s="207"/>
      <c r="L18" s="207"/>
      <c r="M18" s="207"/>
      <c r="N18" s="207"/>
      <c r="O18" s="207"/>
      <c r="P18" s="207"/>
      <c r="Q18" s="207"/>
      <c r="R18" s="207"/>
      <c r="S18" s="207"/>
      <c r="T18" s="207"/>
      <c r="U18" s="207"/>
      <c r="V18" s="207"/>
    </row>
    <row r="19" spans="1:22" s="301" customFormat="1">
      <c r="A19" s="316"/>
      <c r="B19" s="538" t="s">
        <v>447</v>
      </c>
      <c r="C19" s="542" t="s">
        <v>44</v>
      </c>
      <c r="D19" s="540">
        <v>3500</v>
      </c>
      <c r="E19" s="541"/>
      <c r="F19" s="207"/>
      <c r="G19" s="207"/>
      <c r="H19" s="207"/>
      <c r="I19" s="207"/>
      <c r="J19" s="207"/>
      <c r="K19" s="207"/>
      <c r="L19" s="207"/>
      <c r="M19" s="207"/>
      <c r="N19" s="207"/>
      <c r="O19" s="207"/>
      <c r="P19" s="207"/>
      <c r="Q19" s="207"/>
      <c r="R19" s="207"/>
      <c r="S19" s="207"/>
      <c r="T19" s="207"/>
      <c r="U19" s="207"/>
      <c r="V19" s="207"/>
    </row>
    <row r="20" spans="1:22" s="301" customFormat="1">
      <c r="A20" s="316"/>
      <c r="B20" s="538" t="s">
        <v>41</v>
      </c>
      <c r="C20" s="542" t="s">
        <v>44</v>
      </c>
      <c r="D20" s="540">
        <v>7000</v>
      </c>
      <c r="E20" s="541"/>
      <c r="F20" s="207"/>
      <c r="G20" s="207"/>
      <c r="H20" s="207"/>
      <c r="I20" s="207"/>
      <c r="J20" s="207"/>
      <c r="K20" s="207"/>
      <c r="L20" s="207"/>
      <c r="M20" s="207"/>
      <c r="N20" s="207"/>
      <c r="O20" s="207"/>
      <c r="P20" s="207"/>
      <c r="Q20" s="207"/>
      <c r="R20" s="207"/>
      <c r="S20" s="207"/>
      <c r="T20" s="207"/>
      <c r="U20" s="207"/>
      <c r="V20" s="207"/>
    </row>
    <row r="21" spans="1:22" s="301" customFormat="1">
      <c r="A21" s="316"/>
      <c r="B21" s="538" t="s">
        <v>360</v>
      </c>
      <c r="C21" s="542"/>
      <c r="D21" s="540">
        <v>7000</v>
      </c>
      <c r="E21" s="541"/>
      <c r="F21" s="207"/>
      <c r="G21" s="207"/>
      <c r="H21" s="207"/>
      <c r="I21" s="207"/>
      <c r="J21" s="207"/>
      <c r="K21" s="207"/>
      <c r="L21" s="207"/>
      <c r="M21" s="207"/>
      <c r="N21" s="207"/>
      <c r="O21" s="207"/>
      <c r="P21" s="207"/>
      <c r="Q21" s="207"/>
      <c r="R21" s="207"/>
      <c r="S21" s="207"/>
      <c r="T21" s="207"/>
      <c r="U21" s="207"/>
      <c r="V21" s="207"/>
    </row>
    <row r="22" spans="1:22" s="301" customFormat="1">
      <c r="A22" s="316"/>
      <c r="B22" s="538" t="s">
        <v>42</v>
      </c>
      <c r="C22" s="542" t="s">
        <v>44</v>
      </c>
      <c r="D22" s="540">
        <v>5600</v>
      </c>
      <c r="E22" s="541" t="s">
        <v>213</v>
      </c>
      <c r="F22" s="207"/>
      <c r="G22" s="207"/>
      <c r="H22" s="207"/>
      <c r="I22" s="207"/>
      <c r="J22" s="207"/>
      <c r="K22" s="207"/>
      <c r="L22" s="207"/>
      <c r="M22" s="207"/>
      <c r="N22" s="207"/>
      <c r="O22" s="207"/>
      <c r="P22" s="207"/>
      <c r="Q22" s="207"/>
      <c r="R22" s="207"/>
      <c r="S22" s="207"/>
      <c r="T22" s="207"/>
      <c r="U22" s="207"/>
      <c r="V22" s="207"/>
    </row>
    <row r="23" spans="1:22" s="301" customFormat="1">
      <c r="A23" s="316"/>
      <c r="B23" s="538" t="s">
        <v>274</v>
      </c>
      <c r="C23" s="542" t="s">
        <v>44</v>
      </c>
      <c r="D23" s="540">
        <v>4260</v>
      </c>
      <c r="E23" s="541" t="s">
        <v>626</v>
      </c>
      <c r="F23" s="207"/>
      <c r="G23" s="207"/>
      <c r="H23" s="207"/>
      <c r="I23" s="207"/>
      <c r="J23" s="207"/>
      <c r="K23" s="207"/>
      <c r="L23" s="207"/>
      <c r="M23" s="207"/>
      <c r="N23" s="207"/>
      <c r="O23" s="207"/>
      <c r="P23" s="207"/>
      <c r="Q23" s="207"/>
      <c r="R23" s="207"/>
      <c r="S23" s="207"/>
      <c r="T23" s="207"/>
      <c r="U23" s="207"/>
      <c r="V23" s="207"/>
    </row>
    <row r="24" spans="1:22" s="301" customFormat="1">
      <c r="A24" s="316"/>
      <c r="B24" s="538" t="s">
        <v>126</v>
      </c>
      <c r="C24" s="542" t="s">
        <v>44</v>
      </c>
      <c r="D24" s="540">
        <v>860</v>
      </c>
      <c r="E24" s="543" t="s">
        <v>627</v>
      </c>
      <c r="F24" s="207"/>
      <c r="G24" s="207"/>
      <c r="H24" s="207"/>
      <c r="I24" s="207"/>
      <c r="J24" s="207"/>
      <c r="K24" s="207"/>
      <c r="L24" s="207"/>
      <c r="M24" s="207"/>
      <c r="N24" s="207"/>
      <c r="O24" s="207"/>
      <c r="P24" s="207"/>
      <c r="Q24" s="207"/>
      <c r="R24" s="207"/>
      <c r="S24" s="207"/>
      <c r="T24" s="207"/>
      <c r="U24" s="207"/>
      <c r="V24" s="207"/>
    </row>
    <row r="25" spans="1:22" s="301" customFormat="1">
      <c r="A25" s="316"/>
      <c r="B25" s="538"/>
      <c r="C25" s="542"/>
      <c r="D25" s="540"/>
      <c r="E25" s="316"/>
      <c r="F25" s="207"/>
      <c r="G25" s="207"/>
      <c r="H25" s="207"/>
      <c r="I25" s="207"/>
      <c r="J25" s="207"/>
      <c r="K25" s="207"/>
      <c r="L25" s="207"/>
      <c r="M25" s="207"/>
      <c r="N25" s="207"/>
      <c r="O25" s="207"/>
      <c r="P25" s="207"/>
      <c r="Q25" s="207"/>
      <c r="R25" s="207"/>
      <c r="S25" s="207"/>
      <c r="T25" s="207"/>
      <c r="U25" s="207"/>
      <c r="V25" s="207"/>
    </row>
    <row r="26" spans="1:22" s="301" customFormat="1">
      <c r="A26" s="316"/>
      <c r="B26" s="544" t="s">
        <v>195</v>
      </c>
      <c r="C26" s="542"/>
      <c r="D26" s="540"/>
      <c r="E26" s="316"/>
      <c r="F26" s="207"/>
      <c r="G26" s="207"/>
      <c r="H26" s="207"/>
      <c r="I26" s="207"/>
      <c r="J26" s="207"/>
      <c r="K26" s="207"/>
      <c r="L26" s="207"/>
      <c r="M26" s="207"/>
      <c r="N26" s="207"/>
      <c r="O26" s="207"/>
      <c r="P26" s="207"/>
      <c r="Q26" s="207"/>
      <c r="R26" s="207"/>
      <c r="S26" s="207"/>
      <c r="T26" s="207"/>
      <c r="U26" s="207"/>
      <c r="V26" s="207"/>
    </row>
    <row r="27" spans="1:22" s="301" customFormat="1">
      <c r="A27" s="316"/>
      <c r="B27" s="544" t="s">
        <v>214</v>
      </c>
      <c r="C27" s="538"/>
      <c r="D27" s="538"/>
      <c r="E27" s="316"/>
      <c r="F27" s="207"/>
      <c r="G27" s="207"/>
      <c r="H27" s="207"/>
      <c r="I27" s="207"/>
      <c r="J27" s="207"/>
      <c r="K27" s="207"/>
      <c r="L27" s="207"/>
      <c r="M27" s="207"/>
      <c r="N27" s="207"/>
      <c r="O27" s="207"/>
      <c r="P27" s="207"/>
      <c r="Q27" s="207"/>
      <c r="R27" s="207"/>
      <c r="S27" s="207"/>
      <c r="T27" s="207"/>
      <c r="U27" s="207"/>
      <c r="V27" s="207"/>
    </row>
    <row r="28" spans="1:22" s="301" customFormat="1">
      <c r="A28" s="316"/>
      <c r="B28" s="544" t="s">
        <v>215</v>
      </c>
      <c r="C28" s="538"/>
      <c r="D28" s="538"/>
      <c r="E28" s="316"/>
      <c r="F28" s="207"/>
      <c r="G28" s="207"/>
      <c r="H28" s="207"/>
      <c r="I28" s="207"/>
      <c r="J28" s="207"/>
      <c r="K28" s="207"/>
      <c r="L28" s="207"/>
      <c r="M28" s="207"/>
      <c r="N28" s="207"/>
      <c r="O28" s="207"/>
      <c r="P28" s="207"/>
      <c r="Q28" s="207"/>
      <c r="R28" s="207"/>
      <c r="S28" s="207"/>
      <c r="T28" s="207"/>
      <c r="U28" s="207"/>
      <c r="V28" s="207"/>
    </row>
    <row r="29" spans="1:22" s="301" customFormat="1">
      <c r="A29" s="316"/>
      <c r="B29" s="544" t="s">
        <v>625</v>
      </c>
      <c r="C29" s="538"/>
      <c r="D29" s="538"/>
      <c r="E29" s="316"/>
      <c r="F29" s="207"/>
      <c r="G29" s="207"/>
      <c r="H29" s="207"/>
      <c r="I29" s="207"/>
      <c r="J29" s="207"/>
      <c r="K29" s="207"/>
      <c r="L29" s="207"/>
      <c r="M29" s="207"/>
      <c r="N29" s="207"/>
      <c r="O29" s="207"/>
      <c r="P29" s="207"/>
      <c r="Q29" s="207"/>
      <c r="R29" s="207"/>
      <c r="S29" s="207"/>
      <c r="T29" s="207"/>
      <c r="U29" s="207"/>
      <c r="V29" s="207"/>
    </row>
    <row r="30" spans="1:22" s="301" customFormat="1">
      <c r="A30" s="316"/>
      <c r="B30" s="544" t="s">
        <v>216</v>
      </c>
      <c r="C30" s="538"/>
      <c r="D30" s="538"/>
      <c r="E30" s="316"/>
      <c r="F30" s="207"/>
      <c r="G30" s="207"/>
      <c r="H30" s="207"/>
      <c r="I30" s="207"/>
      <c r="J30" s="207"/>
      <c r="K30" s="207"/>
      <c r="L30" s="207"/>
      <c r="M30" s="207"/>
      <c r="N30" s="207"/>
      <c r="O30" s="207"/>
      <c r="P30" s="207"/>
      <c r="Q30" s="207"/>
      <c r="R30" s="207"/>
      <c r="S30" s="207"/>
      <c r="T30" s="207"/>
      <c r="U30" s="207"/>
      <c r="V30" s="207"/>
    </row>
    <row r="31" spans="1:22" s="301" customFormat="1">
      <c r="A31" s="316"/>
      <c r="B31" s="544" t="s">
        <v>217</v>
      </c>
      <c r="C31" s="538"/>
      <c r="D31" s="538"/>
      <c r="E31" s="316"/>
      <c r="F31" s="207"/>
      <c r="G31" s="207"/>
      <c r="H31" s="207"/>
      <c r="I31" s="207"/>
      <c r="J31" s="207"/>
      <c r="K31" s="207"/>
      <c r="L31" s="207"/>
      <c r="M31" s="207"/>
      <c r="N31" s="207"/>
      <c r="O31" s="207"/>
      <c r="P31" s="207"/>
      <c r="Q31" s="207"/>
      <c r="R31" s="207"/>
      <c r="S31" s="207"/>
      <c r="T31" s="207"/>
      <c r="U31" s="207"/>
      <c r="V31" s="207"/>
    </row>
    <row r="32" spans="1:22">
      <c r="A32" s="122"/>
      <c r="B32" s="545"/>
      <c r="C32" s="545"/>
      <c r="D32" s="545"/>
      <c r="E32" s="122"/>
    </row>
    <row r="33" spans="2:4">
      <c r="B33" s="360"/>
      <c r="C33" s="360"/>
      <c r="D33" s="360"/>
    </row>
    <row r="34" spans="2:4">
      <c r="B34" s="360"/>
      <c r="C34" s="360"/>
      <c r="D34" s="360"/>
    </row>
    <row r="35" spans="2:4">
      <c r="B35" s="360"/>
      <c r="C35" s="360"/>
      <c r="D35" s="360"/>
    </row>
    <row r="36" spans="2:4">
      <c r="B36" s="2"/>
      <c r="C36" s="2"/>
      <c r="D36" s="2"/>
    </row>
    <row r="37" spans="2:4">
      <c r="B37" s="2"/>
      <c r="C37" s="2"/>
      <c r="D37" s="2"/>
    </row>
    <row r="38" spans="2:4">
      <c r="B38" s="2"/>
      <c r="C38" s="2"/>
      <c r="D38" s="2"/>
    </row>
    <row r="39" spans="2:4">
      <c r="B39" s="2"/>
      <c r="C39" s="2"/>
      <c r="D39" s="2"/>
    </row>
    <row r="40" spans="2:4">
      <c r="B40" s="2"/>
      <c r="C40" s="2"/>
      <c r="D40" s="2"/>
    </row>
    <row r="41" spans="2:4">
      <c r="B41" s="2"/>
      <c r="C41" s="2"/>
      <c r="D41" s="2"/>
    </row>
    <row r="42" spans="2:4">
      <c r="B42" s="2"/>
      <c r="C42" s="2"/>
      <c r="D42" s="2"/>
    </row>
    <row r="43" spans="2:4">
      <c r="B43" s="2"/>
      <c r="C43" s="2"/>
      <c r="D43" s="2"/>
    </row>
    <row r="44" spans="2:4">
      <c r="B44" s="2"/>
      <c r="C44" s="2"/>
      <c r="D44" s="2"/>
    </row>
    <row r="45" spans="2:4">
      <c r="B45" s="2"/>
      <c r="C45" s="2"/>
      <c r="D45" s="2"/>
    </row>
    <row r="46" spans="2:4">
      <c r="B46" s="2"/>
      <c r="C46" s="2"/>
      <c r="D46" s="2"/>
    </row>
    <row r="47" spans="2:4">
      <c r="B47" s="2"/>
      <c r="C47" s="2"/>
      <c r="D47" s="2"/>
    </row>
    <row r="48" spans="2:4">
      <c r="B48" s="2"/>
      <c r="C48" s="2"/>
      <c r="D48" s="2"/>
    </row>
    <row r="49" spans="2:4">
      <c r="B49" s="2"/>
      <c r="C49" s="2"/>
      <c r="D49" s="2"/>
    </row>
    <row r="50" spans="2:4">
      <c r="B50" s="2"/>
      <c r="C50" s="2"/>
      <c r="D50" s="2"/>
    </row>
    <row r="51" spans="2:4">
      <c r="B51" s="2"/>
      <c r="C51" s="2"/>
      <c r="D51" s="2"/>
    </row>
    <row r="52" spans="2:4">
      <c r="B52" s="2"/>
      <c r="C52" s="2"/>
      <c r="D52" s="2"/>
    </row>
    <row r="53" spans="2:4">
      <c r="B53" s="2"/>
      <c r="C53" s="2"/>
      <c r="D53" s="2"/>
    </row>
    <row r="54" spans="2:4">
      <c r="B54" s="2"/>
      <c r="C54" s="2"/>
      <c r="D54" s="2"/>
    </row>
    <row r="55" spans="2:4">
      <c r="B55" s="2"/>
      <c r="C55" s="2"/>
      <c r="D55" s="2"/>
    </row>
    <row r="56" spans="2:4">
      <c r="B56" s="2"/>
      <c r="C56" s="2"/>
      <c r="D56" s="2"/>
    </row>
    <row r="57" spans="2:4">
      <c r="B57" s="2"/>
      <c r="C57" s="2"/>
      <c r="D57" s="2"/>
    </row>
    <row r="58" spans="2:4">
      <c r="B58" s="2"/>
      <c r="C58" s="2"/>
      <c r="D58" s="2"/>
    </row>
    <row r="59" spans="2:4">
      <c r="B59" s="2"/>
      <c r="C59" s="2"/>
      <c r="D59" s="2"/>
    </row>
    <row r="60" spans="2:4">
      <c r="B60" s="2"/>
      <c r="C60" s="2"/>
      <c r="D60" s="2"/>
    </row>
    <row r="61" spans="2:4">
      <c r="B61" s="2"/>
      <c r="C61" s="2"/>
      <c r="D61" s="2"/>
    </row>
    <row r="62" spans="2:4">
      <c r="B62" s="2"/>
      <c r="C62" s="2"/>
      <c r="D62" s="2"/>
    </row>
    <row r="63" spans="2:4" s="2" customFormat="1"/>
    <row r="64" spans="2:4" s="2" customFormat="1"/>
    <row r="65" s="2" customFormat="1"/>
    <row r="66" s="2" customFormat="1"/>
    <row r="67" s="2" customFormat="1"/>
  </sheetData>
  <mergeCells count="5">
    <mergeCell ref="B3:E3"/>
    <mergeCell ref="B2:E2"/>
    <mergeCell ref="B4:B5"/>
    <mergeCell ref="C4:C5"/>
    <mergeCell ref="D4:D5"/>
  </mergeCells>
  <phoneticPr fontId="0" type="noConversion"/>
  <hyperlinks>
    <hyperlink ref="G2" location="Índice!A1" display="VOLVER A INDICE"/>
  </hyperlinks>
  <pageMargins left="0.75" right="0.75" top="1" bottom="1" header="0" footer="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tabColor theme="8" tint="0.59999389629810485"/>
  </sheetPr>
  <dimension ref="B1:V98"/>
  <sheetViews>
    <sheetView workbookViewId="0">
      <selection activeCell="D35" sqref="D35"/>
    </sheetView>
  </sheetViews>
  <sheetFormatPr baseColWidth="10" defaultRowHeight="12.75"/>
  <cols>
    <col min="1" max="1" width="1.7109375" style="134" customWidth="1"/>
    <col min="2" max="2" width="17.85546875" style="134" customWidth="1"/>
    <col min="3" max="10" width="15.7109375" style="134" customWidth="1"/>
    <col min="11" max="11" width="17" style="134" bestFit="1" customWidth="1"/>
    <col min="12" max="22" width="11.42578125" style="2"/>
    <col min="23" max="16384" width="11.42578125" style="134"/>
  </cols>
  <sheetData>
    <row r="1" spans="2:22" ht="5.25" customHeight="1"/>
    <row r="2" spans="2:22" s="319" customFormat="1" ht="15.95" customHeight="1">
      <c r="B2" s="891" t="s">
        <v>361</v>
      </c>
      <c r="C2" s="891"/>
      <c r="D2" s="891"/>
      <c r="E2" s="891"/>
      <c r="F2" s="891"/>
      <c r="G2" s="891"/>
      <c r="H2" s="891"/>
      <c r="I2" s="891"/>
      <c r="J2" s="891"/>
      <c r="K2" s="891"/>
      <c r="M2" s="692" t="s">
        <v>229</v>
      </c>
      <c r="N2" s="317"/>
      <c r="O2" s="317"/>
      <c r="P2" s="318"/>
      <c r="Q2" s="318"/>
      <c r="R2" s="318"/>
      <c r="S2" s="318"/>
      <c r="T2" s="318"/>
      <c r="U2" s="318"/>
      <c r="V2" s="318"/>
    </row>
    <row r="3" spans="2:22" s="319" customFormat="1" ht="15.95" customHeight="1">
      <c r="B3" s="891" t="s">
        <v>362</v>
      </c>
      <c r="C3" s="891"/>
      <c r="D3" s="891"/>
      <c r="E3" s="891"/>
      <c r="F3" s="891"/>
      <c r="G3" s="891"/>
      <c r="H3" s="891"/>
      <c r="I3" s="891"/>
      <c r="J3" s="891"/>
      <c r="K3" s="891"/>
      <c r="M3" s="317"/>
      <c r="N3" s="317"/>
      <c r="O3" s="317"/>
      <c r="P3" s="318"/>
      <c r="Q3" s="318"/>
      <c r="R3" s="318"/>
      <c r="S3" s="318"/>
      <c r="T3" s="318"/>
      <c r="U3" s="318"/>
      <c r="V3" s="318"/>
    </row>
    <row r="4" spans="2:22" s="319" customFormat="1" ht="15.95" customHeight="1">
      <c r="B4" s="535" t="s">
        <v>536</v>
      </c>
      <c r="C4" s="536" t="s">
        <v>365</v>
      </c>
      <c r="D4" s="536" t="s">
        <v>364</v>
      </c>
      <c r="E4" s="536" t="s">
        <v>70</v>
      </c>
      <c r="F4" s="536" t="s">
        <v>363</v>
      </c>
      <c r="G4" s="536" t="s">
        <v>373</v>
      </c>
      <c r="H4" s="536" t="s">
        <v>366</v>
      </c>
      <c r="I4" s="536" t="s">
        <v>367</v>
      </c>
      <c r="J4" s="536" t="s">
        <v>535</v>
      </c>
      <c r="K4" s="536" t="s">
        <v>537</v>
      </c>
      <c r="M4" s="317"/>
      <c r="N4" s="317"/>
      <c r="O4" s="317"/>
      <c r="P4" s="318"/>
      <c r="Q4" s="318"/>
      <c r="R4" s="318"/>
      <c r="S4" s="318"/>
      <c r="T4" s="318"/>
      <c r="U4" s="318"/>
      <c r="V4" s="318"/>
    </row>
    <row r="5" spans="2:22" s="319" customFormat="1" ht="15.95" customHeight="1">
      <c r="B5" s="546" t="s">
        <v>365</v>
      </c>
      <c r="C5" s="547">
        <v>1</v>
      </c>
      <c r="D5" s="548">
        <v>0.13780000000000001</v>
      </c>
      <c r="E5" s="547">
        <v>1.39E-3</v>
      </c>
      <c r="F5" s="547">
        <v>5.8100000000000001E-3</v>
      </c>
      <c r="G5" s="547">
        <v>5524.86</v>
      </c>
      <c r="H5" s="547">
        <v>1.613944</v>
      </c>
      <c r="I5" s="547">
        <v>131.0615</v>
      </c>
      <c r="J5" s="547">
        <v>167.2073</v>
      </c>
      <c r="K5" s="547">
        <v>5917.1597000000002</v>
      </c>
      <c r="L5" s="317"/>
      <c r="M5" s="317"/>
      <c r="N5" s="317"/>
      <c r="O5" s="317"/>
      <c r="P5" s="318"/>
      <c r="Q5" s="318"/>
      <c r="R5" s="318"/>
      <c r="S5" s="318"/>
      <c r="T5" s="318"/>
      <c r="U5" s="318"/>
      <c r="V5" s="318"/>
    </row>
    <row r="6" spans="2:22" s="319" customFormat="1" ht="15.95" customHeight="1">
      <c r="B6" s="546" t="s">
        <v>364</v>
      </c>
      <c r="C6" s="547">
        <v>7.2056490000000002</v>
      </c>
      <c r="D6" s="547">
        <v>1</v>
      </c>
      <c r="E6" s="547">
        <v>0.01</v>
      </c>
      <c r="F6" s="547">
        <v>4.1840000000000002E-2</v>
      </c>
      <c r="G6" s="547">
        <v>39810.22</v>
      </c>
      <c r="H6" s="547">
        <v>11.62951</v>
      </c>
      <c r="I6" s="547">
        <v>944.38379999999995</v>
      </c>
      <c r="J6" s="547">
        <v>1204.837</v>
      </c>
      <c r="K6" s="547">
        <v>42636.976000000002</v>
      </c>
      <c r="L6" s="317"/>
      <c r="M6" s="317"/>
      <c r="N6" s="317"/>
      <c r="O6" s="317"/>
      <c r="P6" s="318"/>
      <c r="Q6" s="318"/>
      <c r="R6" s="318"/>
      <c r="S6" s="318"/>
      <c r="T6" s="318"/>
      <c r="U6" s="318"/>
      <c r="V6" s="318"/>
    </row>
    <row r="7" spans="2:22" s="319" customFormat="1" ht="15.95" customHeight="1">
      <c r="B7" s="546" t="s">
        <v>70</v>
      </c>
      <c r="C7" s="547">
        <v>720.56489999999997</v>
      </c>
      <c r="D7" s="547">
        <v>100</v>
      </c>
      <c r="E7" s="547">
        <v>1</v>
      </c>
      <c r="F7" s="547">
        <v>4.1840000000000002</v>
      </c>
      <c r="G7" s="547">
        <v>3981022</v>
      </c>
      <c r="H7" s="547">
        <v>1162.952</v>
      </c>
      <c r="I7" s="547">
        <v>94438.38</v>
      </c>
      <c r="J7" s="547">
        <v>120483.7</v>
      </c>
      <c r="K7" s="547">
        <v>4263697.5999999996</v>
      </c>
      <c r="L7" s="317"/>
      <c r="M7" s="317"/>
      <c r="N7" s="317"/>
      <c r="O7" s="317"/>
      <c r="P7" s="318"/>
      <c r="Q7" s="318"/>
      <c r="R7" s="318"/>
      <c r="S7" s="318"/>
      <c r="T7" s="318"/>
      <c r="U7" s="318"/>
      <c r="V7" s="318"/>
    </row>
    <row r="8" spans="2:22" s="319" customFormat="1" ht="15.95" customHeight="1">
      <c r="B8" s="546" t="s">
        <v>363</v>
      </c>
      <c r="C8" s="547">
        <v>172.2191</v>
      </c>
      <c r="D8" s="547">
        <v>23.900569999999998</v>
      </c>
      <c r="E8" s="547">
        <v>0.239005</v>
      </c>
      <c r="F8" s="547">
        <v>1</v>
      </c>
      <c r="G8" s="547">
        <v>952380.95238095243</v>
      </c>
      <c r="H8" s="547">
        <v>277.95209999999997</v>
      </c>
      <c r="I8" s="547">
        <v>22571.31</v>
      </c>
      <c r="J8" s="547">
        <v>28796.29</v>
      </c>
      <c r="K8" s="547">
        <v>1019048.1</v>
      </c>
      <c r="L8" s="317"/>
      <c r="M8" s="317"/>
      <c r="N8" s="317"/>
      <c r="O8" s="317"/>
      <c r="P8" s="318"/>
      <c r="Q8" s="318"/>
      <c r="R8" s="318"/>
      <c r="S8" s="318"/>
      <c r="T8" s="318"/>
      <c r="U8" s="318"/>
      <c r="V8" s="318"/>
    </row>
    <row r="9" spans="2:22" s="319" customFormat="1" ht="15.95" customHeight="1">
      <c r="B9" s="546" t="s">
        <v>374</v>
      </c>
      <c r="C9" s="547">
        <v>1.8000000000000001E-4</v>
      </c>
      <c r="D9" s="547">
        <v>2.51E-5</v>
      </c>
      <c r="E9" s="547">
        <v>2.4999999999999999E-7</v>
      </c>
      <c r="F9" s="547">
        <v>1.0499999999999999E-6</v>
      </c>
      <c r="G9" s="547">
        <v>1</v>
      </c>
      <c r="H9" s="547">
        <v>2.9E-4</v>
      </c>
      <c r="I9" s="547">
        <v>2.3720000000000001E-2</v>
      </c>
      <c r="J9" s="547">
        <v>3.0265E-2</v>
      </c>
      <c r="K9" s="547">
        <v>1.07101</v>
      </c>
      <c r="L9" s="317"/>
      <c r="M9" s="317"/>
      <c r="N9" s="317"/>
      <c r="O9" s="317"/>
      <c r="P9" s="318"/>
      <c r="Q9" s="318"/>
      <c r="R9" s="318"/>
      <c r="S9" s="318"/>
      <c r="T9" s="318"/>
      <c r="U9" s="318"/>
      <c r="V9" s="318"/>
    </row>
    <row r="10" spans="2:22" s="319" customFormat="1" ht="15.95" customHeight="1">
      <c r="B10" s="546" t="s">
        <v>366</v>
      </c>
      <c r="C10" s="547">
        <v>0.61960000000000004</v>
      </c>
      <c r="D10" s="547">
        <v>8.5989999999999997E-2</v>
      </c>
      <c r="E10" s="547">
        <v>8.5999999999999998E-4</v>
      </c>
      <c r="F10" s="547">
        <v>3.5999999999999999E-3</v>
      </c>
      <c r="G10" s="547">
        <v>3423.2</v>
      </c>
      <c r="H10" s="547">
        <v>1</v>
      </c>
      <c r="I10" s="547">
        <v>81.205770000000001</v>
      </c>
      <c r="J10" s="547">
        <v>103.6016</v>
      </c>
      <c r="K10" s="547">
        <v>3666.2721000000001</v>
      </c>
      <c r="L10" s="317"/>
      <c r="M10" s="317"/>
      <c r="N10" s="317"/>
      <c r="O10" s="317"/>
      <c r="P10" s="318"/>
      <c r="Q10" s="318"/>
      <c r="R10" s="318"/>
      <c r="S10" s="318"/>
      <c r="T10" s="318"/>
      <c r="U10" s="318"/>
      <c r="V10" s="318"/>
    </row>
    <row r="11" spans="2:22" s="319" customFormat="1" ht="15.95" customHeight="1">
      <c r="B11" s="546" t="s">
        <v>367</v>
      </c>
      <c r="C11" s="547">
        <v>7.6299999999999996E-3</v>
      </c>
      <c r="D11" s="547">
        <v>1.06E-3</v>
      </c>
      <c r="E11" s="547">
        <v>1.06E-5</v>
      </c>
      <c r="F11" s="547">
        <v>4.4299999999999999E-5</v>
      </c>
      <c r="G11" s="547">
        <v>42.154690000000002</v>
      </c>
      <c r="H11" s="547">
        <v>1.2314E-2</v>
      </c>
      <c r="I11" s="547">
        <v>1</v>
      </c>
      <c r="J11" s="547">
        <v>1.2757909999999999</v>
      </c>
      <c r="K11" s="547">
        <v>45.147928</v>
      </c>
      <c r="L11" s="317"/>
      <c r="M11" s="317"/>
      <c r="N11" s="317"/>
      <c r="O11" s="317"/>
      <c r="P11" s="318"/>
      <c r="Q11" s="318"/>
      <c r="R11" s="318"/>
      <c r="S11" s="318"/>
      <c r="T11" s="318"/>
      <c r="U11" s="318"/>
      <c r="V11" s="318"/>
    </row>
    <row r="12" spans="2:22" s="319" customFormat="1" ht="15.95" customHeight="1">
      <c r="B12" s="546" t="s">
        <v>375</v>
      </c>
      <c r="C12" s="547">
        <v>5.9800000000000001E-3</v>
      </c>
      <c r="D12" s="547">
        <v>8.3000000000000001E-4</v>
      </c>
      <c r="E12" s="547">
        <v>8.3000000000000002E-6</v>
      </c>
      <c r="F12" s="547">
        <v>3.4700000000000003E-5</v>
      </c>
      <c r="G12" s="547">
        <v>33.041980000000002</v>
      </c>
      <c r="H12" s="547">
        <v>9.6520000000000009E-3</v>
      </c>
      <c r="I12" s="547">
        <v>0.78382600000000002</v>
      </c>
      <c r="J12" s="547">
        <v>1</v>
      </c>
      <c r="K12" s="547">
        <v>35.388165000000001</v>
      </c>
      <c r="L12" s="317"/>
      <c r="M12" s="317"/>
      <c r="N12" s="317"/>
      <c r="O12" s="317"/>
      <c r="P12" s="318"/>
      <c r="Q12" s="318"/>
      <c r="R12" s="318"/>
      <c r="S12" s="318"/>
      <c r="T12" s="318"/>
      <c r="U12" s="318"/>
      <c r="V12" s="318"/>
    </row>
    <row r="13" spans="2:22" s="319" customFormat="1" ht="15.95" customHeight="1">
      <c r="B13" s="538" t="s">
        <v>376</v>
      </c>
      <c r="C13" s="547">
        <v>1.7000000000000001E-4</v>
      </c>
      <c r="D13" s="547">
        <v>2.3499999999999999E-5</v>
      </c>
      <c r="E13" s="547">
        <v>2.35E-7</v>
      </c>
      <c r="F13" s="547">
        <v>9.8100000000000001E-7</v>
      </c>
      <c r="G13" s="547">
        <v>0.933701</v>
      </c>
      <c r="H13" s="547">
        <v>2.72E-4</v>
      </c>
      <c r="I13" s="547">
        <v>2.2148999999999999E-2</v>
      </c>
      <c r="J13" s="547">
        <v>2.8257999999999998E-2</v>
      </c>
      <c r="K13" s="547">
        <v>1</v>
      </c>
      <c r="L13" s="317"/>
      <c r="M13" s="317"/>
      <c r="N13" s="317"/>
      <c r="O13" s="317"/>
      <c r="P13" s="318"/>
      <c r="Q13" s="318"/>
      <c r="R13" s="318"/>
      <c r="S13" s="318"/>
      <c r="T13" s="318"/>
      <c r="U13" s="318"/>
      <c r="V13" s="318"/>
    </row>
    <row r="14" spans="2:22">
      <c r="C14" s="124"/>
      <c r="D14" s="124"/>
      <c r="E14" s="124"/>
      <c r="F14" s="124"/>
      <c r="G14" s="124"/>
      <c r="H14" s="124"/>
      <c r="I14" s="124"/>
      <c r="J14" s="124"/>
      <c r="K14" s="124"/>
      <c r="L14" s="123"/>
      <c r="M14" s="123"/>
      <c r="N14" s="123"/>
      <c r="O14" s="123"/>
    </row>
    <row r="15" spans="2:22">
      <c r="B15" s="343" t="s">
        <v>218</v>
      </c>
      <c r="C15" s="124"/>
      <c r="D15" s="124"/>
      <c r="E15" s="124"/>
      <c r="F15" s="124"/>
      <c r="G15" s="124"/>
      <c r="H15" s="124"/>
      <c r="I15" s="124"/>
      <c r="J15" s="124"/>
      <c r="K15" s="124"/>
      <c r="L15" s="123"/>
      <c r="M15" s="123"/>
      <c r="N15" s="123"/>
      <c r="O15" s="123"/>
    </row>
    <row r="16" spans="2:22">
      <c r="B16" s="124"/>
      <c r="C16" s="124"/>
      <c r="D16" s="124"/>
      <c r="E16" s="124"/>
      <c r="F16" s="124"/>
      <c r="G16" s="124"/>
      <c r="H16" s="124"/>
      <c r="I16" s="124"/>
      <c r="J16" s="124"/>
      <c r="K16" s="124"/>
      <c r="L16" s="123"/>
      <c r="M16" s="123"/>
      <c r="N16" s="123"/>
      <c r="O16" s="123"/>
    </row>
    <row r="17" spans="2:15" ht="15.95" customHeight="1">
      <c r="B17" s="891" t="s">
        <v>380</v>
      </c>
      <c r="C17" s="891"/>
      <c r="D17" s="891"/>
      <c r="E17" s="124"/>
      <c r="F17" s="891" t="s">
        <v>397</v>
      </c>
      <c r="G17" s="891"/>
      <c r="H17" s="124"/>
      <c r="I17" s="891" t="s">
        <v>402</v>
      </c>
      <c r="J17" s="891"/>
      <c r="K17" s="124"/>
      <c r="L17" s="123"/>
      <c r="M17" s="123"/>
      <c r="N17" s="123"/>
      <c r="O17" s="123"/>
    </row>
    <row r="18" spans="2:15" ht="15.95" customHeight="1">
      <c r="B18" s="549" t="s">
        <v>381</v>
      </c>
      <c r="C18" s="536"/>
      <c r="D18" s="550" t="s">
        <v>382</v>
      </c>
      <c r="E18" s="124"/>
      <c r="F18" s="552" t="s">
        <v>404</v>
      </c>
      <c r="G18" s="553" t="s">
        <v>399</v>
      </c>
      <c r="H18" s="124"/>
      <c r="I18" s="552" t="s">
        <v>403</v>
      </c>
      <c r="J18" s="553" t="s">
        <v>408</v>
      </c>
      <c r="K18" s="124"/>
      <c r="L18" s="123">
        <v>12.92</v>
      </c>
      <c r="M18" s="123">
        <f>L18*10000</f>
        <v>129200</v>
      </c>
      <c r="N18" s="123" t="s">
        <v>628</v>
      </c>
      <c r="O18" s="123"/>
    </row>
    <row r="19" spans="2:15" ht="15.95" customHeight="1">
      <c r="B19" s="552" t="s">
        <v>383</v>
      </c>
      <c r="C19" s="553"/>
      <c r="D19" s="554" t="s">
        <v>365</v>
      </c>
      <c r="E19" s="124"/>
      <c r="F19" s="552" t="s">
        <v>404</v>
      </c>
      <c r="G19" s="553" t="s">
        <v>400</v>
      </c>
      <c r="H19" s="124"/>
      <c r="I19" s="538" t="s">
        <v>409</v>
      </c>
      <c r="J19" s="565" t="s">
        <v>410</v>
      </c>
      <c r="K19" s="124"/>
      <c r="L19" s="123"/>
      <c r="M19" s="123"/>
      <c r="N19" s="123"/>
      <c r="O19" s="123"/>
    </row>
    <row r="20" spans="2:15" ht="15.95" customHeight="1">
      <c r="B20" s="552" t="s">
        <v>384</v>
      </c>
      <c r="C20" s="553"/>
      <c r="D20" s="554" t="s">
        <v>364</v>
      </c>
      <c r="E20" s="124"/>
      <c r="F20" s="552" t="s">
        <v>405</v>
      </c>
      <c r="G20" s="553" t="s">
        <v>401</v>
      </c>
      <c r="H20" s="124"/>
      <c r="J20" s="124"/>
      <c r="K20" s="124"/>
      <c r="L20" s="123"/>
      <c r="M20" s="123"/>
      <c r="N20" s="123"/>
      <c r="O20" s="123"/>
    </row>
    <row r="21" spans="2:15" ht="15.95" customHeight="1">
      <c r="B21" s="552" t="s">
        <v>385</v>
      </c>
      <c r="C21" s="555"/>
      <c r="D21" s="556" t="s">
        <v>393</v>
      </c>
      <c r="E21" s="124"/>
      <c r="F21" s="538" t="s">
        <v>406</v>
      </c>
      <c r="G21" s="565" t="s">
        <v>407</v>
      </c>
      <c r="H21" s="124"/>
      <c r="I21" s="343" t="s">
        <v>219</v>
      </c>
      <c r="J21" s="124"/>
      <c r="K21" s="124"/>
      <c r="L21" s="123"/>
      <c r="M21" s="123"/>
      <c r="N21" s="123"/>
      <c r="O21" s="123"/>
    </row>
    <row r="22" spans="2:15" ht="15.95" customHeight="1">
      <c r="B22" s="552" t="s">
        <v>386</v>
      </c>
      <c r="C22" s="555"/>
      <c r="D22" s="556" t="s">
        <v>398</v>
      </c>
      <c r="E22" s="124"/>
      <c r="F22" s="124"/>
      <c r="G22" s="124"/>
      <c r="H22" s="124"/>
      <c r="I22" s="124"/>
      <c r="J22" s="124"/>
      <c r="K22" s="124"/>
      <c r="L22" s="123"/>
      <c r="M22" s="123"/>
      <c r="N22" s="123"/>
      <c r="O22" s="123"/>
    </row>
    <row r="23" spans="2:15" ht="15.95" customHeight="1">
      <c r="B23" s="552" t="s">
        <v>377</v>
      </c>
      <c r="C23" s="553"/>
      <c r="D23" s="554" t="s">
        <v>70</v>
      </c>
      <c r="E23" s="344"/>
      <c r="F23" s="891" t="s">
        <v>411</v>
      </c>
      <c r="G23" s="891"/>
      <c r="H23" s="891"/>
      <c r="I23" s="124"/>
      <c r="J23" s="124"/>
      <c r="K23" s="124"/>
      <c r="L23" s="123"/>
      <c r="M23" s="123"/>
      <c r="N23" s="123"/>
      <c r="O23" s="123"/>
    </row>
    <row r="24" spans="2:15" ht="15.95" customHeight="1">
      <c r="B24" s="552" t="s">
        <v>387</v>
      </c>
      <c r="C24" s="553"/>
      <c r="D24" s="554" t="s">
        <v>394</v>
      </c>
      <c r="E24" s="124"/>
      <c r="F24" s="549" t="s">
        <v>382</v>
      </c>
      <c r="G24" s="551" t="s">
        <v>412</v>
      </c>
      <c r="H24" s="536" t="s">
        <v>413</v>
      </c>
      <c r="I24" s="124"/>
      <c r="J24" s="124"/>
      <c r="K24" s="124"/>
      <c r="L24" s="123"/>
      <c r="M24" s="123"/>
      <c r="N24" s="123"/>
      <c r="O24" s="123"/>
    </row>
    <row r="25" spans="2:15" ht="15.95" customHeight="1">
      <c r="B25" s="552" t="s">
        <v>388</v>
      </c>
      <c r="C25" s="553"/>
      <c r="D25" s="554" t="s">
        <v>220</v>
      </c>
      <c r="E25" s="124"/>
      <c r="F25" s="559" t="s">
        <v>221</v>
      </c>
      <c r="G25" s="560" t="s">
        <v>414</v>
      </c>
      <c r="H25" s="561">
        <v>1000</v>
      </c>
      <c r="I25" s="562"/>
      <c r="J25" s="124"/>
      <c r="K25" s="124"/>
      <c r="L25" s="123"/>
      <c r="M25" s="123"/>
      <c r="N25" s="123"/>
      <c r="O25" s="123"/>
    </row>
    <row r="26" spans="2:15" ht="15.95" customHeight="1">
      <c r="B26" s="552" t="s">
        <v>390</v>
      </c>
      <c r="C26" s="553"/>
      <c r="D26" s="554" t="s">
        <v>395</v>
      </c>
      <c r="E26" s="124"/>
      <c r="F26" s="559" t="s">
        <v>110</v>
      </c>
      <c r="G26" s="560" t="s">
        <v>415</v>
      </c>
      <c r="H26" s="561">
        <v>1000000</v>
      </c>
      <c r="I26" s="562"/>
      <c r="J26" s="124"/>
      <c r="K26" s="124"/>
      <c r="L26" s="123"/>
      <c r="M26" s="123"/>
      <c r="N26" s="123"/>
      <c r="O26" s="123"/>
    </row>
    <row r="27" spans="2:15" ht="15.95" customHeight="1">
      <c r="B27" s="552" t="s">
        <v>389</v>
      </c>
      <c r="C27" s="553"/>
      <c r="D27" s="554" t="s">
        <v>37</v>
      </c>
      <c r="E27" s="344"/>
      <c r="F27" s="559" t="s">
        <v>222</v>
      </c>
      <c r="G27" s="560" t="s">
        <v>416</v>
      </c>
      <c r="H27" s="561">
        <v>1000000000</v>
      </c>
      <c r="I27" s="562"/>
      <c r="J27" s="124"/>
      <c r="K27" s="124"/>
      <c r="L27" s="123"/>
      <c r="M27" s="123"/>
      <c r="N27" s="123"/>
      <c r="O27" s="123"/>
    </row>
    <row r="28" spans="2:15" ht="15.95" customHeight="1">
      <c r="B28" s="552" t="s">
        <v>391</v>
      </c>
      <c r="C28" s="553"/>
      <c r="D28" s="554" t="s">
        <v>396</v>
      </c>
      <c r="E28" s="124"/>
      <c r="F28" s="559" t="s">
        <v>100</v>
      </c>
      <c r="G28" s="560" t="s">
        <v>417</v>
      </c>
      <c r="H28" s="561">
        <v>1000000000000</v>
      </c>
      <c r="I28" s="562"/>
      <c r="J28" s="124"/>
      <c r="K28" s="124"/>
      <c r="L28" s="123"/>
      <c r="M28" s="123"/>
      <c r="N28" s="123"/>
      <c r="O28" s="123"/>
    </row>
    <row r="29" spans="2:15" ht="15.95" customHeight="1">
      <c r="B29" s="538" t="s">
        <v>392</v>
      </c>
      <c r="C29" s="538"/>
      <c r="D29" s="557" t="s">
        <v>366</v>
      </c>
      <c r="E29" s="124"/>
      <c r="F29" s="563" t="s">
        <v>223</v>
      </c>
      <c r="G29" s="564" t="s">
        <v>418</v>
      </c>
      <c r="H29" s="561">
        <v>1000000000000000</v>
      </c>
      <c r="I29" s="562"/>
      <c r="J29" s="124"/>
      <c r="K29" s="124"/>
      <c r="L29" s="123"/>
      <c r="M29" s="123"/>
      <c r="N29" s="123"/>
      <c r="O29" s="123"/>
    </row>
    <row r="30" spans="2:15">
      <c r="B30" s="558"/>
      <c r="C30" s="558"/>
      <c r="D30" s="558"/>
      <c r="E30" s="123"/>
      <c r="F30" s="558"/>
      <c r="G30" s="558"/>
      <c r="H30" s="558"/>
      <c r="I30" s="558"/>
      <c r="J30" s="123"/>
      <c r="K30" s="123"/>
      <c r="L30" s="123"/>
      <c r="M30" s="123"/>
      <c r="N30" s="123"/>
      <c r="O30" s="123"/>
    </row>
    <row r="31" spans="2:15">
      <c r="B31" s="343" t="s">
        <v>378</v>
      </c>
      <c r="C31" s="123"/>
      <c r="D31" s="123"/>
      <c r="E31" s="123"/>
      <c r="F31" s="123"/>
      <c r="G31" s="123"/>
      <c r="H31" s="123"/>
      <c r="I31" s="123"/>
      <c r="J31" s="123"/>
      <c r="K31" s="123"/>
      <c r="L31" s="123"/>
      <c r="M31" s="123"/>
      <c r="N31" s="123"/>
      <c r="O31" s="123"/>
    </row>
    <row r="32" spans="2:15">
      <c r="B32" s="343" t="s">
        <v>379</v>
      </c>
      <c r="C32" s="123"/>
      <c r="D32" s="123"/>
      <c r="E32" s="123"/>
      <c r="F32" s="123"/>
      <c r="G32" s="123"/>
      <c r="H32" s="123"/>
      <c r="I32" s="123"/>
      <c r="J32" s="123"/>
      <c r="K32" s="123"/>
      <c r="L32" s="123"/>
      <c r="M32" s="123"/>
      <c r="N32" s="123"/>
      <c r="O32" s="123"/>
    </row>
    <row r="33" spans="2:15">
      <c r="C33" s="123"/>
      <c r="D33" s="123"/>
      <c r="E33" s="123"/>
      <c r="F33" s="123"/>
      <c r="G33" s="123"/>
      <c r="H33" s="123"/>
      <c r="I33" s="123"/>
      <c r="J33" s="123"/>
      <c r="K33" s="123"/>
      <c r="L33" s="123"/>
      <c r="M33" s="123"/>
      <c r="N33" s="123"/>
      <c r="O33" s="123"/>
    </row>
    <row r="34" spans="2:15">
      <c r="C34" s="123"/>
      <c r="D34" s="123"/>
      <c r="E34" s="123"/>
      <c r="F34" s="123"/>
      <c r="G34" s="123"/>
      <c r="H34" s="123"/>
      <c r="I34" s="123"/>
      <c r="J34" s="123"/>
      <c r="K34" s="123"/>
      <c r="L34" s="123"/>
      <c r="M34" s="123"/>
      <c r="N34" s="123"/>
      <c r="O34" s="123"/>
    </row>
    <row r="35" spans="2:15">
      <c r="B35" s="123"/>
      <c r="C35" s="123"/>
      <c r="D35" s="123"/>
      <c r="E35" s="123"/>
      <c r="F35" s="123"/>
      <c r="G35" s="123"/>
      <c r="H35" s="123"/>
      <c r="I35" s="123"/>
      <c r="J35" s="123"/>
      <c r="K35" s="123"/>
      <c r="L35" s="123"/>
      <c r="M35" s="123"/>
      <c r="N35" s="123"/>
      <c r="O35" s="123"/>
    </row>
    <row r="36" spans="2:15">
      <c r="B36" s="123"/>
      <c r="C36" s="123"/>
      <c r="D36" s="123"/>
      <c r="E36" s="123"/>
      <c r="F36" s="123"/>
      <c r="G36" s="123"/>
      <c r="H36" s="123"/>
      <c r="I36" s="123"/>
      <c r="J36" s="123"/>
      <c r="K36" s="123"/>
      <c r="L36" s="123"/>
      <c r="M36" s="123"/>
      <c r="N36" s="123"/>
      <c r="O36" s="123"/>
    </row>
    <row r="37" spans="2:15">
      <c r="B37" s="123"/>
      <c r="C37" s="123"/>
      <c r="D37" s="123"/>
      <c r="E37" s="123"/>
      <c r="F37" s="123"/>
      <c r="G37" s="123"/>
      <c r="H37" s="123"/>
      <c r="I37" s="123"/>
      <c r="J37" s="123"/>
      <c r="K37" s="123"/>
      <c r="L37" s="123"/>
      <c r="M37" s="123"/>
      <c r="N37" s="123"/>
      <c r="O37" s="123"/>
    </row>
    <row r="38" spans="2:15">
      <c r="B38" s="123"/>
      <c r="C38" s="123"/>
      <c r="D38" s="123"/>
      <c r="E38" s="123"/>
      <c r="F38" s="123"/>
      <c r="G38" s="123"/>
      <c r="H38" s="123"/>
      <c r="I38" s="123"/>
      <c r="J38" s="123"/>
      <c r="K38" s="123"/>
      <c r="L38" s="123"/>
      <c r="M38" s="123"/>
      <c r="N38" s="123"/>
      <c r="O38" s="123"/>
    </row>
    <row r="39" spans="2:15">
      <c r="B39" s="123"/>
      <c r="C39" s="123"/>
      <c r="D39" s="123"/>
      <c r="E39" s="123"/>
      <c r="F39" s="123"/>
      <c r="G39" s="123"/>
      <c r="H39" s="123"/>
      <c r="I39" s="123"/>
      <c r="J39" s="123"/>
      <c r="K39" s="123"/>
      <c r="L39" s="123"/>
      <c r="M39" s="123"/>
      <c r="N39" s="123"/>
      <c r="O39" s="123"/>
    </row>
    <row r="40" spans="2:15">
      <c r="B40" s="123"/>
      <c r="C40" s="123"/>
      <c r="D40" s="123"/>
      <c r="E40" s="123"/>
      <c r="F40" s="123"/>
      <c r="G40" s="123"/>
      <c r="H40" s="123"/>
      <c r="I40" s="123"/>
      <c r="J40" s="123"/>
      <c r="K40" s="123"/>
      <c r="L40" s="123"/>
      <c r="M40" s="123"/>
      <c r="N40" s="123"/>
      <c r="O40" s="123"/>
    </row>
    <row r="41" spans="2:15">
      <c r="B41" s="123"/>
      <c r="C41" s="123"/>
      <c r="D41" s="123"/>
      <c r="E41" s="123"/>
      <c r="F41" s="123"/>
      <c r="G41" s="123"/>
      <c r="H41" s="123"/>
      <c r="I41" s="123"/>
      <c r="J41" s="123"/>
      <c r="K41" s="123"/>
      <c r="L41" s="123"/>
      <c r="M41" s="123"/>
      <c r="N41" s="123"/>
      <c r="O41" s="123"/>
    </row>
    <row r="42" spans="2:15">
      <c r="B42" s="2"/>
      <c r="C42" s="2"/>
      <c r="D42" s="2"/>
      <c r="E42" s="2"/>
      <c r="F42" s="2"/>
      <c r="G42" s="2"/>
      <c r="H42" s="2"/>
      <c r="I42" s="2"/>
      <c r="J42" s="2"/>
      <c r="K42" s="2"/>
    </row>
    <row r="43" spans="2:15">
      <c r="B43" s="2"/>
      <c r="C43" s="2"/>
      <c r="D43" s="2"/>
      <c r="E43" s="2"/>
      <c r="F43" s="2"/>
      <c r="G43" s="2"/>
      <c r="H43" s="2"/>
      <c r="I43" s="2"/>
      <c r="J43" s="2"/>
      <c r="K43" s="2"/>
    </row>
    <row r="44" spans="2:15">
      <c r="B44" s="2"/>
      <c r="C44" s="2"/>
      <c r="D44" s="2"/>
      <c r="E44" s="2"/>
      <c r="F44" s="2"/>
      <c r="G44" s="2"/>
      <c r="H44" s="2"/>
      <c r="I44" s="2"/>
      <c r="J44" s="2"/>
      <c r="K44" s="2"/>
    </row>
    <row r="45" spans="2:15">
      <c r="B45" s="2"/>
      <c r="C45" s="2"/>
      <c r="D45" s="2"/>
      <c r="E45" s="2"/>
      <c r="F45" s="2"/>
      <c r="G45" s="2"/>
      <c r="H45" s="2"/>
      <c r="I45" s="2"/>
      <c r="J45" s="2"/>
      <c r="K45" s="2"/>
    </row>
    <row r="46" spans="2:15">
      <c r="B46" s="2"/>
      <c r="C46" s="2"/>
      <c r="D46" s="2"/>
      <c r="E46" s="2"/>
      <c r="F46" s="2"/>
      <c r="G46" s="2"/>
      <c r="H46" s="2"/>
      <c r="I46" s="2"/>
      <c r="J46" s="2"/>
      <c r="K46" s="2"/>
    </row>
    <row r="47" spans="2:15">
      <c r="B47" s="2"/>
      <c r="C47" s="2"/>
      <c r="D47" s="2"/>
      <c r="E47" s="2"/>
      <c r="F47" s="2"/>
      <c r="G47" s="2"/>
      <c r="H47" s="2"/>
      <c r="I47" s="2"/>
      <c r="J47" s="2"/>
      <c r="K47" s="2"/>
    </row>
    <row r="48" spans="2:15">
      <c r="B48" s="2"/>
      <c r="C48" s="2"/>
      <c r="D48" s="2"/>
      <c r="E48" s="2"/>
      <c r="F48" s="2"/>
      <c r="G48" s="2"/>
      <c r="H48" s="2"/>
      <c r="I48" s="2"/>
      <c r="J48" s="2"/>
      <c r="K48" s="2"/>
    </row>
    <row r="49" spans="2:11">
      <c r="B49" s="2"/>
      <c r="C49" s="2"/>
      <c r="D49" s="2"/>
      <c r="E49" s="2"/>
      <c r="F49" s="2"/>
      <c r="G49" s="2"/>
      <c r="H49" s="2"/>
      <c r="I49" s="2"/>
      <c r="J49" s="2"/>
      <c r="K49" s="2"/>
    </row>
    <row r="50" spans="2:11">
      <c r="B50" s="2"/>
      <c r="C50" s="2"/>
      <c r="D50" s="2"/>
      <c r="E50" s="2"/>
      <c r="F50" s="2"/>
      <c r="G50" s="2"/>
      <c r="H50" s="2"/>
      <c r="I50" s="2"/>
      <c r="J50" s="2"/>
      <c r="K50" s="2"/>
    </row>
    <row r="51" spans="2:11">
      <c r="B51" s="2"/>
      <c r="C51" s="2"/>
      <c r="D51" s="2"/>
      <c r="E51" s="2"/>
      <c r="F51" s="2"/>
      <c r="G51" s="2"/>
      <c r="H51" s="2"/>
      <c r="I51" s="2"/>
      <c r="J51" s="2"/>
      <c r="K51" s="2"/>
    </row>
    <row r="52" spans="2:11">
      <c r="B52" s="2"/>
      <c r="C52" s="2"/>
      <c r="D52" s="2"/>
      <c r="E52" s="2"/>
      <c r="F52" s="2"/>
      <c r="G52" s="2"/>
      <c r="H52" s="2"/>
      <c r="I52" s="2"/>
      <c r="J52" s="2"/>
      <c r="K52" s="2"/>
    </row>
    <row r="53" spans="2:11">
      <c r="B53" s="2"/>
      <c r="C53" s="2"/>
      <c r="D53" s="2"/>
      <c r="E53" s="2"/>
      <c r="F53" s="2"/>
      <c r="G53" s="2"/>
      <c r="H53" s="2"/>
      <c r="I53" s="2"/>
      <c r="J53" s="2"/>
      <c r="K53" s="2"/>
    </row>
    <row r="54" spans="2:11">
      <c r="B54" s="2"/>
      <c r="C54" s="2"/>
      <c r="D54" s="2"/>
      <c r="E54" s="2"/>
      <c r="F54" s="2"/>
      <c r="G54" s="2"/>
      <c r="H54" s="2"/>
      <c r="I54" s="2"/>
      <c r="J54" s="2"/>
      <c r="K54" s="2"/>
    </row>
    <row r="55" spans="2:11" s="2" customFormat="1"/>
    <row r="56" spans="2:11" s="2" customFormat="1"/>
    <row r="57" spans="2:11" s="2" customFormat="1"/>
    <row r="58" spans="2:11" s="2" customFormat="1"/>
    <row r="59" spans="2:11" s="2" customFormat="1"/>
    <row r="60" spans="2:11" s="2" customFormat="1"/>
    <row r="61" spans="2:11" s="2" customFormat="1"/>
    <row r="62" spans="2:11" s="2" customFormat="1"/>
    <row r="63" spans="2:11" s="2" customFormat="1"/>
    <row r="64" spans="2:11"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sheetData>
  <mergeCells count="6">
    <mergeCell ref="F23:H23"/>
    <mergeCell ref="B2:K2"/>
    <mergeCell ref="B3:K3"/>
    <mergeCell ref="B17:D17"/>
    <mergeCell ref="F17:G17"/>
    <mergeCell ref="I17:J17"/>
  </mergeCells>
  <phoneticPr fontId="0" type="noConversion"/>
  <hyperlinks>
    <hyperlink ref="M2" location="Índice!A1" display="VOLVER A INDICE"/>
  </hyperlinks>
  <pageMargins left="0.75" right="0.75" top="1" bottom="1" header="0" footer="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318"/>
  <sheetViews>
    <sheetView workbookViewId="0"/>
  </sheetViews>
  <sheetFormatPr baseColWidth="10" defaultRowHeight="12.75"/>
  <cols>
    <col min="1" max="1" width="6" style="360" customWidth="1"/>
    <col min="2" max="2" width="14.7109375" style="360" customWidth="1"/>
    <col min="3" max="3" width="24.85546875" style="674" customWidth="1"/>
    <col min="4" max="4" width="84.85546875" customWidth="1"/>
    <col min="257" max="257" width="6" customWidth="1"/>
    <col min="258" max="258" width="8.5703125" customWidth="1"/>
    <col min="259" max="259" width="81.140625" customWidth="1"/>
    <col min="265" max="265" width="12.85546875" customWidth="1"/>
    <col min="513" max="513" width="6" customWidth="1"/>
    <col min="514" max="514" width="8.5703125" customWidth="1"/>
    <col min="515" max="515" width="81.140625" customWidth="1"/>
    <col min="521" max="521" width="12.85546875" customWidth="1"/>
    <col min="769" max="769" width="6" customWidth="1"/>
    <col min="770" max="770" width="8.5703125" customWidth="1"/>
    <col min="771" max="771" width="81.140625" customWidth="1"/>
    <col min="777" max="777" width="12.85546875" customWidth="1"/>
    <col min="1025" max="1025" width="6" customWidth="1"/>
    <col min="1026" max="1026" width="8.5703125" customWidth="1"/>
    <col min="1027" max="1027" width="81.140625" customWidth="1"/>
    <col min="1033" max="1033" width="12.85546875" customWidth="1"/>
    <col min="1281" max="1281" width="6" customWidth="1"/>
    <col min="1282" max="1282" width="8.5703125" customWidth="1"/>
    <col min="1283" max="1283" width="81.140625" customWidth="1"/>
    <col min="1289" max="1289" width="12.85546875" customWidth="1"/>
    <col min="1537" max="1537" width="6" customWidth="1"/>
    <col min="1538" max="1538" width="8.5703125" customWidth="1"/>
    <col min="1539" max="1539" width="81.140625" customWidth="1"/>
    <col min="1545" max="1545" width="12.85546875" customWidth="1"/>
    <col min="1793" max="1793" width="6" customWidth="1"/>
    <col min="1794" max="1794" width="8.5703125" customWidth="1"/>
    <col min="1795" max="1795" width="81.140625" customWidth="1"/>
    <col min="1801" max="1801" width="12.85546875" customWidth="1"/>
    <col min="2049" max="2049" width="6" customWidth="1"/>
    <col min="2050" max="2050" width="8.5703125" customWidth="1"/>
    <col min="2051" max="2051" width="81.140625" customWidth="1"/>
    <col min="2057" max="2057" width="12.85546875" customWidth="1"/>
    <col min="2305" max="2305" width="6" customWidth="1"/>
    <col min="2306" max="2306" width="8.5703125" customWidth="1"/>
    <col min="2307" max="2307" width="81.140625" customWidth="1"/>
    <col min="2313" max="2313" width="12.85546875" customWidth="1"/>
    <col min="2561" max="2561" width="6" customWidth="1"/>
    <col min="2562" max="2562" width="8.5703125" customWidth="1"/>
    <col min="2563" max="2563" width="81.140625" customWidth="1"/>
    <col min="2569" max="2569" width="12.85546875" customWidth="1"/>
    <col min="2817" max="2817" width="6" customWidth="1"/>
    <col min="2818" max="2818" width="8.5703125" customWidth="1"/>
    <col min="2819" max="2819" width="81.140625" customWidth="1"/>
    <col min="2825" max="2825" width="12.85546875" customWidth="1"/>
    <col min="3073" max="3073" width="6" customWidth="1"/>
    <col min="3074" max="3074" width="8.5703125" customWidth="1"/>
    <col min="3075" max="3075" width="81.140625" customWidth="1"/>
    <col min="3081" max="3081" width="12.85546875" customWidth="1"/>
    <col min="3329" max="3329" width="6" customWidth="1"/>
    <col min="3330" max="3330" width="8.5703125" customWidth="1"/>
    <col min="3331" max="3331" width="81.140625" customWidth="1"/>
    <col min="3337" max="3337" width="12.85546875" customWidth="1"/>
    <col min="3585" max="3585" width="6" customWidth="1"/>
    <col min="3586" max="3586" width="8.5703125" customWidth="1"/>
    <col min="3587" max="3587" width="81.140625" customWidth="1"/>
    <col min="3593" max="3593" width="12.85546875" customWidth="1"/>
    <col min="3841" max="3841" width="6" customWidth="1"/>
    <col min="3842" max="3842" width="8.5703125" customWidth="1"/>
    <col min="3843" max="3843" width="81.140625" customWidth="1"/>
    <col min="3849" max="3849" width="12.85546875" customWidth="1"/>
    <col min="4097" max="4097" width="6" customWidth="1"/>
    <col min="4098" max="4098" width="8.5703125" customWidth="1"/>
    <col min="4099" max="4099" width="81.140625" customWidth="1"/>
    <col min="4105" max="4105" width="12.85546875" customWidth="1"/>
    <col min="4353" max="4353" width="6" customWidth="1"/>
    <col min="4354" max="4354" width="8.5703125" customWidth="1"/>
    <col min="4355" max="4355" width="81.140625" customWidth="1"/>
    <col min="4361" max="4361" width="12.85546875" customWidth="1"/>
    <col min="4609" max="4609" width="6" customWidth="1"/>
    <col min="4610" max="4610" width="8.5703125" customWidth="1"/>
    <col min="4611" max="4611" width="81.140625" customWidth="1"/>
    <col min="4617" max="4617" width="12.85546875" customWidth="1"/>
    <col min="4865" max="4865" width="6" customWidth="1"/>
    <col min="4866" max="4866" width="8.5703125" customWidth="1"/>
    <col min="4867" max="4867" width="81.140625" customWidth="1"/>
    <col min="4873" max="4873" width="12.85546875" customWidth="1"/>
    <col min="5121" max="5121" width="6" customWidth="1"/>
    <col min="5122" max="5122" width="8.5703125" customWidth="1"/>
    <col min="5123" max="5123" width="81.140625" customWidth="1"/>
    <col min="5129" max="5129" width="12.85546875" customWidth="1"/>
    <col min="5377" max="5377" width="6" customWidth="1"/>
    <col min="5378" max="5378" width="8.5703125" customWidth="1"/>
    <col min="5379" max="5379" width="81.140625" customWidth="1"/>
    <col min="5385" max="5385" width="12.85546875" customWidth="1"/>
    <col min="5633" max="5633" width="6" customWidth="1"/>
    <col min="5634" max="5634" width="8.5703125" customWidth="1"/>
    <col min="5635" max="5635" width="81.140625" customWidth="1"/>
    <col min="5641" max="5641" width="12.85546875" customWidth="1"/>
    <col min="5889" max="5889" width="6" customWidth="1"/>
    <col min="5890" max="5890" width="8.5703125" customWidth="1"/>
    <col min="5891" max="5891" width="81.140625" customWidth="1"/>
    <col min="5897" max="5897" width="12.85546875" customWidth="1"/>
    <col min="6145" max="6145" width="6" customWidth="1"/>
    <col min="6146" max="6146" width="8.5703125" customWidth="1"/>
    <col min="6147" max="6147" width="81.140625" customWidth="1"/>
    <col min="6153" max="6153" width="12.85546875" customWidth="1"/>
    <col min="6401" max="6401" width="6" customWidth="1"/>
    <col min="6402" max="6402" width="8.5703125" customWidth="1"/>
    <col min="6403" max="6403" width="81.140625" customWidth="1"/>
    <col min="6409" max="6409" width="12.85546875" customWidth="1"/>
    <col min="6657" max="6657" width="6" customWidth="1"/>
    <col min="6658" max="6658" width="8.5703125" customWidth="1"/>
    <col min="6659" max="6659" width="81.140625" customWidth="1"/>
    <col min="6665" max="6665" width="12.85546875" customWidth="1"/>
    <col min="6913" max="6913" width="6" customWidth="1"/>
    <col min="6914" max="6914" width="8.5703125" customWidth="1"/>
    <col min="6915" max="6915" width="81.140625" customWidth="1"/>
    <col min="6921" max="6921" width="12.85546875" customWidth="1"/>
    <col min="7169" max="7169" width="6" customWidth="1"/>
    <col min="7170" max="7170" width="8.5703125" customWidth="1"/>
    <col min="7171" max="7171" width="81.140625" customWidth="1"/>
    <col min="7177" max="7177" width="12.85546875" customWidth="1"/>
    <col min="7425" max="7425" width="6" customWidth="1"/>
    <col min="7426" max="7426" width="8.5703125" customWidth="1"/>
    <col min="7427" max="7427" width="81.140625" customWidth="1"/>
    <col min="7433" max="7433" width="12.85546875" customWidth="1"/>
    <col min="7681" max="7681" width="6" customWidth="1"/>
    <col min="7682" max="7682" width="8.5703125" customWidth="1"/>
    <col min="7683" max="7683" width="81.140625" customWidth="1"/>
    <col min="7689" max="7689" width="12.85546875" customWidth="1"/>
    <col min="7937" max="7937" width="6" customWidth="1"/>
    <col min="7938" max="7938" width="8.5703125" customWidth="1"/>
    <col min="7939" max="7939" width="81.140625" customWidth="1"/>
    <col min="7945" max="7945" width="12.85546875" customWidth="1"/>
    <col min="8193" max="8193" width="6" customWidth="1"/>
    <col min="8194" max="8194" width="8.5703125" customWidth="1"/>
    <col min="8195" max="8195" width="81.140625" customWidth="1"/>
    <col min="8201" max="8201" width="12.85546875" customWidth="1"/>
    <col min="8449" max="8449" width="6" customWidth="1"/>
    <col min="8450" max="8450" width="8.5703125" customWidth="1"/>
    <col min="8451" max="8451" width="81.140625" customWidth="1"/>
    <col min="8457" max="8457" width="12.85546875" customWidth="1"/>
    <col min="8705" max="8705" width="6" customWidth="1"/>
    <col min="8706" max="8706" width="8.5703125" customWidth="1"/>
    <col min="8707" max="8707" width="81.140625" customWidth="1"/>
    <col min="8713" max="8713" width="12.85546875" customWidth="1"/>
    <col min="8961" max="8961" width="6" customWidth="1"/>
    <col min="8962" max="8962" width="8.5703125" customWidth="1"/>
    <col min="8963" max="8963" width="81.140625" customWidth="1"/>
    <col min="8969" max="8969" width="12.85546875" customWidth="1"/>
    <col min="9217" max="9217" width="6" customWidth="1"/>
    <col min="9218" max="9218" width="8.5703125" customWidth="1"/>
    <col min="9219" max="9219" width="81.140625" customWidth="1"/>
    <col min="9225" max="9225" width="12.85546875" customWidth="1"/>
    <col min="9473" max="9473" width="6" customWidth="1"/>
    <col min="9474" max="9474" width="8.5703125" customWidth="1"/>
    <col min="9475" max="9475" width="81.140625" customWidth="1"/>
    <col min="9481" max="9481" width="12.85546875" customWidth="1"/>
    <col min="9729" max="9729" width="6" customWidth="1"/>
    <col min="9730" max="9730" width="8.5703125" customWidth="1"/>
    <col min="9731" max="9731" width="81.140625" customWidth="1"/>
    <col min="9737" max="9737" width="12.85546875" customWidth="1"/>
    <col min="9985" max="9985" width="6" customWidth="1"/>
    <col min="9986" max="9986" width="8.5703125" customWidth="1"/>
    <col min="9987" max="9987" width="81.140625" customWidth="1"/>
    <col min="9993" max="9993" width="12.85546875" customWidth="1"/>
    <col min="10241" max="10241" width="6" customWidth="1"/>
    <col min="10242" max="10242" width="8.5703125" customWidth="1"/>
    <col min="10243" max="10243" width="81.140625" customWidth="1"/>
    <col min="10249" max="10249" width="12.85546875" customWidth="1"/>
    <col min="10497" max="10497" width="6" customWidth="1"/>
    <col min="10498" max="10498" width="8.5703125" customWidth="1"/>
    <col min="10499" max="10499" width="81.140625" customWidth="1"/>
    <col min="10505" max="10505" width="12.85546875" customWidth="1"/>
    <col min="10753" max="10753" width="6" customWidth="1"/>
    <col min="10754" max="10754" width="8.5703125" customWidth="1"/>
    <col min="10755" max="10755" width="81.140625" customWidth="1"/>
    <col min="10761" max="10761" width="12.85546875" customWidth="1"/>
    <col min="11009" max="11009" width="6" customWidth="1"/>
    <col min="11010" max="11010" width="8.5703125" customWidth="1"/>
    <col min="11011" max="11011" width="81.140625" customWidth="1"/>
    <col min="11017" max="11017" width="12.85546875" customWidth="1"/>
    <col min="11265" max="11265" width="6" customWidth="1"/>
    <col min="11266" max="11266" width="8.5703125" customWidth="1"/>
    <col min="11267" max="11267" width="81.140625" customWidth="1"/>
    <col min="11273" max="11273" width="12.85546875" customWidth="1"/>
    <col min="11521" max="11521" width="6" customWidth="1"/>
    <col min="11522" max="11522" width="8.5703125" customWidth="1"/>
    <col min="11523" max="11523" width="81.140625" customWidth="1"/>
    <col min="11529" max="11529" width="12.85546875" customWidth="1"/>
    <col min="11777" max="11777" width="6" customWidth="1"/>
    <col min="11778" max="11778" width="8.5703125" customWidth="1"/>
    <col min="11779" max="11779" width="81.140625" customWidth="1"/>
    <col min="11785" max="11785" width="12.85546875" customWidth="1"/>
    <col min="12033" max="12033" width="6" customWidth="1"/>
    <col min="12034" max="12034" width="8.5703125" customWidth="1"/>
    <col min="12035" max="12035" width="81.140625" customWidth="1"/>
    <col min="12041" max="12041" width="12.85546875" customWidth="1"/>
    <col min="12289" max="12289" width="6" customWidth="1"/>
    <col min="12290" max="12290" width="8.5703125" customWidth="1"/>
    <col min="12291" max="12291" width="81.140625" customWidth="1"/>
    <col min="12297" max="12297" width="12.85546875" customWidth="1"/>
    <col min="12545" max="12545" width="6" customWidth="1"/>
    <col min="12546" max="12546" width="8.5703125" customWidth="1"/>
    <col min="12547" max="12547" width="81.140625" customWidth="1"/>
    <col min="12553" max="12553" width="12.85546875" customWidth="1"/>
    <col min="12801" max="12801" width="6" customWidth="1"/>
    <col min="12802" max="12802" width="8.5703125" customWidth="1"/>
    <col min="12803" max="12803" width="81.140625" customWidth="1"/>
    <col min="12809" max="12809" width="12.85546875" customWidth="1"/>
    <col min="13057" max="13057" width="6" customWidth="1"/>
    <col min="13058" max="13058" width="8.5703125" customWidth="1"/>
    <col min="13059" max="13059" width="81.140625" customWidth="1"/>
    <col min="13065" max="13065" width="12.85546875" customWidth="1"/>
    <col min="13313" max="13313" width="6" customWidth="1"/>
    <col min="13314" max="13314" width="8.5703125" customWidth="1"/>
    <col min="13315" max="13315" width="81.140625" customWidth="1"/>
    <col min="13321" max="13321" width="12.85546875" customWidth="1"/>
    <col min="13569" max="13569" width="6" customWidth="1"/>
    <col min="13570" max="13570" width="8.5703125" customWidth="1"/>
    <col min="13571" max="13571" width="81.140625" customWidth="1"/>
    <col min="13577" max="13577" width="12.85546875" customWidth="1"/>
    <col min="13825" max="13825" width="6" customWidth="1"/>
    <col min="13826" max="13826" width="8.5703125" customWidth="1"/>
    <col min="13827" max="13827" width="81.140625" customWidth="1"/>
    <col min="13833" max="13833" width="12.85546875" customWidth="1"/>
    <col min="14081" max="14081" width="6" customWidth="1"/>
    <col min="14082" max="14082" width="8.5703125" customWidth="1"/>
    <col min="14083" max="14083" width="81.140625" customWidth="1"/>
    <col min="14089" max="14089" width="12.85546875" customWidth="1"/>
    <col min="14337" max="14337" width="6" customWidth="1"/>
    <col min="14338" max="14338" width="8.5703125" customWidth="1"/>
    <col min="14339" max="14339" width="81.140625" customWidth="1"/>
    <col min="14345" max="14345" width="12.85546875" customWidth="1"/>
    <col min="14593" max="14593" width="6" customWidth="1"/>
    <col min="14594" max="14594" width="8.5703125" customWidth="1"/>
    <col min="14595" max="14595" width="81.140625" customWidth="1"/>
    <col min="14601" max="14601" width="12.85546875" customWidth="1"/>
    <col min="14849" max="14849" width="6" customWidth="1"/>
    <col min="14850" max="14850" width="8.5703125" customWidth="1"/>
    <col min="14851" max="14851" width="81.140625" customWidth="1"/>
    <col min="14857" max="14857" width="12.85546875" customWidth="1"/>
    <col min="15105" max="15105" width="6" customWidth="1"/>
    <col min="15106" max="15106" width="8.5703125" customWidth="1"/>
    <col min="15107" max="15107" width="81.140625" customWidth="1"/>
    <col min="15113" max="15113" width="12.85546875" customWidth="1"/>
    <col min="15361" max="15361" width="6" customWidth="1"/>
    <col min="15362" max="15362" width="8.5703125" customWidth="1"/>
    <col min="15363" max="15363" width="81.140625" customWidth="1"/>
    <col min="15369" max="15369" width="12.85546875" customWidth="1"/>
    <col min="15617" max="15617" width="6" customWidth="1"/>
    <col min="15618" max="15618" width="8.5703125" customWidth="1"/>
    <col min="15619" max="15619" width="81.140625" customWidth="1"/>
    <col min="15625" max="15625" width="12.85546875" customWidth="1"/>
    <col min="15873" max="15873" width="6" customWidth="1"/>
    <col min="15874" max="15874" width="8.5703125" customWidth="1"/>
    <col min="15875" max="15875" width="81.140625" customWidth="1"/>
    <col min="15881" max="15881" width="12.85546875" customWidth="1"/>
    <col min="16129" max="16129" width="6" customWidth="1"/>
    <col min="16130" max="16130" width="8.5703125" customWidth="1"/>
    <col min="16131" max="16131" width="81.140625" customWidth="1"/>
    <col min="16137" max="16137" width="12.85546875" customWidth="1"/>
  </cols>
  <sheetData>
    <row r="1" spans="1:6" s="360" customFormat="1" ht="13.5" thickBot="1">
      <c r="C1" s="673"/>
    </row>
    <row r="2" spans="1:6" s="2" customFormat="1" ht="12" customHeight="1">
      <c r="A2" s="360"/>
      <c r="B2" s="896" t="s">
        <v>541</v>
      </c>
      <c r="C2" s="897"/>
      <c r="D2" s="898"/>
      <c r="F2" s="285" t="s">
        <v>229</v>
      </c>
    </row>
    <row r="3" spans="1:6" s="2" customFormat="1" ht="20.25" customHeight="1">
      <c r="A3" s="360"/>
      <c r="B3" s="899"/>
      <c r="C3" s="900"/>
      <c r="D3" s="901"/>
      <c r="F3" s="360"/>
    </row>
    <row r="4" spans="1:6" s="2" customFormat="1" ht="12.75" customHeight="1" thickBot="1">
      <c r="A4" s="360"/>
      <c r="B4" s="902"/>
      <c r="C4" s="903"/>
      <c r="D4" s="904"/>
      <c r="F4" s="360"/>
    </row>
    <row r="5" spans="1:6" s="360" customFormat="1" ht="14.25" customHeight="1">
      <c r="B5" s="905" t="s">
        <v>592</v>
      </c>
      <c r="C5" s="917" t="s">
        <v>593</v>
      </c>
      <c r="D5" s="915" t="s">
        <v>591</v>
      </c>
    </row>
    <row r="6" spans="1:6" s="360" customFormat="1" ht="12.75" customHeight="1">
      <c r="B6" s="906"/>
      <c r="C6" s="911"/>
      <c r="D6" s="916"/>
    </row>
    <row r="7" spans="1:6" s="360" customFormat="1" ht="12.75" customHeight="1">
      <c r="B7" s="906"/>
      <c r="C7" s="911"/>
      <c r="D7" s="916"/>
    </row>
    <row r="8" spans="1:6" s="360" customFormat="1" ht="12.75" customHeight="1">
      <c r="B8" s="906"/>
      <c r="C8" s="911"/>
      <c r="D8" s="916"/>
    </row>
    <row r="9" spans="1:6" s="360" customFormat="1" ht="22.5" customHeight="1">
      <c r="B9" s="906"/>
      <c r="C9" s="911"/>
      <c r="D9" s="916"/>
    </row>
    <row r="10" spans="1:6" s="360" customFormat="1" ht="64.5" thickBot="1">
      <c r="B10" s="906"/>
      <c r="C10" s="702" t="s">
        <v>594</v>
      </c>
      <c r="D10" s="720" t="s">
        <v>590</v>
      </c>
    </row>
    <row r="11" spans="1:6" s="360" customFormat="1" ht="59.25" customHeight="1">
      <c r="B11" s="905" t="s">
        <v>596</v>
      </c>
      <c r="C11" s="721" t="s">
        <v>43</v>
      </c>
      <c r="D11" s="686" t="s">
        <v>542</v>
      </c>
    </row>
    <row r="12" spans="1:6" s="360" customFormat="1" ht="38.25">
      <c r="B12" s="906"/>
      <c r="C12" s="701" t="s">
        <v>42</v>
      </c>
      <c r="D12" s="687" t="s">
        <v>543</v>
      </c>
    </row>
    <row r="13" spans="1:6" s="360" customFormat="1" ht="57">
      <c r="B13" s="906"/>
      <c r="C13" s="893" t="s">
        <v>41</v>
      </c>
      <c r="D13" s="688" t="s">
        <v>544</v>
      </c>
    </row>
    <row r="14" spans="1:6" s="360" customFormat="1" ht="57">
      <c r="B14" s="906"/>
      <c r="C14" s="894"/>
      <c r="D14" s="689" t="s">
        <v>545</v>
      </c>
    </row>
    <row r="15" spans="1:6" s="360" customFormat="1" ht="14.25">
      <c r="B15" s="906"/>
      <c r="C15" s="894"/>
      <c r="D15" s="690" t="s">
        <v>546</v>
      </c>
    </row>
    <row r="16" spans="1:6" s="360" customFormat="1">
      <c r="B16" s="906"/>
      <c r="C16" s="910"/>
      <c r="D16" s="691" t="s">
        <v>547</v>
      </c>
    </row>
    <row r="17" spans="2:4" s="360" customFormat="1">
      <c r="B17" s="906"/>
      <c r="C17" s="908" t="s">
        <v>292</v>
      </c>
      <c r="D17" s="912" t="s">
        <v>548</v>
      </c>
    </row>
    <row r="18" spans="2:4" s="360" customFormat="1">
      <c r="B18" s="906"/>
      <c r="C18" s="911"/>
      <c r="D18" s="913"/>
    </row>
    <row r="19" spans="2:4" s="360" customFormat="1">
      <c r="B19" s="906"/>
      <c r="C19" s="909"/>
      <c r="D19" s="914"/>
    </row>
    <row r="20" spans="2:4" s="360" customFormat="1" ht="57">
      <c r="B20" s="906"/>
      <c r="C20" s="701" t="s">
        <v>275</v>
      </c>
      <c r="D20" s="703" t="s">
        <v>549</v>
      </c>
    </row>
    <row r="21" spans="2:4" s="360" customFormat="1" ht="71.25">
      <c r="B21" s="906"/>
      <c r="C21" s="700" t="s">
        <v>481</v>
      </c>
      <c r="D21" s="704" t="s">
        <v>550</v>
      </c>
    </row>
    <row r="22" spans="2:4" s="360" customFormat="1" ht="42.75">
      <c r="B22" s="906"/>
      <c r="C22" s="700" t="s">
        <v>126</v>
      </c>
      <c r="D22" s="704" t="s">
        <v>551</v>
      </c>
    </row>
    <row r="23" spans="2:4" s="360" customFormat="1" ht="14.25">
      <c r="B23" s="906"/>
      <c r="C23" s="908" t="s">
        <v>478</v>
      </c>
      <c r="D23" s="705" t="s">
        <v>552</v>
      </c>
    </row>
    <row r="24" spans="2:4" s="360" customFormat="1">
      <c r="B24" s="906"/>
      <c r="C24" s="909"/>
      <c r="D24" s="685" t="s">
        <v>553</v>
      </c>
    </row>
    <row r="25" spans="2:4" s="360" customFormat="1" ht="42.75" customHeight="1">
      <c r="B25" s="906"/>
      <c r="C25" s="700" t="s">
        <v>277</v>
      </c>
      <c r="D25" s="706" t="s">
        <v>554</v>
      </c>
    </row>
    <row r="26" spans="2:4" s="360" customFormat="1" ht="43.5" customHeight="1">
      <c r="B26" s="906"/>
      <c r="C26" s="700" t="s">
        <v>279</v>
      </c>
      <c r="D26" s="706" t="s">
        <v>555</v>
      </c>
    </row>
    <row r="27" spans="2:4" s="360" customFormat="1" ht="31.5" customHeight="1">
      <c r="B27" s="906"/>
      <c r="C27" s="700" t="s">
        <v>274</v>
      </c>
      <c r="D27" s="707" t="s">
        <v>556</v>
      </c>
    </row>
    <row r="28" spans="2:4" s="360" customFormat="1" ht="28.5" customHeight="1">
      <c r="B28" s="906"/>
      <c r="C28" s="893" t="s">
        <v>135</v>
      </c>
      <c r="D28" s="708" t="s">
        <v>557</v>
      </c>
    </row>
    <row r="29" spans="2:4" s="360" customFormat="1" ht="28.5" customHeight="1">
      <c r="B29" s="906"/>
      <c r="C29" s="910"/>
      <c r="D29" s="709" t="s">
        <v>558</v>
      </c>
    </row>
    <row r="30" spans="2:4" s="360" customFormat="1" ht="43.5" customHeight="1">
      <c r="B30" s="906"/>
      <c r="C30" s="700" t="s">
        <v>477</v>
      </c>
      <c r="D30" s="707" t="s">
        <v>559</v>
      </c>
    </row>
    <row r="31" spans="2:4" s="360" customFormat="1" ht="14.25">
      <c r="B31" s="906"/>
      <c r="C31" s="893" t="s">
        <v>272</v>
      </c>
      <c r="D31" s="705" t="s">
        <v>560</v>
      </c>
    </row>
    <row r="32" spans="2:4" s="360" customFormat="1">
      <c r="B32" s="906"/>
      <c r="C32" s="910"/>
      <c r="D32" s="685" t="s">
        <v>561</v>
      </c>
    </row>
    <row r="33" spans="2:4" s="360" customFormat="1" ht="39.75" customHeight="1">
      <c r="B33" s="906"/>
      <c r="C33" s="893" t="s">
        <v>562</v>
      </c>
      <c r="D33" s="708" t="s">
        <v>563</v>
      </c>
    </row>
    <row r="34" spans="2:4" s="360" customFormat="1" ht="14.25">
      <c r="B34" s="906"/>
      <c r="C34" s="894"/>
      <c r="D34" s="710" t="s">
        <v>564</v>
      </c>
    </row>
    <row r="35" spans="2:4" s="360" customFormat="1" ht="14.25">
      <c r="B35" s="906"/>
      <c r="C35" s="894"/>
      <c r="D35" s="711" t="s">
        <v>565</v>
      </c>
    </row>
    <row r="36" spans="2:4" s="360" customFormat="1" ht="14.25">
      <c r="B36" s="906"/>
      <c r="C36" s="894"/>
      <c r="D36" s="710" t="s">
        <v>566</v>
      </c>
    </row>
    <row r="37" spans="2:4" s="360" customFormat="1" ht="14.25">
      <c r="B37" s="906"/>
      <c r="C37" s="910"/>
      <c r="D37" s="712" t="s">
        <v>567</v>
      </c>
    </row>
    <row r="38" spans="2:4" s="360" customFormat="1" ht="28.5">
      <c r="B38" s="906"/>
      <c r="C38" s="700" t="s">
        <v>38</v>
      </c>
      <c r="D38" s="707" t="s">
        <v>568</v>
      </c>
    </row>
    <row r="39" spans="2:4" s="360" customFormat="1" ht="28.5">
      <c r="B39" s="906"/>
      <c r="C39" s="893" t="s">
        <v>273</v>
      </c>
      <c r="D39" s="713" t="s">
        <v>569</v>
      </c>
    </row>
    <row r="40" spans="2:4" s="360" customFormat="1" ht="28.5" customHeight="1">
      <c r="B40" s="906"/>
      <c r="C40" s="910"/>
      <c r="D40" s="714" t="s">
        <v>570</v>
      </c>
    </row>
    <row r="41" spans="2:4" s="360" customFormat="1" ht="52.5" customHeight="1">
      <c r="B41" s="906"/>
      <c r="C41" s="700" t="s">
        <v>65</v>
      </c>
      <c r="D41" s="715" t="s">
        <v>571</v>
      </c>
    </row>
    <row r="42" spans="2:4" s="360" customFormat="1" ht="14.25">
      <c r="B42" s="906"/>
      <c r="C42" s="908" t="s">
        <v>40</v>
      </c>
      <c r="D42" s="705" t="s">
        <v>572</v>
      </c>
    </row>
    <row r="43" spans="2:4" s="360" customFormat="1" ht="15">
      <c r="B43" s="906"/>
      <c r="C43" s="911"/>
      <c r="D43" s="716" t="s">
        <v>573</v>
      </c>
    </row>
    <row r="44" spans="2:4" s="360" customFormat="1">
      <c r="B44" s="906"/>
      <c r="C44" s="909"/>
      <c r="D44" s="685" t="s">
        <v>574</v>
      </c>
    </row>
    <row r="45" spans="2:4" s="360" customFormat="1" ht="42.75">
      <c r="B45" s="906"/>
      <c r="C45" s="700" t="s">
        <v>270</v>
      </c>
      <c r="D45" s="717" t="s">
        <v>575</v>
      </c>
    </row>
    <row r="46" spans="2:4" s="360" customFormat="1" ht="60.75" customHeight="1">
      <c r="B46" s="906"/>
      <c r="C46" s="893" t="s">
        <v>125</v>
      </c>
      <c r="D46" s="708" t="s">
        <v>576</v>
      </c>
    </row>
    <row r="47" spans="2:4" s="360" customFormat="1" ht="75" customHeight="1">
      <c r="B47" s="906"/>
      <c r="C47" s="894"/>
      <c r="D47" s="718" t="s">
        <v>577</v>
      </c>
    </row>
    <row r="48" spans="2:4" s="360" customFormat="1" ht="14.25">
      <c r="B48" s="906"/>
      <c r="C48" s="894"/>
      <c r="D48" s="711" t="s">
        <v>578</v>
      </c>
    </row>
    <row r="49" spans="2:4" s="360" customFormat="1" ht="13.5" thickBot="1">
      <c r="B49" s="907"/>
      <c r="C49" s="895"/>
      <c r="D49" s="719" t="s">
        <v>579</v>
      </c>
    </row>
    <row r="50" spans="2:4" s="360" customFormat="1">
      <c r="C50" s="673"/>
    </row>
    <row r="51" spans="2:4" s="360" customFormat="1">
      <c r="C51" s="673"/>
    </row>
    <row r="52" spans="2:4" s="360" customFormat="1">
      <c r="C52" s="673"/>
    </row>
    <row r="53" spans="2:4" s="360" customFormat="1">
      <c r="C53" s="673"/>
    </row>
    <row r="54" spans="2:4" s="360" customFormat="1">
      <c r="C54" s="673"/>
    </row>
    <row r="55" spans="2:4" s="360" customFormat="1">
      <c r="C55" s="673"/>
    </row>
    <row r="56" spans="2:4" s="360" customFormat="1">
      <c r="C56" s="673"/>
    </row>
    <row r="57" spans="2:4" s="360" customFormat="1">
      <c r="C57" s="673"/>
    </row>
    <row r="58" spans="2:4" s="360" customFormat="1">
      <c r="C58" s="673"/>
    </row>
    <row r="59" spans="2:4" s="360" customFormat="1">
      <c r="C59" s="673"/>
    </row>
    <row r="60" spans="2:4" s="360" customFormat="1">
      <c r="C60" s="673"/>
    </row>
    <row r="61" spans="2:4" s="360" customFormat="1">
      <c r="C61" s="673"/>
    </row>
    <row r="62" spans="2:4" s="360" customFormat="1">
      <c r="C62" s="673"/>
    </row>
    <row r="63" spans="2:4" s="360" customFormat="1">
      <c r="C63" s="673"/>
    </row>
    <row r="64" spans="2:4" s="360" customFormat="1">
      <c r="C64" s="673"/>
    </row>
    <row r="65" spans="3:3" s="360" customFormat="1">
      <c r="C65" s="673"/>
    </row>
    <row r="66" spans="3:3" s="360" customFormat="1">
      <c r="C66" s="673"/>
    </row>
    <row r="67" spans="3:3" s="360" customFormat="1">
      <c r="C67" s="673"/>
    </row>
    <row r="68" spans="3:3" s="360" customFormat="1">
      <c r="C68" s="673"/>
    </row>
    <row r="69" spans="3:3" s="360" customFormat="1">
      <c r="C69" s="673"/>
    </row>
    <row r="70" spans="3:3" s="360" customFormat="1">
      <c r="C70" s="673"/>
    </row>
    <row r="71" spans="3:3" s="360" customFormat="1">
      <c r="C71" s="673"/>
    </row>
    <row r="72" spans="3:3" s="360" customFormat="1">
      <c r="C72" s="673"/>
    </row>
    <row r="73" spans="3:3" s="360" customFormat="1">
      <c r="C73" s="673"/>
    </row>
    <row r="74" spans="3:3" s="360" customFormat="1">
      <c r="C74" s="673"/>
    </row>
    <row r="75" spans="3:3" s="360" customFormat="1">
      <c r="C75" s="673"/>
    </row>
    <row r="76" spans="3:3" s="360" customFormat="1">
      <c r="C76" s="673"/>
    </row>
    <row r="77" spans="3:3" s="360" customFormat="1">
      <c r="C77" s="673"/>
    </row>
    <row r="78" spans="3:3" s="360" customFormat="1">
      <c r="C78" s="673"/>
    </row>
    <row r="79" spans="3:3" s="360" customFormat="1">
      <c r="C79" s="673"/>
    </row>
    <row r="80" spans="3:3" s="360" customFormat="1">
      <c r="C80" s="673"/>
    </row>
    <row r="81" spans="3:3" s="360" customFormat="1">
      <c r="C81" s="673"/>
    </row>
    <row r="82" spans="3:3" s="360" customFormat="1">
      <c r="C82" s="673"/>
    </row>
    <row r="83" spans="3:3" s="360" customFormat="1">
      <c r="C83" s="673"/>
    </row>
    <row r="84" spans="3:3" s="360" customFormat="1">
      <c r="C84" s="673"/>
    </row>
    <row r="85" spans="3:3" s="360" customFormat="1">
      <c r="C85" s="673"/>
    </row>
    <row r="86" spans="3:3" s="360" customFormat="1">
      <c r="C86" s="673"/>
    </row>
    <row r="87" spans="3:3" s="360" customFormat="1">
      <c r="C87" s="673"/>
    </row>
    <row r="88" spans="3:3" s="360" customFormat="1">
      <c r="C88" s="673"/>
    </row>
    <row r="89" spans="3:3" s="360" customFormat="1">
      <c r="C89" s="673"/>
    </row>
    <row r="90" spans="3:3" s="360" customFormat="1">
      <c r="C90" s="673"/>
    </row>
    <row r="91" spans="3:3" s="360" customFormat="1">
      <c r="C91" s="673"/>
    </row>
    <row r="92" spans="3:3" s="360" customFormat="1">
      <c r="C92" s="673"/>
    </row>
    <row r="93" spans="3:3" s="360" customFormat="1">
      <c r="C93" s="673"/>
    </row>
    <row r="94" spans="3:3" s="360" customFormat="1">
      <c r="C94" s="673"/>
    </row>
    <row r="95" spans="3:3" s="360" customFormat="1">
      <c r="C95" s="673"/>
    </row>
    <row r="96" spans="3:3" s="360" customFormat="1">
      <c r="C96" s="673"/>
    </row>
    <row r="97" spans="3:3" s="360" customFormat="1">
      <c r="C97" s="673"/>
    </row>
    <row r="98" spans="3:3" s="360" customFormat="1">
      <c r="C98" s="673"/>
    </row>
    <row r="99" spans="3:3" s="360" customFormat="1">
      <c r="C99" s="673"/>
    </row>
    <row r="100" spans="3:3" s="360" customFormat="1">
      <c r="C100" s="673"/>
    </row>
    <row r="101" spans="3:3" s="360" customFormat="1">
      <c r="C101" s="673"/>
    </row>
    <row r="102" spans="3:3" s="360" customFormat="1">
      <c r="C102" s="673"/>
    </row>
    <row r="103" spans="3:3" s="360" customFormat="1">
      <c r="C103" s="673"/>
    </row>
    <row r="104" spans="3:3" s="360" customFormat="1">
      <c r="C104" s="673"/>
    </row>
    <row r="105" spans="3:3" s="360" customFormat="1">
      <c r="C105" s="673"/>
    </row>
    <row r="106" spans="3:3" s="360" customFormat="1">
      <c r="C106" s="673"/>
    </row>
    <row r="107" spans="3:3" s="360" customFormat="1">
      <c r="C107" s="673"/>
    </row>
    <row r="108" spans="3:3" s="360" customFormat="1">
      <c r="C108" s="673"/>
    </row>
    <row r="109" spans="3:3" s="360" customFormat="1">
      <c r="C109" s="673"/>
    </row>
    <row r="110" spans="3:3" s="360" customFormat="1">
      <c r="C110" s="673"/>
    </row>
    <row r="111" spans="3:3" s="360" customFormat="1">
      <c r="C111" s="673"/>
    </row>
    <row r="112" spans="3:3" s="360" customFormat="1">
      <c r="C112" s="673"/>
    </row>
    <row r="113" spans="3:3" s="360" customFormat="1">
      <c r="C113" s="673"/>
    </row>
    <row r="114" spans="3:3" s="360" customFormat="1">
      <c r="C114" s="673"/>
    </row>
    <row r="115" spans="3:3" s="360" customFormat="1">
      <c r="C115" s="673"/>
    </row>
    <row r="116" spans="3:3" s="360" customFormat="1">
      <c r="C116" s="673"/>
    </row>
    <row r="117" spans="3:3" s="360" customFormat="1">
      <c r="C117" s="673"/>
    </row>
    <row r="118" spans="3:3" s="360" customFormat="1">
      <c r="C118" s="673"/>
    </row>
    <row r="119" spans="3:3" s="360" customFormat="1">
      <c r="C119" s="673"/>
    </row>
    <row r="120" spans="3:3" s="360" customFormat="1">
      <c r="C120" s="673"/>
    </row>
    <row r="121" spans="3:3" s="360" customFormat="1">
      <c r="C121" s="673"/>
    </row>
    <row r="122" spans="3:3" s="360" customFormat="1">
      <c r="C122" s="673"/>
    </row>
    <row r="123" spans="3:3" s="360" customFormat="1">
      <c r="C123" s="673"/>
    </row>
    <row r="124" spans="3:3" s="360" customFormat="1">
      <c r="C124" s="673"/>
    </row>
    <row r="125" spans="3:3" s="360" customFormat="1">
      <c r="C125" s="673"/>
    </row>
    <row r="126" spans="3:3" s="360" customFormat="1">
      <c r="C126" s="673"/>
    </row>
    <row r="127" spans="3:3" s="360" customFormat="1">
      <c r="C127" s="673"/>
    </row>
    <row r="128" spans="3:3" s="360" customFormat="1">
      <c r="C128" s="673"/>
    </row>
    <row r="129" spans="3:3" s="360" customFormat="1">
      <c r="C129" s="673"/>
    </row>
    <row r="130" spans="3:3" s="360" customFormat="1">
      <c r="C130" s="673"/>
    </row>
    <row r="131" spans="3:3" s="360" customFormat="1">
      <c r="C131" s="673"/>
    </row>
    <row r="132" spans="3:3" s="360" customFormat="1">
      <c r="C132" s="673"/>
    </row>
    <row r="133" spans="3:3" s="360" customFormat="1">
      <c r="C133" s="673"/>
    </row>
    <row r="134" spans="3:3" s="360" customFormat="1">
      <c r="C134" s="673"/>
    </row>
    <row r="135" spans="3:3" s="360" customFormat="1">
      <c r="C135" s="673"/>
    </row>
    <row r="136" spans="3:3" s="360" customFormat="1">
      <c r="C136" s="673"/>
    </row>
    <row r="137" spans="3:3" s="360" customFormat="1">
      <c r="C137" s="673"/>
    </row>
    <row r="138" spans="3:3" s="360" customFormat="1">
      <c r="C138" s="673"/>
    </row>
    <row r="139" spans="3:3" s="360" customFormat="1">
      <c r="C139" s="673"/>
    </row>
    <row r="140" spans="3:3" s="360" customFormat="1">
      <c r="C140" s="673"/>
    </row>
    <row r="141" spans="3:3" s="360" customFormat="1">
      <c r="C141" s="673"/>
    </row>
    <row r="142" spans="3:3" s="360" customFormat="1">
      <c r="C142" s="673"/>
    </row>
    <row r="143" spans="3:3" s="360" customFormat="1">
      <c r="C143" s="673"/>
    </row>
    <row r="144" spans="3:3" s="360" customFormat="1">
      <c r="C144" s="673"/>
    </row>
    <row r="145" spans="3:3" s="360" customFormat="1">
      <c r="C145" s="673"/>
    </row>
    <row r="146" spans="3:3" s="360" customFormat="1">
      <c r="C146" s="673"/>
    </row>
    <row r="147" spans="3:3" s="360" customFormat="1">
      <c r="C147" s="673"/>
    </row>
    <row r="148" spans="3:3" s="360" customFormat="1">
      <c r="C148" s="673"/>
    </row>
    <row r="149" spans="3:3" s="360" customFormat="1">
      <c r="C149" s="673"/>
    </row>
    <row r="150" spans="3:3" s="360" customFormat="1">
      <c r="C150" s="673"/>
    </row>
    <row r="151" spans="3:3" s="360" customFormat="1">
      <c r="C151" s="673"/>
    </row>
    <row r="152" spans="3:3" s="360" customFormat="1">
      <c r="C152" s="673"/>
    </row>
    <row r="153" spans="3:3" s="360" customFormat="1">
      <c r="C153" s="673"/>
    </row>
    <row r="154" spans="3:3" s="360" customFormat="1">
      <c r="C154" s="673"/>
    </row>
    <row r="155" spans="3:3" s="360" customFormat="1">
      <c r="C155" s="673"/>
    </row>
    <row r="156" spans="3:3" s="360" customFormat="1">
      <c r="C156" s="673"/>
    </row>
    <row r="157" spans="3:3" s="360" customFormat="1">
      <c r="C157" s="673"/>
    </row>
    <row r="158" spans="3:3" s="360" customFormat="1">
      <c r="C158" s="673"/>
    </row>
    <row r="159" spans="3:3" s="360" customFormat="1">
      <c r="C159" s="673"/>
    </row>
    <row r="160" spans="3:3" s="360" customFormat="1">
      <c r="C160" s="673"/>
    </row>
    <row r="161" spans="3:3" s="360" customFormat="1">
      <c r="C161" s="673"/>
    </row>
    <row r="162" spans="3:3" s="360" customFormat="1">
      <c r="C162" s="673"/>
    </row>
    <row r="163" spans="3:3" s="360" customFormat="1">
      <c r="C163" s="673"/>
    </row>
    <row r="164" spans="3:3" s="360" customFormat="1">
      <c r="C164" s="673"/>
    </row>
    <row r="165" spans="3:3" s="360" customFormat="1">
      <c r="C165" s="673"/>
    </row>
    <row r="166" spans="3:3" s="360" customFormat="1">
      <c r="C166" s="673"/>
    </row>
    <row r="167" spans="3:3" s="360" customFormat="1">
      <c r="C167" s="673"/>
    </row>
    <row r="168" spans="3:3" s="360" customFormat="1">
      <c r="C168" s="673"/>
    </row>
    <row r="169" spans="3:3" s="360" customFormat="1">
      <c r="C169" s="673"/>
    </row>
    <row r="170" spans="3:3" s="360" customFormat="1">
      <c r="C170" s="673"/>
    </row>
    <row r="171" spans="3:3" s="360" customFormat="1">
      <c r="C171" s="673"/>
    </row>
    <row r="172" spans="3:3" s="360" customFormat="1">
      <c r="C172" s="673"/>
    </row>
    <row r="173" spans="3:3" s="360" customFormat="1">
      <c r="C173" s="673"/>
    </row>
    <row r="174" spans="3:3" s="360" customFormat="1">
      <c r="C174" s="673"/>
    </row>
    <row r="175" spans="3:3" s="360" customFormat="1">
      <c r="C175" s="673"/>
    </row>
    <row r="176" spans="3:3" s="360" customFormat="1">
      <c r="C176" s="673"/>
    </row>
    <row r="177" spans="3:3" s="360" customFormat="1">
      <c r="C177" s="673"/>
    </row>
    <row r="178" spans="3:3" s="360" customFormat="1">
      <c r="C178" s="673"/>
    </row>
    <row r="179" spans="3:3" s="360" customFormat="1">
      <c r="C179" s="673"/>
    </row>
    <row r="180" spans="3:3" s="360" customFormat="1">
      <c r="C180" s="673"/>
    </row>
    <row r="181" spans="3:3" s="360" customFormat="1">
      <c r="C181" s="673"/>
    </row>
    <row r="182" spans="3:3" s="360" customFormat="1">
      <c r="C182" s="673"/>
    </row>
    <row r="183" spans="3:3" s="360" customFormat="1">
      <c r="C183" s="673"/>
    </row>
    <row r="184" spans="3:3" s="360" customFormat="1">
      <c r="C184" s="673"/>
    </row>
    <row r="185" spans="3:3" s="360" customFormat="1">
      <c r="C185" s="673"/>
    </row>
    <row r="186" spans="3:3" s="360" customFormat="1">
      <c r="C186" s="673"/>
    </row>
    <row r="187" spans="3:3" s="360" customFormat="1">
      <c r="C187" s="673"/>
    </row>
    <row r="188" spans="3:3" s="360" customFormat="1">
      <c r="C188" s="673"/>
    </row>
    <row r="189" spans="3:3" s="360" customFormat="1">
      <c r="C189" s="673"/>
    </row>
    <row r="190" spans="3:3" s="360" customFormat="1">
      <c r="C190" s="673"/>
    </row>
    <row r="191" spans="3:3" s="360" customFormat="1">
      <c r="C191" s="673"/>
    </row>
    <row r="192" spans="3:3" s="360" customFormat="1">
      <c r="C192" s="673"/>
    </row>
    <row r="193" spans="3:3" s="360" customFormat="1">
      <c r="C193" s="673"/>
    </row>
    <row r="194" spans="3:3" s="360" customFormat="1">
      <c r="C194" s="673"/>
    </row>
    <row r="195" spans="3:3" s="360" customFormat="1">
      <c r="C195" s="673"/>
    </row>
    <row r="196" spans="3:3" s="360" customFormat="1">
      <c r="C196" s="673"/>
    </row>
    <row r="197" spans="3:3" s="360" customFormat="1">
      <c r="C197" s="673"/>
    </row>
    <row r="198" spans="3:3" s="360" customFormat="1">
      <c r="C198" s="673"/>
    </row>
    <row r="199" spans="3:3" s="360" customFormat="1">
      <c r="C199" s="673"/>
    </row>
    <row r="200" spans="3:3" s="360" customFormat="1">
      <c r="C200" s="673"/>
    </row>
    <row r="201" spans="3:3" s="360" customFormat="1">
      <c r="C201" s="673"/>
    </row>
    <row r="202" spans="3:3" s="360" customFormat="1">
      <c r="C202" s="673"/>
    </row>
    <row r="203" spans="3:3" s="360" customFormat="1">
      <c r="C203" s="673"/>
    </row>
    <row r="204" spans="3:3" s="360" customFormat="1">
      <c r="C204" s="673"/>
    </row>
    <row r="205" spans="3:3" s="360" customFormat="1">
      <c r="C205" s="673"/>
    </row>
    <row r="206" spans="3:3" s="360" customFormat="1">
      <c r="C206" s="673"/>
    </row>
    <row r="207" spans="3:3" s="360" customFormat="1">
      <c r="C207" s="673"/>
    </row>
    <row r="208" spans="3:3" s="360" customFormat="1">
      <c r="C208" s="673"/>
    </row>
    <row r="209" spans="3:3" s="360" customFormat="1">
      <c r="C209" s="673"/>
    </row>
    <row r="210" spans="3:3" s="360" customFormat="1">
      <c r="C210" s="673"/>
    </row>
    <row r="211" spans="3:3" s="360" customFormat="1">
      <c r="C211" s="673"/>
    </row>
    <row r="212" spans="3:3" s="360" customFormat="1">
      <c r="C212" s="673"/>
    </row>
    <row r="213" spans="3:3" s="360" customFormat="1">
      <c r="C213" s="673"/>
    </row>
    <row r="214" spans="3:3" s="360" customFormat="1">
      <c r="C214" s="673"/>
    </row>
    <row r="215" spans="3:3" s="360" customFormat="1">
      <c r="C215" s="673"/>
    </row>
    <row r="216" spans="3:3" s="360" customFormat="1">
      <c r="C216" s="673"/>
    </row>
    <row r="217" spans="3:3" s="360" customFormat="1">
      <c r="C217" s="673"/>
    </row>
    <row r="218" spans="3:3" s="360" customFormat="1">
      <c r="C218" s="673"/>
    </row>
    <row r="219" spans="3:3" s="360" customFormat="1">
      <c r="C219" s="673"/>
    </row>
    <row r="220" spans="3:3" s="360" customFormat="1">
      <c r="C220" s="673"/>
    </row>
    <row r="221" spans="3:3" s="360" customFormat="1">
      <c r="C221" s="673"/>
    </row>
    <row r="222" spans="3:3" s="360" customFormat="1">
      <c r="C222" s="673"/>
    </row>
    <row r="223" spans="3:3" s="360" customFormat="1">
      <c r="C223" s="673"/>
    </row>
    <row r="224" spans="3:3" s="360" customFormat="1">
      <c r="C224" s="673"/>
    </row>
    <row r="225" spans="3:3" s="360" customFormat="1">
      <c r="C225" s="673"/>
    </row>
    <row r="226" spans="3:3" s="360" customFormat="1">
      <c r="C226" s="673"/>
    </row>
    <row r="227" spans="3:3" s="360" customFormat="1">
      <c r="C227" s="673"/>
    </row>
    <row r="228" spans="3:3" s="360" customFormat="1">
      <c r="C228" s="673"/>
    </row>
    <row r="229" spans="3:3" s="360" customFormat="1">
      <c r="C229" s="673"/>
    </row>
    <row r="230" spans="3:3" s="360" customFormat="1">
      <c r="C230" s="673"/>
    </row>
    <row r="231" spans="3:3" s="360" customFormat="1">
      <c r="C231" s="673"/>
    </row>
    <row r="232" spans="3:3" s="360" customFormat="1">
      <c r="C232" s="673"/>
    </row>
    <row r="233" spans="3:3" s="360" customFormat="1">
      <c r="C233" s="673"/>
    </row>
    <row r="234" spans="3:3" s="360" customFormat="1">
      <c r="C234" s="673"/>
    </row>
    <row r="235" spans="3:3" s="360" customFormat="1">
      <c r="C235" s="673"/>
    </row>
    <row r="236" spans="3:3" s="360" customFormat="1">
      <c r="C236" s="673"/>
    </row>
    <row r="237" spans="3:3" s="360" customFormat="1">
      <c r="C237" s="673"/>
    </row>
    <row r="238" spans="3:3" s="360" customFormat="1">
      <c r="C238" s="673"/>
    </row>
    <row r="239" spans="3:3" s="360" customFormat="1">
      <c r="C239" s="673"/>
    </row>
    <row r="240" spans="3:3" s="360" customFormat="1">
      <c r="C240" s="673"/>
    </row>
    <row r="241" spans="3:3" s="360" customFormat="1">
      <c r="C241" s="673"/>
    </row>
    <row r="242" spans="3:3" s="360" customFormat="1">
      <c r="C242" s="673"/>
    </row>
    <row r="243" spans="3:3" s="360" customFormat="1">
      <c r="C243" s="673"/>
    </row>
    <row r="244" spans="3:3" s="360" customFormat="1">
      <c r="C244" s="673"/>
    </row>
    <row r="245" spans="3:3" s="360" customFormat="1">
      <c r="C245" s="673"/>
    </row>
    <row r="246" spans="3:3" s="360" customFormat="1">
      <c r="C246" s="673"/>
    </row>
    <row r="247" spans="3:3" s="360" customFormat="1">
      <c r="C247" s="673"/>
    </row>
    <row r="248" spans="3:3" s="360" customFormat="1">
      <c r="C248" s="673"/>
    </row>
    <row r="249" spans="3:3" s="360" customFormat="1">
      <c r="C249" s="673"/>
    </row>
    <row r="250" spans="3:3" s="360" customFormat="1">
      <c r="C250" s="673"/>
    </row>
    <row r="251" spans="3:3" s="360" customFormat="1">
      <c r="C251" s="673"/>
    </row>
    <row r="252" spans="3:3" s="360" customFormat="1">
      <c r="C252" s="673"/>
    </row>
    <row r="253" spans="3:3" s="360" customFormat="1">
      <c r="C253" s="673"/>
    </row>
    <row r="254" spans="3:3" s="360" customFormat="1">
      <c r="C254" s="673"/>
    </row>
    <row r="255" spans="3:3" s="360" customFormat="1">
      <c r="C255" s="673"/>
    </row>
    <row r="256" spans="3:3" s="360" customFormat="1">
      <c r="C256" s="673"/>
    </row>
    <row r="257" spans="3:3" s="360" customFormat="1">
      <c r="C257" s="673"/>
    </row>
    <row r="258" spans="3:3" s="360" customFormat="1">
      <c r="C258" s="673"/>
    </row>
    <row r="259" spans="3:3" s="360" customFormat="1">
      <c r="C259" s="673"/>
    </row>
    <row r="260" spans="3:3" s="360" customFormat="1">
      <c r="C260" s="673"/>
    </row>
    <row r="261" spans="3:3" s="360" customFormat="1">
      <c r="C261" s="673"/>
    </row>
    <row r="262" spans="3:3" s="360" customFormat="1">
      <c r="C262" s="673"/>
    </row>
    <row r="263" spans="3:3" s="360" customFormat="1">
      <c r="C263" s="673"/>
    </row>
    <row r="264" spans="3:3" s="360" customFormat="1">
      <c r="C264" s="673"/>
    </row>
    <row r="265" spans="3:3" s="360" customFormat="1">
      <c r="C265" s="673"/>
    </row>
    <row r="266" spans="3:3" s="360" customFormat="1">
      <c r="C266" s="673"/>
    </row>
    <row r="267" spans="3:3" s="360" customFormat="1">
      <c r="C267" s="673"/>
    </row>
    <row r="268" spans="3:3" s="360" customFormat="1">
      <c r="C268" s="673"/>
    </row>
    <row r="269" spans="3:3" s="360" customFormat="1">
      <c r="C269" s="673"/>
    </row>
    <row r="270" spans="3:3" s="360" customFormat="1">
      <c r="C270" s="673"/>
    </row>
    <row r="271" spans="3:3" s="360" customFormat="1">
      <c r="C271" s="673"/>
    </row>
    <row r="272" spans="3:3" s="360" customFormat="1">
      <c r="C272" s="673"/>
    </row>
    <row r="273" spans="3:3" s="360" customFormat="1">
      <c r="C273" s="673"/>
    </row>
    <row r="274" spans="3:3" s="360" customFormat="1">
      <c r="C274" s="673"/>
    </row>
    <row r="275" spans="3:3" s="360" customFormat="1">
      <c r="C275" s="673"/>
    </row>
    <row r="276" spans="3:3" s="360" customFormat="1">
      <c r="C276" s="673"/>
    </row>
    <row r="277" spans="3:3" s="360" customFormat="1">
      <c r="C277" s="673"/>
    </row>
    <row r="278" spans="3:3" s="360" customFormat="1">
      <c r="C278" s="673"/>
    </row>
    <row r="279" spans="3:3" s="360" customFormat="1">
      <c r="C279" s="673"/>
    </row>
    <row r="280" spans="3:3" s="360" customFormat="1">
      <c r="C280" s="673"/>
    </row>
    <row r="281" spans="3:3" s="360" customFormat="1">
      <c r="C281" s="673"/>
    </row>
    <row r="282" spans="3:3" s="360" customFormat="1">
      <c r="C282" s="673"/>
    </row>
    <row r="283" spans="3:3" s="360" customFormat="1">
      <c r="C283" s="673"/>
    </row>
    <row r="284" spans="3:3" s="360" customFormat="1">
      <c r="C284" s="673"/>
    </row>
    <row r="285" spans="3:3" s="360" customFormat="1">
      <c r="C285" s="673"/>
    </row>
    <row r="286" spans="3:3" s="360" customFormat="1">
      <c r="C286" s="673"/>
    </row>
    <row r="287" spans="3:3" s="360" customFormat="1">
      <c r="C287" s="673"/>
    </row>
    <row r="288" spans="3:3" s="360" customFormat="1">
      <c r="C288" s="673"/>
    </row>
    <row r="289" spans="3:3" s="360" customFormat="1">
      <c r="C289" s="673"/>
    </row>
    <row r="290" spans="3:3" s="360" customFormat="1">
      <c r="C290" s="673"/>
    </row>
    <row r="291" spans="3:3" s="360" customFormat="1">
      <c r="C291" s="673"/>
    </row>
    <row r="292" spans="3:3" s="360" customFormat="1">
      <c r="C292" s="673"/>
    </row>
    <row r="293" spans="3:3" s="360" customFormat="1">
      <c r="C293" s="673"/>
    </row>
    <row r="294" spans="3:3" s="360" customFormat="1">
      <c r="C294" s="673"/>
    </row>
    <row r="295" spans="3:3" s="360" customFormat="1">
      <c r="C295" s="673"/>
    </row>
    <row r="296" spans="3:3" s="360" customFormat="1">
      <c r="C296" s="673"/>
    </row>
    <row r="297" spans="3:3" s="360" customFormat="1">
      <c r="C297" s="673"/>
    </row>
    <row r="298" spans="3:3" s="360" customFormat="1">
      <c r="C298" s="673"/>
    </row>
    <row r="299" spans="3:3" s="360" customFormat="1">
      <c r="C299" s="673"/>
    </row>
    <row r="300" spans="3:3" s="360" customFormat="1">
      <c r="C300" s="673"/>
    </row>
    <row r="301" spans="3:3" s="360" customFormat="1">
      <c r="C301" s="673"/>
    </row>
    <row r="302" spans="3:3" s="360" customFormat="1">
      <c r="C302" s="673"/>
    </row>
    <row r="303" spans="3:3" s="360" customFormat="1">
      <c r="C303" s="673"/>
    </row>
    <row r="304" spans="3:3" s="360" customFormat="1">
      <c r="C304" s="673"/>
    </row>
    <row r="305" spans="3:3" s="360" customFormat="1">
      <c r="C305" s="673"/>
    </row>
    <row r="306" spans="3:3" s="360" customFormat="1">
      <c r="C306" s="673"/>
    </row>
    <row r="307" spans="3:3" s="360" customFormat="1">
      <c r="C307" s="673"/>
    </row>
    <row r="308" spans="3:3" s="360" customFormat="1">
      <c r="C308" s="673"/>
    </row>
    <row r="309" spans="3:3" s="360" customFormat="1">
      <c r="C309" s="673"/>
    </row>
    <row r="310" spans="3:3" s="360" customFormat="1">
      <c r="C310" s="673"/>
    </row>
    <row r="311" spans="3:3" s="360" customFormat="1">
      <c r="C311" s="673"/>
    </row>
    <row r="312" spans="3:3" s="360" customFormat="1">
      <c r="C312" s="673"/>
    </row>
    <row r="313" spans="3:3" s="360" customFormat="1">
      <c r="C313" s="673"/>
    </row>
    <row r="314" spans="3:3" s="360" customFormat="1">
      <c r="C314" s="673"/>
    </row>
    <row r="315" spans="3:3" s="360" customFormat="1">
      <c r="C315" s="673"/>
    </row>
    <row r="316" spans="3:3" s="360" customFormat="1">
      <c r="C316" s="673"/>
    </row>
    <row r="317" spans="3:3" s="360" customFormat="1">
      <c r="C317" s="673"/>
    </row>
    <row r="318" spans="3:3" s="360" customFormat="1">
      <c r="C318" s="673"/>
    </row>
  </sheetData>
  <mergeCells count="15">
    <mergeCell ref="C46:C49"/>
    <mergeCell ref="B2:D4"/>
    <mergeCell ref="B5:B10"/>
    <mergeCell ref="B11:B49"/>
    <mergeCell ref="C23:C24"/>
    <mergeCell ref="C28:C29"/>
    <mergeCell ref="C31:C32"/>
    <mergeCell ref="C33:C37"/>
    <mergeCell ref="C39:C40"/>
    <mergeCell ref="C42:C44"/>
    <mergeCell ref="D17:D19"/>
    <mergeCell ref="D5:D9"/>
    <mergeCell ref="C5:C9"/>
    <mergeCell ref="C13:C16"/>
    <mergeCell ref="C17:C19"/>
  </mergeCells>
  <hyperlinks>
    <hyperlink ref="F2" location="Índice!A1" display="VOLVER A INDI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tint="0.59999389629810485"/>
  </sheetPr>
  <dimension ref="A1:Q56"/>
  <sheetViews>
    <sheetView workbookViewId="0"/>
  </sheetViews>
  <sheetFormatPr baseColWidth="10" defaultRowHeight="12.75"/>
  <cols>
    <col min="1" max="1" width="3" style="2" customWidth="1"/>
    <col min="2" max="4" width="11.42578125" style="2"/>
    <col min="5" max="5" width="16.7109375" style="2" customWidth="1"/>
    <col min="6" max="6" width="22.7109375" style="2" customWidth="1"/>
    <col min="7" max="11" width="11.42578125" style="2"/>
    <col min="12" max="12" width="12" style="2" customWidth="1"/>
    <col min="13" max="15" width="11.42578125" style="2"/>
    <col min="16" max="16" width="23" style="2" customWidth="1"/>
    <col min="17" max="16384" width="11.42578125" style="2"/>
  </cols>
  <sheetData>
    <row r="1" spans="1:17">
      <c r="A1" s="160"/>
      <c r="B1" s="160"/>
      <c r="C1" s="160"/>
      <c r="D1" s="160"/>
      <c r="E1" s="160"/>
      <c r="F1" s="160"/>
      <c r="G1" s="160"/>
    </row>
    <row r="2" spans="1:17">
      <c r="A2" s="160"/>
      <c r="F2" s="187"/>
      <c r="G2" s="187"/>
    </row>
    <row r="3" spans="1:17" ht="18.75" customHeight="1">
      <c r="A3" s="187"/>
      <c r="B3" s="816" t="s">
        <v>228</v>
      </c>
      <c r="C3" s="817"/>
      <c r="D3" s="817"/>
      <c r="E3" s="817"/>
      <c r="F3" s="818"/>
      <c r="G3" s="187"/>
    </row>
    <row r="4" spans="1:17" ht="25.5">
      <c r="A4" s="160"/>
      <c r="B4" s="668" t="s">
        <v>442</v>
      </c>
      <c r="C4" s="678"/>
      <c r="D4" s="679"/>
      <c r="E4" s="680"/>
      <c r="F4" s="759" t="s">
        <v>583</v>
      </c>
      <c r="G4" s="187"/>
    </row>
    <row r="5" spans="1:17" ht="25.5">
      <c r="A5" s="160"/>
      <c r="B5" s="670" t="s">
        <v>443</v>
      </c>
      <c r="C5" s="681"/>
      <c r="D5" s="682"/>
      <c r="E5" s="683"/>
      <c r="F5" s="760" t="s">
        <v>584</v>
      </c>
      <c r="G5" s="187"/>
    </row>
    <row r="6" spans="1:17" ht="14.25" customHeight="1">
      <c r="A6" s="187"/>
      <c r="B6" s="187"/>
      <c r="C6" s="187"/>
      <c r="D6" s="187"/>
      <c r="E6" s="187"/>
      <c r="F6" s="187"/>
      <c r="G6" s="187"/>
    </row>
    <row r="7" spans="1:17" ht="14.25" customHeight="1">
      <c r="A7" s="187"/>
      <c r="F7" s="189"/>
      <c r="K7" s="205"/>
      <c r="Q7" s="205"/>
    </row>
    <row r="8" spans="1:17" s="207" customFormat="1" ht="20.25" customHeight="1">
      <c r="A8" s="205"/>
      <c r="B8" s="808" t="s">
        <v>231</v>
      </c>
      <c r="C8" s="809"/>
      <c r="D8" s="809"/>
      <c r="E8" s="809"/>
      <c r="F8" s="810"/>
      <c r="G8" s="811" t="s">
        <v>239</v>
      </c>
      <c r="H8" s="812"/>
      <c r="I8" s="812"/>
      <c r="J8" s="812"/>
      <c r="K8" s="812"/>
      <c r="L8" s="812"/>
      <c r="M8" s="813" t="s">
        <v>339</v>
      </c>
      <c r="N8" s="814"/>
      <c r="O8" s="814"/>
      <c r="P8" s="814"/>
      <c r="Q8" s="815"/>
    </row>
    <row r="9" spans="1:17" s="207" customFormat="1" ht="24" customHeight="1">
      <c r="A9" s="206"/>
      <c r="B9" s="643" t="s">
        <v>313</v>
      </c>
      <c r="C9" s="644"/>
      <c r="D9" s="644"/>
      <c r="E9" s="644"/>
      <c r="F9" s="645" t="s">
        <v>226</v>
      </c>
      <c r="G9" s="659" t="s">
        <v>602</v>
      </c>
      <c r="H9" s="655"/>
      <c r="I9" s="655"/>
      <c r="J9" s="655"/>
      <c r="K9" s="656" t="s">
        <v>241</v>
      </c>
      <c r="L9" s="675"/>
      <c r="M9" s="806" t="s">
        <v>329</v>
      </c>
      <c r="N9" s="807"/>
      <c r="O9" s="807"/>
      <c r="P9" s="807"/>
      <c r="Q9" s="667" t="s">
        <v>254</v>
      </c>
    </row>
    <row r="10" spans="1:17" s="207" customFormat="1" ht="24" customHeight="1">
      <c r="A10" s="206"/>
      <c r="B10" s="684" t="s">
        <v>619</v>
      </c>
      <c r="C10" s="646"/>
      <c r="D10" s="646"/>
      <c r="E10" s="646"/>
      <c r="F10" s="647" t="s">
        <v>227</v>
      </c>
      <c r="G10" s="659" t="s">
        <v>603</v>
      </c>
      <c r="H10" s="658"/>
      <c r="I10" s="658"/>
      <c r="J10" s="658"/>
      <c r="K10" s="656" t="s">
        <v>242</v>
      </c>
      <c r="L10" s="675"/>
      <c r="M10" s="668" t="s">
        <v>424</v>
      </c>
      <c r="N10" s="669"/>
      <c r="O10" s="669"/>
      <c r="P10" s="669"/>
      <c r="Q10" s="667" t="s">
        <v>250</v>
      </c>
    </row>
    <row r="11" spans="1:17" s="207" customFormat="1" ht="24" customHeight="1">
      <c r="A11" s="206"/>
      <c r="B11" s="684" t="s">
        <v>604</v>
      </c>
      <c r="C11" s="646"/>
      <c r="D11" s="646"/>
      <c r="E11" s="646"/>
      <c r="F11" s="647" t="s">
        <v>230</v>
      </c>
      <c r="G11" s="654" t="s">
        <v>322</v>
      </c>
      <c r="H11" s="658"/>
      <c r="I11" s="658"/>
      <c r="J11" s="658"/>
      <c r="K11" s="656" t="s">
        <v>243</v>
      </c>
      <c r="L11" s="675"/>
      <c r="M11" s="668" t="s">
        <v>425</v>
      </c>
      <c r="N11" s="669"/>
      <c r="O11" s="669"/>
      <c r="P11" s="669"/>
      <c r="Q11" s="667" t="s">
        <v>251</v>
      </c>
    </row>
    <row r="12" spans="1:17" s="207" customFormat="1" ht="24" customHeight="1">
      <c r="A12" s="206"/>
      <c r="B12" s="684" t="s">
        <v>605</v>
      </c>
      <c r="C12" s="646"/>
      <c r="D12" s="646"/>
      <c r="E12" s="646"/>
      <c r="F12" s="647" t="s">
        <v>232</v>
      </c>
      <c r="G12" s="654" t="s">
        <v>323</v>
      </c>
      <c r="H12" s="658"/>
      <c r="I12" s="658"/>
      <c r="J12" s="658"/>
      <c r="K12" s="656" t="s">
        <v>244</v>
      </c>
      <c r="L12" s="675"/>
      <c r="M12" s="668" t="s">
        <v>426</v>
      </c>
      <c r="N12" s="676"/>
      <c r="O12" s="676"/>
      <c r="P12" s="676"/>
      <c r="Q12" s="677" t="s">
        <v>588</v>
      </c>
    </row>
    <row r="13" spans="1:17" s="207" customFormat="1" ht="24" customHeight="1">
      <c r="A13" s="206"/>
      <c r="B13" s="643" t="s">
        <v>314</v>
      </c>
      <c r="C13" s="646"/>
      <c r="D13" s="646"/>
      <c r="E13" s="646"/>
      <c r="F13" s="647" t="s">
        <v>233</v>
      </c>
      <c r="G13" s="654" t="s">
        <v>324</v>
      </c>
      <c r="H13" s="658"/>
      <c r="I13" s="658"/>
      <c r="J13" s="658"/>
      <c r="K13" s="656" t="s">
        <v>245</v>
      </c>
      <c r="L13" s="675"/>
      <c r="M13" s="670" t="s">
        <v>580</v>
      </c>
      <c r="N13" s="671"/>
      <c r="O13" s="671"/>
      <c r="P13" s="671"/>
      <c r="Q13" s="672" t="s">
        <v>589</v>
      </c>
    </row>
    <row r="14" spans="1:17" s="207" customFormat="1" ht="24" customHeight="1">
      <c r="A14" s="206"/>
      <c r="B14" s="643" t="s">
        <v>315</v>
      </c>
      <c r="C14" s="646"/>
      <c r="D14" s="646"/>
      <c r="E14" s="646"/>
      <c r="F14" s="647" t="s">
        <v>234</v>
      </c>
      <c r="G14" s="654" t="s">
        <v>325</v>
      </c>
      <c r="H14" s="658"/>
      <c r="I14" s="658"/>
      <c r="J14" s="658"/>
      <c r="K14" s="656" t="s">
        <v>246</v>
      </c>
      <c r="L14" s="657"/>
    </row>
    <row r="15" spans="1:17" s="207" customFormat="1" ht="24" customHeight="1">
      <c r="A15" s="206"/>
      <c r="B15" s="643" t="s">
        <v>316</v>
      </c>
      <c r="C15" s="646"/>
      <c r="D15" s="646"/>
      <c r="E15" s="646"/>
      <c r="F15" s="647" t="s">
        <v>235</v>
      </c>
      <c r="G15" s="654" t="s">
        <v>326</v>
      </c>
      <c r="H15" s="658"/>
      <c r="I15" s="658"/>
      <c r="J15" s="658"/>
      <c r="K15" s="656" t="s">
        <v>247</v>
      </c>
      <c r="L15" s="657"/>
    </row>
    <row r="16" spans="1:17" s="207" customFormat="1" ht="24" customHeight="1">
      <c r="A16" s="208"/>
      <c r="B16" s="643" t="s">
        <v>317</v>
      </c>
      <c r="C16" s="646"/>
      <c r="D16" s="646"/>
      <c r="E16" s="646"/>
      <c r="F16" s="647" t="s">
        <v>236</v>
      </c>
      <c r="G16" s="654" t="s">
        <v>327</v>
      </c>
      <c r="H16" s="658"/>
      <c r="I16" s="658"/>
      <c r="J16" s="658"/>
      <c r="K16" s="656" t="s">
        <v>248</v>
      </c>
      <c r="L16" s="657"/>
      <c r="M16" s="263"/>
      <c r="N16" s="206"/>
      <c r="O16" s="206"/>
      <c r="P16" s="206"/>
      <c r="Q16" s="209"/>
    </row>
    <row r="17" spans="1:17" s="207" customFormat="1" ht="24" customHeight="1">
      <c r="A17" s="206"/>
      <c r="B17" s="643" t="s">
        <v>318</v>
      </c>
      <c r="C17" s="646"/>
      <c r="D17" s="646"/>
      <c r="E17" s="646"/>
      <c r="F17" s="647" t="s">
        <v>237</v>
      </c>
      <c r="G17" s="659" t="s">
        <v>587</v>
      </c>
      <c r="H17" s="658"/>
      <c r="I17" s="658"/>
      <c r="J17" s="658"/>
      <c r="K17" s="656" t="s">
        <v>249</v>
      </c>
      <c r="L17" s="657"/>
    </row>
    <row r="18" spans="1:17" s="207" customFormat="1" ht="24" customHeight="1">
      <c r="A18" s="206"/>
      <c r="B18" s="643" t="s">
        <v>319</v>
      </c>
      <c r="C18" s="646"/>
      <c r="D18" s="646"/>
      <c r="E18" s="646"/>
      <c r="F18" s="647" t="s">
        <v>238</v>
      </c>
      <c r="G18" s="660" t="s">
        <v>538</v>
      </c>
      <c r="H18" s="658"/>
      <c r="I18" s="658"/>
      <c r="J18" s="658"/>
      <c r="K18" s="661" t="s">
        <v>475</v>
      </c>
      <c r="L18" s="657"/>
    </row>
    <row r="19" spans="1:17" s="207" customFormat="1" ht="24" customHeight="1">
      <c r="A19" s="206"/>
      <c r="B19" s="684" t="s">
        <v>586</v>
      </c>
      <c r="C19" s="646"/>
      <c r="D19" s="646"/>
      <c r="E19" s="646"/>
      <c r="F19" s="647" t="s">
        <v>240</v>
      </c>
      <c r="G19" s="660" t="s">
        <v>328</v>
      </c>
      <c r="H19" s="658"/>
      <c r="I19" s="658"/>
      <c r="J19" s="658"/>
      <c r="K19" s="661" t="s">
        <v>582</v>
      </c>
      <c r="L19" s="657"/>
    </row>
    <row r="20" spans="1:17" s="207" customFormat="1" ht="24" customHeight="1">
      <c r="A20" s="206"/>
      <c r="B20" s="648" t="s">
        <v>534</v>
      </c>
      <c r="C20" s="646"/>
      <c r="D20" s="646"/>
      <c r="E20" s="646"/>
      <c r="F20" s="645" t="s">
        <v>475</v>
      </c>
      <c r="G20" s="662" t="s">
        <v>539</v>
      </c>
      <c r="H20" s="663"/>
      <c r="I20" s="664"/>
      <c r="J20" s="664"/>
      <c r="K20" s="665" t="s">
        <v>529</v>
      </c>
      <c r="L20" s="666"/>
    </row>
    <row r="21" spans="1:17" s="207" customFormat="1" ht="24" customHeight="1">
      <c r="A21" s="206"/>
      <c r="B21" s="648" t="s">
        <v>320</v>
      </c>
      <c r="C21" s="649"/>
      <c r="D21" s="646"/>
      <c r="E21" s="646"/>
      <c r="F21" s="645" t="s">
        <v>582</v>
      </c>
      <c r="G21" s="206"/>
    </row>
    <row r="22" spans="1:17" s="207" customFormat="1" ht="17.25" customHeight="1">
      <c r="A22" s="206"/>
      <c r="B22" s="650" t="s">
        <v>321</v>
      </c>
      <c r="C22" s="651"/>
      <c r="D22" s="652"/>
      <c r="E22" s="652"/>
      <c r="F22" s="653" t="s">
        <v>529</v>
      </c>
      <c r="G22" s="206"/>
    </row>
    <row r="23" spans="1:17" s="207" customFormat="1">
      <c r="A23" s="206"/>
      <c r="G23" s="205"/>
      <c r="M23" s="206"/>
      <c r="N23" s="206"/>
      <c r="O23" s="206"/>
      <c r="P23" s="206"/>
      <c r="Q23" s="206"/>
    </row>
    <row r="24" spans="1:17" s="207" customFormat="1">
      <c r="A24" s="205"/>
      <c r="G24" s="205"/>
    </row>
    <row r="25" spans="1:17" s="207" customFormat="1" ht="21" customHeight="1">
      <c r="A25" s="205"/>
      <c r="G25" s="206"/>
      <c r="M25" s="206"/>
      <c r="N25" s="206"/>
      <c r="O25" s="206"/>
      <c r="P25" s="206"/>
      <c r="Q25" s="206"/>
    </row>
    <row r="26" spans="1:17" s="207" customFormat="1" ht="21" customHeight="1">
      <c r="A26" s="206"/>
      <c r="G26" s="206"/>
    </row>
    <row r="27" spans="1:17" s="207" customFormat="1" ht="21" customHeight="1">
      <c r="A27" s="206"/>
      <c r="G27" s="206"/>
    </row>
    <row r="28" spans="1:17" s="207" customFormat="1" ht="21" customHeight="1">
      <c r="A28" s="206"/>
      <c r="G28" s="206"/>
    </row>
    <row r="29" spans="1:17" s="207" customFormat="1" ht="21" customHeight="1">
      <c r="A29" s="206"/>
      <c r="G29" s="206"/>
    </row>
    <row r="30" spans="1:17" s="207" customFormat="1" ht="21" customHeight="1">
      <c r="A30" s="206"/>
      <c r="G30" s="206"/>
    </row>
    <row r="31" spans="1:17" s="207" customFormat="1" ht="21" customHeight="1">
      <c r="A31" s="206"/>
      <c r="G31" s="206"/>
    </row>
    <row r="32" spans="1:17" s="207" customFormat="1" ht="21" customHeight="1">
      <c r="A32" s="206"/>
      <c r="G32" s="206"/>
    </row>
    <row r="33" spans="1:7" s="207" customFormat="1" ht="21" customHeight="1">
      <c r="A33" s="206"/>
      <c r="G33" s="206"/>
    </row>
    <row r="34" spans="1:7" s="207" customFormat="1" ht="21" customHeight="1">
      <c r="A34" s="206"/>
      <c r="G34" s="206"/>
    </row>
    <row r="35" spans="1:7" s="207" customFormat="1">
      <c r="A35" s="206"/>
      <c r="B35" s="206"/>
      <c r="C35" s="206"/>
      <c r="D35" s="206"/>
      <c r="E35" s="206"/>
      <c r="F35" s="206"/>
      <c r="G35" s="206"/>
    </row>
    <row r="36" spans="1:7" s="207" customFormat="1">
      <c r="A36" s="206"/>
      <c r="G36" s="205"/>
    </row>
    <row r="37" spans="1:7" s="207" customFormat="1">
      <c r="A37" s="205"/>
      <c r="G37" s="205"/>
    </row>
    <row r="38" spans="1:7" s="207" customFormat="1" ht="28.5" customHeight="1">
      <c r="A38" s="205"/>
      <c r="G38" s="206"/>
    </row>
    <row r="39" spans="1:7" s="207" customFormat="1">
      <c r="A39" s="206"/>
      <c r="G39" s="206"/>
    </row>
    <row r="40" spans="1:7" s="207" customFormat="1">
      <c r="A40" s="206"/>
      <c r="G40" s="206"/>
    </row>
    <row r="41" spans="1:7" s="207" customFormat="1">
      <c r="A41" s="206"/>
      <c r="G41" s="206"/>
    </row>
    <row r="42" spans="1:7" s="207" customFormat="1">
      <c r="A42" s="206"/>
      <c r="G42" s="206"/>
    </row>
    <row r="43" spans="1:7" s="207" customFormat="1">
      <c r="A43" s="206"/>
      <c r="B43" s="206"/>
      <c r="C43" s="206"/>
      <c r="D43" s="206"/>
      <c r="E43" s="206"/>
      <c r="F43" s="206"/>
      <c r="G43" s="206"/>
    </row>
    <row r="44" spans="1:7" s="207" customFormat="1">
      <c r="A44" s="206"/>
      <c r="G44" s="205"/>
    </row>
    <row r="45" spans="1:7" s="207" customFormat="1">
      <c r="A45" s="205"/>
      <c r="G45" s="205"/>
    </row>
    <row r="46" spans="1:7" s="207" customFormat="1">
      <c r="A46" s="205"/>
      <c r="G46" s="206"/>
    </row>
    <row r="47" spans="1:7" s="207" customFormat="1">
      <c r="A47" s="206"/>
      <c r="G47" s="206"/>
    </row>
    <row r="48" spans="1:7" s="207" customFormat="1">
      <c r="A48" s="206"/>
      <c r="G48" s="206"/>
    </row>
    <row r="49" spans="1:7" s="207" customFormat="1">
      <c r="A49" s="206"/>
      <c r="G49" s="206"/>
    </row>
    <row r="50" spans="1:7" s="207" customFormat="1">
      <c r="A50" s="206"/>
      <c r="G50" s="206"/>
    </row>
    <row r="51" spans="1:7" s="207" customFormat="1">
      <c r="A51" s="206"/>
      <c r="G51" s="206"/>
    </row>
    <row r="52" spans="1:7" s="207" customFormat="1">
      <c r="A52" s="206"/>
      <c r="G52" s="206"/>
    </row>
    <row r="53" spans="1:7" s="207" customFormat="1">
      <c r="A53" s="206"/>
      <c r="G53" s="206"/>
    </row>
    <row r="54" spans="1:7" s="207" customFormat="1">
      <c r="A54" s="206"/>
      <c r="G54" s="206"/>
    </row>
    <row r="55" spans="1:7">
      <c r="A55" s="187"/>
      <c r="B55" s="187"/>
      <c r="C55" s="187"/>
      <c r="D55" s="187"/>
      <c r="E55" s="187"/>
      <c r="F55" s="187"/>
      <c r="G55" s="187"/>
    </row>
    <row r="56" spans="1:7">
      <c r="A56" s="187"/>
      <c r="B56" s="187"/>
      <c r="C56" s="187"/>
      <c r="D56" s="187"/>
      <c r="E56" s="187"/>
      <c r="F56" s="187"/>
      <c r="G56" s="187"/>
    </row>
  </sheetData>
  <mergeCells count="5">
    <mergeCell ref="M9:P9"/>
    <mergeCell ref="B8:F8"/>
    <mergeCell ref="G8:L8"/>
    <mergeCell ref="M8:Q8"/>
    <mergeCell ref="B3:F3"/>
  </mergeCells>
  <phoneticPr fontId="0" type="noConversion"/>
  <hyperlinks>
    <hyperlink ref="F10" location="CUADRO2!A1" display="CUADRO2"/>
    <hyperlink ref="F11" location="CUADRO3!A1" display="CUADRO3"/>
    <hyperlink ref="F12" location="CUADRO4!A1" display="CUADRO4"/>
    <hyperlink ref="F13" location="CUADRO5!A1" display="CUADRO5"/>
    <hyperlink ref="F14" location="CUADRO6!A1" display="CUADRO6"/>
    <hyperlink ref="F15" location="CUADRO7!A1" display="CUADRO7"/>
    <hyperlink ref="F16" location="CUADRO8!A1" display="CUADRO8"/>
    <hyperlink ref="F17" location="CUADRO9!A1" display="CUADRO9"/>
    <hyperlink ref="F19" location="CUADRO11!A1" display="CUADRO11"/>
    <hyperlink ref="K9" location="CUADRO12!A1" display="CUADRO12"/>
    <hyperlink ref="K10" location="CUADRO13!A1" display="CUADRO13"/>
    <hyperlink ref="K11" location="CUADRO14!A1" display="CUADRO14"/>
    <hyperlink ref="K12" location="CUADRO15!A1" display="CUADRO15"/>
    <hyperlink ref="K13" location="CUADRO16!A1" display="CUADRO16"/>
    <hyperlink ref="K14" location="CUADRO17!A1" display="CUADRO17"/>
    <hyperlink ref="K16" location="CUADRO19!A1" display="CUADRO19"/>
    <hyperlink ref="K17" location="CUADRO20!A1" display="CUADRO20"/>
    <hyperlink ref="F21" location="'Cuadro Consumo (tcal)'!A1" display="Consolidado de Consumos"/>
    <hyperlink ref="K19" location="'Cuadro Consumo (u.físicas)'!A1" display="Consolidado de Consumos"/>
    <hyperlink ref="Q10" location="CUADROA2!A1" display="CUADROA2"/>
    <hyperlink ref="Q11" location="CUADROA3!A1" display="CUADROA3"/>
    <hyperlink ref="F18" location="CUADRO10!A1" display="CUADRO10"/>
    <hyperlink ref="K15" location="CUADRO18!A1" display="CUADRO18"/>
    <hyperlink ref="F4" location="Introducción!A1" display="Introducción"/>
    <hyperlink ref="Q9" location="CUADRO21!A1" display="CUADRO21"/>
    <hyperlink ref="Q12" location="DIAGRAMA!A1" display="Diagrama"/>
    <hyperlink ref="F9" location="'CUADRO 1'!Área_de_impresión" display="CUADRO1"/>
    <hyperlink ref="F5" location="DESCRIPCIÓN!A1" display="Descripción"/>
    <hyperlink ref="F22" location="Balance_Energético" display="Balance Energético"/>
    <hyperlink ref="F20" location="Producción_Bruta" display="Producción Bruta"/>
    <hyperlink ref="K18" location="'Producción Bruta (u.físicas)'!A1" display="Producción Bruta"/>
    <hyperlink ref="K20" location="'Balance Energético (u.físicas)'!A1" display="Balance Energético"/>
    <hyperlink ref="Q13" location="GLOSARIO!A1" display="Glosario"/>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theme="9" tint="0.39997558519241921"/>
    <pageSetUpPr fitToPage="1"/>
  </sheetPr>
  <dimension ref="A1:U79"/>
  <sheetViews>
    <sheetView workbookViewId="0"/>
  </sheetViews>
  <sheetFormatPr baseColWidth="10" defaultRowHeight="12.75"/>
  <cols>
    <col min="1" max="1" width="2.5703125" style="133" customWidth="1"/>
    <col min="2" max="2" width="17.5703125" style="133" customWidth="1"/>
    <col min="3" max="5" width="16.7109375" style="133" customWidth="1"/>
    <col min="6" max="6" width="12.28515625" style="18" bestFit="1" customWidth="1"/>
    <col min="7" max="21" width="11.42578125" style="18"/>
    <col min="22" max="16384" width="11.42578125" style="133"/>
  </cols>
  <sheetData>
    <row r="1" spans="1:10">
      <c r="A1" s="186"/>
      <c r="B1" s="186"/>
      <c r="C1" s="186"/>
      <c r="D1" s="186"/>
      <c r="E1" s="186"/>
      <c r="F1" s="60"/>
      <c r="G1" s="60"/>
    </row>
    <row r="2" spans="1:10" ht="15.95" customHeight="1">
      <c r="A2" s="186"/>
      <c r="B2" s="820" t="s">
        <v>606</v>
      </c>
      <c r="C2" s="820"/>
      <c r="D2" s="820"/>
      <c r="E2" s="820"/>
      <c r="F2" s="60"/>
      <c r="G2" s="699" t="s">
        <v>229</v>
      </c>
    </row>
    <row r="3" spans="1:10" ht="15.95" customHeight="1">
      <c r="A3" s="186"/>
      <c r="B3" s="820" t="s">
        <v>346</v>
      </c>
      <c r="C3" s="820"/>
      <c r="D3" s="820"/>
      <c r="E3" s="820"/>
      <c r="F3" s="60"/>
      <c r="G3" s="309"/>
    </row>
    <row r="4" spans="1:10" ht="15.95" customHeight="1">
      <c r="A4" s="186"/>
      <c r="B4" s="819" t="s">
        <v>253</v>
      </c>
      <c r="C4" s="819" t="s">
        <v>343</v>
      </c>
      <c r="D4" s="819"/>
      <c r="E4" s="819" t="s">
        <v>519</v>
      </c>
      <c r="F4" s="60"/>
      <c r="G4" s="60"/>
    </row>
    <row r="5" spans="1:10" ht="15.95" customHeight="1">
      <c r="A5" s="186"/>
      <c r="B5" s="819"/>
      <c r="C5" s="456">
        <v>2014</v>
      </c>
      <c r="D5" s="456">
        <v>2015</v>
      </c>
      <c r="E5" s="819"/>
      <c r="F5" s="60"/>
      <c r="G5" s="60"/>
    </row>
    <row r="6" spans="1:10" ht="15.95" customHeight="1">
      <c r="A6" s="186"/>
      <c r="B6" s="457" t="s">
        <v>125</v>
      </c>
      <c r="C6" s="748">
        <v>103512.730631199</v>
      </c>
      <c r="D6" s="748">
        <f>+'Balance de energía'!C10</f>
        <v>92349.898592566897</v>
      </c>
      <c r="E6" s="748">
        <f t="shared" ref="E6:E13" si="0">100*(D6-C6)/C6</f>
        <v>-10.784018516914282</v>
      </c>
      <c r="F6" s="226"/>
      <c r="G6" s="60"/>
      <c r="H6" s="131"/>
      <c r="I6" s="131"/>
      <c r="J6" s="131"/>
    </row>
    <row r="7" spans="1:10" ht="15.95" customHeight="1">
      <c r="A7" s="186"/>
      <c r="B7" s="457" t="s">
        <v>135</v>
      </c>
      <c r="C7" s="748">
        <v>37824.431431000899</v>
      </c>
      <c r="D7" s="748">
        <f>+'Balance de energía'!D10</f>
        <v>41481.392634601332</v>
      </c>
      <c r="E7" s="748">
        <f t="shared" si="0"/>
        <v>9.6682516174008839</v>
      </c>
      <c r="F7" s="226"/>
      <c r="G7" s="60"/>
      <c r="H7" s="131"/>
      <c r="I7" s="131"/>
      <c r="J7" s="131"/>
    </row>
    <row r="8" spans="1:10" ht="15.95" customHeight="1">
      <c r="A8" s="186"/>
      <c r="B8" s="457" t="s">
        <v>41</v>
      </c>
      <c r="C8" s="748">
        <v>76847.380948399994</v>
      </c>
      <c r="D8" s="748">
        <f>+'Balance de energía'!E10</f>
        <v>75562.116755302253</v>
      </c>
      <c r="E8" s="748">
        <f t="shared" si="0"/>
        <v>-1.672489260187989</v>
      </c>
      <c r="F8" s="226"/>
      <c r="G8" s="60"/>
      <c r="H8" s="131"/>
      <c r="I8" s="131"/>
      <c r="J8" s="131"/>
    </row>
    <row r="9" spans="1:10" ht="15.95" customHeight="1">
      <c r="A9" s="186"/>
      <c r="B9" s="457" t="s">
        <v>447</v>
      </c>
      <c r="C9" s="748">
        <v>73925.987137057105</v>
      </c>
      <c r="D9" s="748">
        <f>+'Balance de energía'!F10</f>
        <v>72958.919261656367</v>
      </c>
      <c r="E9" s="748">
        <f>100*(D9-C9)/C9</f>
        <v>-1.3081568645242663</v>
      </c>
      <c r="F9" s="767"/>
      <c r="G9" s="60"/>
      <c r="H9" s="131"/>
      <c r="I9" s="131"/>
      <c r="J9" s="131"/>
    </row>
    <row r="10" spans="1:10" ht="15.95" customHeight="1">
      <c r="A10" s="186"/>
      <c r="B10" s="457" t="s">
        <v>267</v>
      </c>
      <c r="C10" s="748">
        <v>19815.193451213399</v>
      </c>
      <c r="D10" s="748">
        <f>+'Balance de energía'!G10</f>
        <v>20310.838125240003</v>
      </c>
      <c r="E10" s="748">
        <f t="shared" si="0"/>
        <v>2.5013365387873745</v>
      </c>
      <c r="F10" s="226"/>
      <c r="G10" s="60"/>
      <c r="H10" s="131"/>
      <c r="I10" s="131"/>
      <c r="J10" s="131"/>
    </row>
    <row r="11" spans="1:10" ht="15.95" customHeight="1">
      <c r="A11" s="186"/>
      <c r="B11" s="457" t="s">
        <v>268</v>
      </c>
      <c r="C11" s="748">
        <v>1240.8582334600001</v>
      </c>
      <c r="D11" s="748">
        <f>+'Balance de energía'!H10</f>
        <v>1818.2696449399996</v>
      </c>
      <c r="E11" s="748">
        <f t="shared" si="0"/>
        <v>46.533229655893059</v>
      </c>
      <c r="F11" s="226"/>
      <c r="G11" s="60"/>
      <c r="H11" s="131"/>
      <c r="I11" s="131"/>
      <c r="J11" s="131"/>
    </row>
    <row r="12" spans="1:10" ht="15.95" customHeight="1">
      <c r="A12" s="186"/>
      <c r="B12" s="457" t="s">
        <v>431</v>
      </c>
      <c r="C12" s="748">
        <v>420.93744955900002</v>
      </c>
      <c r="D12" s="748">
        <f>+'Balance de energía'!I10</f>
        <v>1084.3449052367998</v>
      </c>
      <c r="E12" s="748">
        <f t="shared" si="0"/>
        <v>157.60238400570591</v>
      </c>
      <c r="F12" s="226"/>
      <c r="G12" s="60"/>
      <c r="H12" s="131"/>
      <c r="I12" s="131"/>
      <c r="J12" s="131"/>
    </row>
    <row r="13" spans="1:10" ht="15.95" customHeight="1">
      <c r="A13" s="186"/>
      <c r="B13" s="457" t="s">
        <v>42</v>
      </c>
      <c r="C13" s="748">
        <v>575.84476905500003</v>
      </c>
      <c r="D13" s="748">
        <f>+'Balance de energía'!J10</f>
        <v>842.54431648510172</v>
      </c>
      <c r="E13" s="748">
        <f t="shared" si="0"/>
        <v>46.314486431434219</v>
      </c>
      <c r="F13" s="226"/>
      <c r="G13" s="60"/>
      <c r="H13" s="131"/>
      <c r="I13" s="131"/>
      <c r="J13" s="131"/>
    </row>
    <row r="14" spans="1:10" ht="15.95" customHeight="1">
      <c r="A14" s="186"/>
      <c r="B14" s="472" t="s">
        <v>33</v>
      </c>
      <c r="C14" s="766">
        <f>SUM(C6:C13)</f>
        <v>314163.36405094445</v>
      </c>
      <c r="D14" s="766">
        <f>SUM(D6:D13)</f>
        <v>306408.32423602871</v>
      </c>
      <c r="E14" s="455">
        <f>100*(D14-C14)/C14</f>
        <v>-2.4684736357922978</v>
      </c>
      <c r="F14" s="768"/>
      <c r="G14" s="60"/>
      <c r="H14" s="132"/>
      <c r="I14" s="131"/>
      <c r="J14" s="131"/>
    </row>
    <row r="15" spans="1:10">
      <c r="A15" s="186"/>
      <c r="B15" s="440"/>
      <c r="C15" s="440"/>
      <c r="D15" s="440"/>
      <c r="E15" s="440"/>
      <c r="F15" s="440"/>
      <c r="G15" s="440"/>
      <c r="H15" s="131"/>
      <c r="I15" s="131"/>
      <c r="J15" s="131"/>
    </row>
    <row r="16" spans="1:10">
      <c r="A16" s="186"/>
      <c r="B16" s="269" t="s">
        <v>288</v>
      </c>
      <c r="C16" s="270"/>
      <c r="D16" s="294"/>
      <c r="E16" s="270"/>
      <c r="F16" s="60"/>
      <c r="G16" s="161"/>
      <c r="H16" s="131"/>
      <c r="I16" s="131"/>
      <c r="J16" s="131"/>
    </row>
    <row r="17" spans="1:10" ht="12.75" customHeight="1">
      <c r="A17" s="186"/>
      <c r="B17" s="313" t="s">
        <v>630</v>
      </c>
      <c r="C17" s="313"/>
      <c r="D17" s="313"/>
      <c r="E17" s="313"/>
      <c r="F17" s="60"/>
      <c r="G17" s="161"/>
      <c r="H17" s="131"/>
      <c r="I17" s="131"/>
      <c r="J17" s="131"/>
    </row>
    <row r="18" spans="1:10">
      <c r="A18" s="186"/>
      <c r="B18" s="271" t="s">
        <v>338</v>
      </c>
      <c r="C18" s="270"/>
      <c r="D18" s="270"/>
      <c r="E18" s="270"/>
      <c r="F18" s="60"/>
      <c r="G18" s="161"/>
      <c r="H18" s="131"/>
      <c r="I18" s="131"/>
      <c r="J18" s="131"/>
    </row>
    <row r="19" spans="1:10">
      <c r="A19" s="186"/>
      <c r="B19" s="271" t="s">
        <v>293</v>
      </c>
      <c r="C19" s="273"/>
      <c r="D19" s="273"/>
      <c r="E19" s="273"/>
      <c r="F19" s="60"/>
      <c r="G19" s="161"/>
      <c r="H19" s="131"/>
      <c r="I19" s="131"/>
      <c r="J19" s="131"/>
    </row>
    <row r="20" spans="1:10">
      <c r="A20" s="186"/>
      <c r="B20" s="272" t="s">
        <v>527</v>
      </c>
      <c r="C20" s="60"/>
      <c r="D20" s="60"/>
      <c r="E20" s="60"/>
      <c r="F20" s="60"/>
      <c r="G20" s="60"/>
      <c r="H20" s="131"/>
      <c r="I20" s="131"/>
      <c r="J20" s="131"/>
    </row>
    <row r="21" spans="1:10">
      <c r="A21" s="186"/>
      <c r="C21" s="60"/>
      <c r="D21" s="60"/>
      <c r="E21" s="60"/>
      <c r="F21" s="60"/>
      <c r="G21" s="60"/>
      <c r="H21" s="131"/>
      <c r="I21" s="131"/>
      <c r="J21" s="131"/>
    </row>
    <row r="22" spans="1:10">
      <c r="A22" s="186"/>
      <c r="B22" s="60"/>
      <c r="C22" s="60"/>
      <c r="D22" s="60"/>
      <c r="E22" s="60"/>
      <c r="F22" s="60"/>
      <c r="G22" s="60"/>
      <c r="H22" s="131"/>
      <c r="I22" s="131"/>
      <c r="J22" s="131"/>
    </row>
    <row r="23" spans="1:10">
      <c r="B23" s="18"/>
      <c r="C23" s="131"/>
      <c r="D23" s="131"/>
      <c r="E23" s="131"/>
      <c r="F23" s="131"/>
      <c r="G23" s="131"/>
      <c r="H23" s="131"/>
      <c r="I23" s="131"/>
      <c r="J23" s="131"/>
    </row>
    <row r="24" spans="1:10">
      <c r="B24" s="18"/>
      <c r="C24" s="131"/>
      <c r="D24" s="131"/>
      <c r="E24" s="131"/>
      <c r="F24" s="131"/>
      <c r="G24" s="131"/>
      <c r="H24" s="131"/>
      <c r="I24" s="131"/>
      <c r="J24" s="131"/>
    </row>
    <row r="25" spans="1:10">
      <c r="B25" s="18"/>
      <c r="C25" s="131"/>
      <c r="D25" s="131"/>
      <c r="E25" s="131"/>
      <c r="F25" s="131"/>
      <c r="G25" s="131"/>
      <c r="H25" s="131"/>
      <c r="I25" s="131"/>
      <c r="J25" s="131"/>
    </row>
    <row r="26" spans="1:10">
      <c r="B26" s="18"/>
    </row>
    <row r="27" spans="1:10">
      <c r="B27" s="18"/>
    </row>
    <row r="28" spans="1:10">
      <c r="B28" s="18"/>
    </row>
    <row r="29" spans="1:10">
      <c r="B29" s="18"/>
    </row>
    <row r="30" spans="1:10">
      <c r="B30" s="18"/>
    </row>
    <row r="31" spans="1:10">
      <c r="B31" s="18"/>
    </row>
    <row r="32" spans="1:10">
      <c r="B32" s="18"/>
    </row>
    <row r="33" spans="2:2">
      <c r="B33" s="18"/>
    </row>
    <row r="34" spans="2:2">
      <c r="B34" s="18"/>
    </row>
    <row r="35" spans="2:2">
      <c r="B35" s="18"/>
    </row>
    <row r="36" spans="2:2">
      <c r="B36" s="18"/>
    </row>
    <row r="37" spans="2:2">
      <c r="B37" s="18"/>
    </row>
    <row r="38" spans="2:2">
      <c r="B38" s="18"/>
    </row>
    <row r="39" spans="2:2">
      <c r="B39" s="18"/>
    </row>
    <row r="40" spans="2:2">
      <c r="B40" s="18"/>
    </row>
    <row r="41" spans="2:2">
      <c r="B41" s="18"/>
    </row>
    <row r="42" spans="2:2">
      <c r="B42" s="18"/>
    </row>
    <row r="43" spans="2:2">
      <c r="B43" s="18"/>
    </row>
    <row r="44" spans="2:2">
      <c r="B44" s="18"/>
    </row>
    <row r="45" spans="2:2">
      <c r="B45" s="18"/>
    </row>
    <row r="46" spans="2:2">
      <c r="B46" s="18"/>
    </row>
    <row r="47" spans="2:2">
      <c r="B47" s="18"/>
    </row>
    <row r="48" spans="2:2">
      <c r="B48" s="18"/>
    </row>
    <row r="49" spans="2:2">
      <c r="B49" s="18"/>
    </row>
    <row r="50" spans="2:2">
      <c r="B50" s="18"/>
    </row>
    <row r="51" spans="2:2">
      <c r="B51" s="18"/>
    </row>
    <row r="52" spans="2:2">
      <c r="B52" s="18"/>
    </row>
    <row r="53" spans="2:2">
      <c r="B53" s="18"/>
    </row>
    <row r="54" spans="2:2">
      <c r="B54" s="18"/>
    </row>
    <row r="55" spans="2:2">
      <c r="B55" s="18"/>
    </row>
    <row r="56" spans="2:2">
      <c r="B56" s="18"/>
    </row>
    <row r="57" spans="2:2">
      <c r="B57" s="18"/>
    </row>
    <row r="58" spans="2:2">
      <c r="B58" s="18"/>
    </row>
    <row r="59" spans="2:2">
      <c r="B59" s="18"/>
    </row>
    <row r="60" spans="2:2">
      <c r="B60" s="18"/>
    </row>
    <row r="61" spans="2:2">
      <c r="B61" s="18"/>
    </row>
    <row r="62" spans="2:2">
      <c r="B62" s="18"/>
    </row>
    <row r="63" spans="2:2">
      <c r="B63" s="18"/>
    </row>
    <row r="64" spans="2:2">
      <c r="B64" s="18"/>
    </row>
    <row r="65" spans="2:2">
      <c r="B65" s="18"/>
    </row>
    <row r="66" spans="2:2">
      <c r="B66" s="18"/>
    </row>
    <row r="67" spans="2:2">
      <c r="B67" s="18"/>
    </row>
    <row r="68" spans="2:2">
      <c r="B68" s="18"/>
    </row>
    <row r="69" spans="2:2">
      <c r="B69" s="18"/>
    </row>
    <row r="70" spans="2:2">
      <c r="B70" s="18"/>
    </row>
    <row r="71" spans="2:2">
      <c r="B71" s="18"/>
    </row>
    <row r="72" spans="2:2">
      <c r="B72" s="18"/>
    </row>
    <row r="73" spans="2:2">
      <c r="B73" s="18"/>
    </row>
    <row r="74" spans="2:2">
      <c r="B74" s="18"/>
    </row>
    <row r="75" spans="2:2">
      <c r="B75" s="18"/>
    </row>
    <row r="76" spans="2:2">
      <c r="B76" s="18"/>
    </row>
    <row r="77" spans="2:2">
      <c r="B77" s="18"/>
    </row>
    <row r="78" spans="2:2">
      <c r="B78" s="18"/>
    </row>
    <row r="79" spans="2:2">
      <c r="B79" s="18"/>
    </row>
  </sheetData>
  <mergeCells count="5">
    <mergeCell ref="C4:D4"/>
    <mergeCell ref="B2:E2"/>
    <mergeCell ref="B3:E3"/>
    <mergeCell ref="B4:B5"/>
    <mergeCell ref="E4:E5"/>
  </mergeCells>
  <phoneticPr fontId="0" type="noConversion"/>
  <hyperlinks>
    <hyperlink ref="G2" location="Índice!A1" display="VOLVER A INDICE"/>
  </hyperlinks>
  <pageMargins left="0.75" right="0.75" top="1" bottom="1" header="0" footer="0"/>
  <pageSetup scale="77" orientation="portrait" verticalDpi="0" r:id="rId1"/>
  <headerFooter alignWithMargins="0"/>
  <ignoredErrors>
    <ignoredError sqref="C1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9" tint="0.39997558519241921"/>
    <pageSetUpPr fitToPage="1"/>
  </sheetPr>
  <dimension ref="A1:M54"/>
  <sheetViews>
    <sheetView workbookViewId="0">
      <selection activeCell="B20" sqref="B20:B21"/>
    </sheetView>
  </sheetViews>
  <sheetFormatPr baseColWidth="10" defaultRowHeight="12.75"/>
  <cols>
    <col min="1" max="1" width="1.85546875" style="134" customWidth="1"/>
    <col min="2" max="2" width="25.42578125" style="134" customWidth="1"/>
    <col min="3" max="5" width="16.7109375" style="134" customWidth="1"/>
    <col min="6" max="6" width="12.28515625" style="2" bestFit="1" customWidth="1"/>
    <col min="7" max="13" width="11.42578125" style="2"/>
    <col min="14" max="16384" width="11.42578125" style="134"/>
  </cols>
  <sheetData>
    <row r="1" spans="1:9" ht="8.25" customHeight="1">
      <c r="A1" s="175"/>
      <c r="B1" s="175"/>
      <c r="C1" s="175"/>
      <c r="D1" s="175"/>
      <c r="E1" s="175"/>
      <c r="F1" s="24"/>
      <c r="G1" s="24"/>
    </row>
    <row r="2" spans="1:9" ht="15.95" customHeight="1">
      <c r="A2" s="175"/>
      <c r="B2" s="821" t="s">
        <v>607</v>
      </c>
      <c r="C2" s="821"/>
      <c r="D2" s="821"/>
      <c r="E2" s="821"/>
      <c r="F2" s="183"/>
      <c r="G2" s="699" t="s">
        <v>229</v>
      </c>
      <c r="H2" s="3"/>
      <c r="I2" s="3"/>
    </row>
    <row r="3" spans="1:9" ht="15.95" customHeight="1">
      <c r="A3" s="175"/>
      <c r="B3" s="821" t="s">
        <v>346</v>
      </c>
      <c r="C3" s="821"/>
      <c r="D3" s="821"/>
      <c r="E3" s="821"/>
      <c r="F3" s="183"/>
      <c r="G3" s="309"/>
      <c r="H3" s="3"/>
      <c r="I3" s="3"/>
    </row>
    <row r="4" spans="1:9" ht="15.95" customHeight="1">
      <c r="A4" s="175"/>
      <c r="B4" s="822" t="s">
        <v>253</v>
      </c>
      <c r="C4" s="822" t="s">
        <v>343</v>
      </c>
      <c r="D4" s="822"/>
      <c r="E4" s="458" t="s">
        <v>344</v>
      </c>
      <c r="F4" s="183"/>
      <c r="G4" s="184"/>
      <c r="H4" s="3"/>
      <c r="I4" s="3"/>
    </row>
    <row r="5" spans="1:9" ht="15.95" customHeight="1">
      <c r="A5" s="175"/>
      <c r="B5" s="822"/>
      <c r="C5" s="459">
        <v>2014</v>
      </c>
      <c r="D5" s="459">
        <v>2015</v>
      </c>
      <c r="E5" s="458" t="s">
        <v>17</v>
      </c>
      <c r="F5" s="183"/>
      <c r="G5" s="293"/>
      <c r="H5" s="3"/>
      <c r="I5" s="3"/>
    </row>
    <row r="6" spans="1:9" ht="15.95" customHeight="1">
      <c r="A6" s="175"/>
      <c r="B6" s="462" t="s">
        <v>345</v>
      </c>
      <c r="C6" s="748">
        <v>156241.99513069401</v>
      </c>
      <c r="D6" s="748">
        <f>+SUM('Balance de energía'!K19:U19)</f>
        <v>152229.64799034805</v>
      </c>
      <c r="E6" s="748">
        <f t="shared" ref="E6:E12" si="0">100*(D6-C6)/C6</f>
        <v>-2.5680337331776193</v>
      </c>
      <c r="F6" s="227"/>
      <c r="H6" s="228"/>
      <c r="I6" s="3"/>
    </row>
    <row r="7" spans="1:9" ht="15.95" customHeight="1">
      <c r="A7" s="175"/>
      <c r="B7" s="462" t="s">
        <v>126</v>
      </c>
      <c r="C7" s="748">
        <v>59783.637295226101</v>
      </c>
      <c r="D7" s="748">
        <f>+'Balance de energía'!V19</f>
        <v>60467.543946311816</v>
      </c>
      <c r="E7" s="748">
        <f t="shared" si="0"/>
        <v>1.1439696245118354</v>
      </c>
      <c r="F7" s="227"/>
      <c r="G7" s="293"/>
      <c r="H7" s="228"/>
      <c r="I7" s="3"/>
    </row>
    <row r="8" spans="1:9" ht="15.95" customHeight="1">
      <c r="A8" s="175"/>
      <c r="B8" s="462" t="s">
        <v>292</v>
      </c>
      <c r="C8" s="748">
        <v>75.662425999999996</v>
      </c>
      <c r="D8" s="748">
        <f>+'Balance de energía'!W19</f>
        <v>90.029335500000002</v>
      </c>
      <c r="E8" s="748">
        <f t="shared" si="0"/>
        <v>18.988169240039973</v>
      </c>
      <c r="F8" s="227"/>
      <c r="G8" s="293"/>
      <c r="H8" s="228"/>
      <c r="I8" s="3"/>
    </row>
    <row r="9" spans="1:9" ht="15.95" customHeight="1">
      <c r="A9" s="175"/>
      <c r="B9" s="462" t="s">
        <v>277</v>
      </c>
      <c r="C9" s="748">
        <v>683.74900000000002</v>
      </c>
      <c r="D9" s="748">
        <f>+'Balance de energía'!X19</f>
        <v>816.04300000000001</v>
      </c>
      <c r="E9" s="748">
        <f t="shared" si="0"/>
        <v>19.348328114556654</v>
      </c>
      <c r="F9" s="227"/>
      <c r="G9" s="293"/>
      <c r="H9" s="228"/>
      <c r="I9" s="3"/>
    </row>
    <row r="10" spans="1:9" ht="15.95" customHeight="1">
      <c r="A10" s="175"/>
      <c r="B10" s="462" t="s">
        <v>43</v>
      </c>
      <c r="C10" s="748">
        <v>155.09899999999999</v>
      </c>
      <c r="D10" s="748">
        <f>+'Balance de energía'!Y19</f>
        <v>195.45099999999999</v>
      </c>
      <c r="E10" s="748">
        <f t="shared" si="0"/>
        <v>26.016931121412778</v>
      </c>
      <c r="F10" s="227"/>
      <c r="G10" s="293"/>
      <c r="H10" s="228"/>
      <c r="I10" s="3"/>
    </row>
    <row r="11" spans="1:9" ht="15.95" customHeight="1">
      <c r="A11" s="175"/>
      <c r="B11" s="462" t="s">
        <v>478</v>
      </c>
      <c r="C11" s="748">
        <v>1004.884</v>
      </c>
      <c r="D11" s="748">
        <f>+'Balance de energía'!Z19</f>
        <v>703.47</v>
      </c>
      <c r="E11" s="748">
        <f t="shared" si="0"/>
        <v>-29.994904884543885</v>
      </c>
      <c r="F11" s="227"/>
      <c r="G11" s="293"/>
      <c r="H11" s="228"/>
      <c r="I11" s="3"/>
    </row>
    <row r="12" spans="1:9" ht="15.95" customHeight="1">
      <c r="A12" s="175"/>
      <c r="B12" s="462" t="s">
        <v>279</v>
      </c>
      <c r="C12" s="748">
        <v>107.26270756509101</v>
      </c>
      <c r="D12" s="748">
        <f>+'Balance de energía'!AA19</f>
        <v>79.492015594931999</v>
      </c>
      <c r="E12" s="748">
        <f t="shared" si="0"/>
        <v>-25.890351456312732</v>
      </c>
      <c r="F12" s="227"/>
      <c r="G12" s="293"/>
      <c r="H12" s="228"/>
      <c r="I12" s="3"/>
    </row>
    <row r="13" spans="1:9" ht="15.95" customHeight="1">
      <c r="A13" s="175"/>
      <c r="B13" s="462" t="s">
        <v>65</v>
      </c>
      <c r="C13" s="748">
        <v>0</v>
      </c>
      <c r="D13" s="748">
        <f>+'Balance de energía'!AB19</f>
        <v>0</v>
      </c>
      <c r="E13" s="748">
        <v>0</v>
      </c>
      <c r="F13" s="227"/>
      <c r="G13" s="293"/>
      <c r="H13" s="228"/>
      <c r="I13" s="3"/>
    </row>
    <row r="14" spans="1:9" ht="15.95" customHeight="1">
      <c r="A14" s="175"/>
      <c r="B14" s="462" t="s">
        <v>135</v>
      </c>
      <c r="C14" s="748">
        <v>17533.509230337098</v>
      </c>
      <c r="D14" s="748">
        <f>+'Balance de energía'!D19</f>
        <v>17618.088709190695</v>
      </c>
      <c r="E14" s="748">
        <f>100*(D14-C14)/C14</f>
        <v>0.48238762556017251</v>
      </c>
      <c r="F14" s="227"/>
      <c r="G14" s="293"/>
      <c r="H14" s="228"/>
      <c r="I14" s="3"/>
    </row>
    <row r="15" spans="1:9" ht="15.95" customHeight="1">
      <c r="A15" s="175"/>
      <c r="B15" s="462" t="s">
        <v>41</v>
      </c>
      <c r="C15" s="748">
        <v>2353.2993900000001</v>
      </c>
      <c r="D15" s="748">
        <f>+'Balance de energía'!E19</f>
        <v>2703.5547726793029</v>
      </c>
      <c r="E15" s="748">
        <f>100*(D15-C15)/C15</f>
        <v>14.883587875289543</v>
      </c>
      <c r="F15" s="227"/>
      <c r="G15" s="293"/>
      <c r="H15" s="228"/>
      <c r="I15" s="3"/>
    </row>
    <row r="16" spans="1:9" ht="15.95" customHeight="1">
      <c r="A16" s="175"/>
      <c r="B16" s="462" t="s">
        <v>447</v>
      </c>
      <c r="C16" s="748">
        <v>40175.348262900603</v>
      </c>
      <c r="D16" s="748">
        <f>+'Balance de energía'!F19</f>
        <v>37263.890607818612</v>
      </c>
      <c r="E16" s="748">
        <f>100*(D16-C16)/C16</f>
        <v>-7.2468759599292341</v>
      </c>
      <c r="F16" s="227"/>
      <c r="G16" s="293"/>
      <c r="H16" s="228"/>
      <c r="I16" s="3"/>
    </row>
    <row r="17" spans="1:9" ht="15.95" customHeight="1">
      <c r="A17" s="175"/>
      <c r="B17" s="462" t="s">
        <v>597</v>
      </c>
      <c r="C17" s="748">
        <v>19.752756349999999</v>
      </c>
      <c r="D17" s="748">
        <f>+'Balance de energía'!J19</f>
        <v>163.8922824</v>
      </c>
      <c r="E17" s="748">
        <f>100*(D17-C17)/C17</f>
        <v>729.71854406537045</v>
      </c>
      <c r="F17" s="227"/>
      <c r="G17" s="293"/>
      <c r="H17" s="228"/>
      <c r="I17" s="3"/>
    </row>
    <row r="18" spans="1:9" ht="15.95" customHeight="1">
      <c r="A18" s="175"/>
      <c r="B18" s="460" t="s">
        <v>33</v>
      </c>
      <c r="C18" s="765">
        <f>SUM(C6:C17)</f>
        <v>278134.1991990729</v>
      </c>
      <c r="D18" s="765">
        <f>SUM(D6:D17)</f>
        <v>272331.10365984339</v>
      </c>
      <c r="E18" s="461">
        <f>100*(D18-C18)/C18</f>
        <v>-2.086437250773316</v>
      </c>
      <c r="F18" s="185"/>
      <c r="G18" s="183"/>
      <c r="H18" s="3"/>
      <c r="I18" s="3"/>
    </row>
    <row r="19" spans="1:9">
      <c r="A19" s="175"/>
      <c r="B19" s="311"/>
      <c r="C19" s="311"/>
      <c r="D19" s="311"/>
      <c r="E19" s="312"/>
      <c r="F19" s="183"/>
      <c r="G19" s="183"/>
      <c r="H19" s="3"/>
      <c r="I19" s="3"/>
    </row>
    <row r="20" spans="1:9">
      <c r="A20" s="175"/>
      <c r="B20" s="313" t="s">
        <v>630</v>
      </c>
      <c r="C20" s="211"/>
      <c r="D20" s="211"/>
      <c r="E20" s="211"/>
      <c r="F20" s="183"/>
      <c r="G20" s="184"/>
      <c r="H20" s="3"/>
      <c r="I20" s="3"/>
    </row>
    <row r="21" spans="1:9">
      <c r="A21" s="175"/>
      <c r="B21" s="271" t="s">
        <v>338</v>
      </c>
      <c r="C21" s="212"/>
      <c r="D21" s="212"/>
      <c r="E21" s="211"/>
      <c r="F21" s="183"/>
      <c r="G21" s="184"/>
      <c r="H21" s="3"/>
      <c r="I21" s="3"/>
    </row>
    <row r="22" spans="1:9">
      <c r="A22" s="175"/>
      <c r="B22" s="272" t="s">
        <v>293</v>
      </c>
      <c r="C22" s="211"/>
      <c r="D22" s="211"/>
      <c r="E22" s="211"/>
      <c r="F22" s="183"/>
      <c r="G22" s="184"/>
      <c r="H22" s="3"/>
      <c r="I22" s="3"/>
    </row>
    <row r="23" spans="1:9">
      <c r="A23" s="175"/>
      <c r="B23" s="272" t="s">
        <v>527</v>
      </c>
      <c r="C23" s="211"/>
      <c r="D23" s="211"/>
      <c r="E23" s="211"/>
      <c r="F23" s="183"/>
      <c r="G23" s="184"/>
      <c r="H23" s="3"/>
      <c r="I23" s="3"/>
    </row>
    <row r="24" spans="1:9">
      <c r="A24" s="175"/>
      <c r="C24" s="211"/>
      <c r="D24" s="211"/>
      <c r="E24" s="211"/>
      <c r="F24" s="183"/>
      <c r="G24" s="184"/>
      <c r="H24" s="3"/>
      <c r="I24" s="3"/>
    </row>
    <row r="25" spans="1:9">
      <c r="A25" s="175"/>
      <c r="B25" s="183"/>
      <c r="C25" s="183"/>
      <c r="D25" s="183"/>
      <c r="E25" s="183"/>
      <c r="F25" s="183"/>
      <c r="G25" s="184"/>
      <c r="H25" s="3"/>
      <c r="I25" s="3"/>
    </row>
    <row r="26" spans="1:9">
      <c r="A26" s="175"/>
      <c r="B26" s="183"/>
      <c r="C26" s="183"/>
      <c r="D26" s="183"/>
      <c r="E26" s="183"/>
      <c r="F26" s="183"/>
      <c r="G26" s="184"/>
      <c r="H26" s="3"/>
      <c r="I26" s="3"/>
    </row>
    <row r="27" spans="1:9">
      <c r="A27" s="175"/>
      <c r="B27" s="183"/>
      <c r="C27" s="183"/>
      <c r="D27" s="183"/>
      <c r="E27" s="183"/>
      <c r="F27" s="183"/>
      <c r="G27" s="184"/>
      <c r="H27" s="3"/>
      <c r="I27" s="3"/>
    </row>
    <row r="28" spans="1:9">
      <c r="A28" s="175"/>
      <c r="B28" s="24"/>
      <c r="C28" s="24"/>
      <c r="D28" s="24"/>
      <c r="E28" s="24"/>
      <c r="F28" s="24"/>
      <c r="G28" s="24"/>
    </row>
    <row r="29" spans="1:9">
      <c r="A29" s="175"/>
      <c r="B29" s="24"/>
      <c r="C29" s="24"/>
      <c r="D29" s="24"/>
      <c r="E29" s="24"/>
      <c r="F29" s="24"/>
      <c r="G29" s="24"/>
    </row>
    <row r="30" spans="1:9">
      <c r="B30" s="2"/>
      <c r="C30" s="2"/>
      <c r="D30" s="2"/>
      <c r="E30" s="2"/>
    </row>
    <row r="31" spans="1:9">
      <c r="B31" s="2"/>
      <c r="C31" s="2"/>
      <c r="D31" s="2"/>
      <c r="E31" s="2"/>
    </row>
    <row r="32" spans="1:9">
      <c r="B32" s="2"/>
      <c r="C32" s="2"/>
      <c r="D32" s="2"/>
      <c r="E32" s="2"/>
    </row>
    <row r="33" spans="2:5">
      <c r="B33" s="2"/>
      <c r="C33" s="2"/>
      <c r="D33" s="2"/>
      <c r="E33" s="2"/>
    </row>
    <row r="34" spans="2:5">
      <c r="B34" s="2"/>
      <c r="C34" s="2"/>
      <c r="D34" s="2"/>
      <c r="E34" s="2"/>
    </row>
    <row r="35" spans="2:5">
      <c r="B35" s="2"/>
      <c r="C35" s="2"/>
      <c r="D35" s="2"/>
      <c r="E35" s="2"/>
    </row>
    <row r="36" spans="2:5">
      <c r="B36" s="2"/>
      <c r="C36" s="2"/>
      <c r="D36" s="2"/>
      <c r="E36" s="2"/>
    </row>
    <row r="37" spans="2:5" s="2" customFormat="1"/>
    <row r="38" spans="2:5" s="2" customFormat="1"/>
    <row r="39" spans="2:5" s="2" customFormat="1"/>
    <row r="40" spans="2:5" s="2" customFormat="1"/>
    <row r="41" spans="2:5" s="2" customFormat="1"/>
    <row r="42" spans="2:5" s="2" customFormat="1"/>
    <row r="43" spans="2:5" s="2" customFormat="1"/>
    <row r="44" spans="2:5" s="2" customFormat="1"/>
    <row r="45" spans="2:5" s="2" customFormat="1"/>
    <row r="46" spans="2:5" s="2" customFormat="1"/>
    <row r="47" spans="2:5" s="2" customFormat="1"/>
    <row r="48" spans="2:5" s="2" customFormat="1"/>
    <row r="49" s="2" customFormat="1"/>
    <row r="50" s="2" customFormat="1"/>
    <row r="51" s="2" customFormat="1"/>
    <row r="52" s="2" customFormat="1"/>
    <row r="53" s="2" customFormat="1"/>
    <row r="54" s="2" customFormat="1"/>
  </sheetData>
  <mergeCells count="4">
    <mergeCell ref="B2:E2"/>
    <mergeCell ref="B3:E3"/>
    <mergeCell ref="C4:D4"/>
    <mergeCell ref="B4:B5"/>
  </mergeCells>
  <phoneticPr fontId="0" type="noConversion"/>
  <hyperlinks>
    <hyperlink ref="G2" location="Índice!A1" display="VOLVER A INDICE"/>
  </hyperlinks>
  <pageMargins left="0.75" right="0.75" top="1" bottom="1" header="0" footer="0"/>
  <pageSetup scale="78" orientation="portrait" verticalDpi="0" r:id="rId1"/>
  <headerFooter alignWithMargins="0"/>
  <ignoredErrors>
    <ignoredError sqref="C18"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9" tint="0.39997558519241921"/>
    <pageSetUpPr fitToPage="1"/>
  </sheetPr>
  <dimension ref="A1:O51"/>
  <sheetViews>
    <sheetView topLeftCell="A4" workbookViewId="0"/>
  </sheetViews>
  <sheetFormatPr baseColWidth="10" defaultRowHeight="12.75"/>
  <cols>
    <col min="1" max="1" width="1.42578125" style="134" customWidth="1"/>
    <col min="2" max="2" width="25.85546875" style="134" customWidth="1"/>
    <col min="3" max="3" width="13.28515625" style="134" customWidth="1"/>
    <col min="4" max="4" width="15.5703125" style="134" customWidth="1"/>
    <col min="5" max="5" width="13.5703125" style="134" bestFit="1" customWidth="1"/>
    <col min="6" max="6" width="16.85546875" style="134" customWidth="1"/>
    <col min="7" max="7" width="15" style="134" customWidth="1"/>
    <col min="8" max="8" width="14" style="4" bestFit="1" customWidth="1"/>
    <col min="9" max="9" width="26.28515625" style="2" customWidth="1"/>
    <col min="10" max="15" width="11.42578125" style="2"/>
    <col min="16" max="16384" width="11.42578125" style="134"/>
  </cols>
  <sheetData>
    <row r="1" spans="1:11" ht="7.5" customHeight="1">
      <c r="A1" s="175"/>
      <c r="B1" s="175"/>
      <c r="C1" s="175"/>
      <c r="D1" s="175"/>
      <c r="E1" s="175"/>
      <c r="F1" s="175"/>
      <c r="G1" s="175"/>
      <c r="H1" s="174"/>
      <c r="I1" s="24"/>
    </row>
    <row r="2" spans="1:11" ht="15.95" customHeight="1">
      <c r="A2" s="175"/>
      <c r="B2" s="825" t="s">
        <v>601</v>
      </c>
      <c r="C2" s="825"/>
      <c r="D2" s="825"/>
      <c r="E2" s="825"/>
      <c r="F2" s="825"/>
      <c r="G2" s="825"/>
      <c r="H2" s="182"/>
      <c r="I2" s="699" t="s">
        <v>229</v>
      </c>
    </row>
    <row r="3" spans="1:11" ht="15.95" customHeight="1">
      <c r="A3" s="175"/>
      <c r="B3" s="826" t="s">
        <v>346</v>
      </c>
      <c r="C3" s="826"/>
      <c r="D3" s="826"/>
      <c r="E3" s="826"/>
      <c r="F3" s="826"/>
      <c r="G3" s="826"/>
      <c r="H3" s="182"/>
      <c r="I3" s="309"/>
    </row>
    <row r="4" spans="1:11" ht="15.95" customHeight="1">
      <c r="A4" s="175"/>
      <c r="B4" s="825" t="s">
        <v>446</v>
      </c>
      <c r="C4" s="825"/>
      <c r="D4" s="825"/>
      <c r="E4" s="825"/>
      <c r="F4" s="825"/>
      <c r="G4" s="825"/>
      <c r="H4" s="182"/>
      <c r="I4" s="24"/>
    </row>
    <row r="5" spans="1:11" ht="15.95" customHeight="1">
      <c r="A5" s="175"/>
      <c r="B5" s="819" t="s">
        <v>253</v>
      </c>
      <c r="C5" s="827" t="s">
        <v>475</v>
      </c>
      <c r="D5" s="827" t="s">
        <v>280</v>
      </c>
      <c r="E5" s="827" t="s">
        <v>281</v>
      </c>
      <c r="F5" s="827" t="s">
        <v>599</v>
      </c>
      <c r="G5" s="827" t="s">
        <v>520</v>
      </c>
      <c r="H5" s="466"/>
      <c r="I5" s="24"/>
    </row>
    <row r="6" spans="1:11" ht="15.95" customHeight="1">
      <c r="A6" s="175"/>
      <c r="B6" s="829"/>
      <c r="C6" s="828"/>
      <c r="D6" s="828"/>
      <c r="E6" s="828"/>
      <c r="F6" s="828"/>
      <c r="G6" s="828"/>
      <c r="H6" s="182"/>
      <c r="I6" s="24"/>
    </row>
    <row r="7" spans="1:11" ht="15.95" customHeight="1">
      <c r="A7" s="175"/>
      <c r="B7" s="465" t="s">
        <v>125</v>
      </c>
      <c r="C7" s="748">
        <f>+'Producción Bruta (tcal)'!C9</f>
        <v>2645.1545316944057</v>
      </c>
      <c r="D7" s="748">
        <f>+'Balance de energía'!C4</f>
        <v>90125.784825008406</v>
      </c>
      <c r="E7" s="748">
        <f>+'Balance de energía'!C5</f>
        <v>0</v>
      </c>
      <c r="F7" s="748">
        <f>+'Balance de energía'!C6</f>
        <v>421.04076413592003</v>
      </c>
      <c r="G7" s="748">
        <f>+'Balance de energía'!C10</f>
        <v>92349.898592566897</v>
      </c>
      <c r="H7" s="762"/>
      <c r="I7" s="467"/>
      <c r="J7" s="360"/>
      <c r="K7" s="360"/>
    </row>
    <row r="8" spans="1:11" ht="15.95" customHeight="1">
      <c r="A8" s="175"/>
      <c r="B8" s="465" t="s">
        <v>135</v>
      </c>
      <c r="C8" s="748">
        <f>+'Producción Bruta (tcal)'!C10</f>
        <v>9401.5571213901076</v>
      </c>
      <c r="D8" s="748">
        <f>+'Balance de energía'!D4</f>
        <v>34810.519397158496</v>
      </c>
      <c r="E8" s="748">
        <f>+'Balance de energía'!D5</f>
        <v>0</v>
      </c>
      <c r="F8" s="748">
        <f>+'Balance de energía'!D6</f>
        <v>2730.6838839472657</v>
      </c>
      <c r="G8" s="748">
        <f>+'Balance de energía'!D10</f>
        <v>41481.392634601332</v>
      </c>
      <c r="H8" s="182"/>
      <c r="I8" s="467"/>
      <c r="J8" s="468"/>
      <c r="K8" s="360"/>
    </row>
    <row r="9" spans="1:11" ht="15.95" customHeight="1">
      <c r="A9" s="175"/>
      <c r="B9" s="465" t="s">
        <v>41</v>
      </c>
      <c r="C9" s="748">
        <f>+'Producción Bruta (tcal)'!C11</f>
        <v>13513.885199999999</v>
      </c>
      <c r="D9" s="748">
        <f>+'Balance de energía'!E4</f>
        <v>59728.889766499931</v>
      </c>
      <c r="E9" s="748">
        <f>+'Balance de energía'!E5</f>
        <v>5907.58</v>
      </c>
      <c r="F9" s="748">
        <f>+'Balance de energía'!E6</f>
        <v>-8226.9217888023304</v>
      </c>
      <c r="G9" s="748">
        <f>+'Balance de energía'!E10</f>
        <v>75562.116755302253</v>
      </c>
      <c r="H9" s="182"/>
      <c r="I9" s="467"/>
      <c r="J9" s="468"/>
      <c r="K9" s="360"/>
    </row>
    <row r="10" spans="1:11" ht="15.95" customHeight="1">
      <c r="A10" s="175"/>
      <c r="B10" s="465" t="s">
        <v>447</v>
      </c>
      <c r="C10" s="748">
        <f>+'Producción Bruta (tcal)'!C12</f>
        <v>73430.280199428016</v>
      </c>
      <c r="D10" s="748">
        <f>+'Balance de energía'!F4</f>
        <v>74.150999999999996</v>
      </c>
      <c r="E10" s="748">
        <f>+'Balance de energía'!F5</f>
        <v>0.50298100000000001</v>
      </c>
      <c r="F10" s="748">
        <f>+'Balance de energía'!F6</f>
        <v>545.00895677164249</v>
      </c>
      <c r="G10" s="748">
        <f>+'Balance de energía'!F10</f>
        <v>72958.919261656367</v>
      </c>
      <c r="H10" s="182"/>
      <c r="I10" s="467"/>
      <c r="J10" s="360"/>
      <c r="K10" s="360"/>
    </row>
    <row r="11" spans="1:11" ht="15.95" customHeight="1">
      <c r="A11" s="175"/>
      <c r="B11" s="465" t="s">
        <v>267</v>
      </c>
      <c r="C11" s="748">
        <f>+'Producción Bruta (tcal)'!C13</f>
        <v>20310.838125240003</v>
      </c>
      <c r="D11" s="748">
        <f>+'Balance de energía'!G4</f>
        <v>0</v>
      </c>
      <c r="E11" s="748">
        <f>+'Balance de energía'!G5</f>
        <v>0</v>
      </c>
      <c r="F11" s="748">
        <f>+'Balance de energía'!G6</f>
        <v>0</v>
      </c>
      <c r="G11" s="748">
        <f>+'Balance de energía'!G10</f>
        <v>20310.838125240003</v>
      </c>
      <c r="H11" s="182"/>
      <c r="I11" s="467"/>
      <c r="J11" s="360"/>
      <c r="K11" s="360"/>
    </row>
    <row r="12" spans="1:11" ht="15.95" customHeight="1">
      <c r="A12" s="175"/>
      <c r="B12" s="465" t="s">
        <v>268</v>
      </c>
      <c r="C12" s="748">
        <f>+'Producción Bruta (tcal)'!C14</f>
        <v>1818.2696449399996</v>
      </c>
      <c r="D12" s="748">
        <f>+'Balance de energía'!H4</f>
        <v>0</v>
      </c>
      <c r="E12" s="748">
        <f>+'Balance de energía'!H5</f>
        <v>0</v>
      </c>
      <c r="F12" s="748">
        <f>+'Balance de energía'!H6</f>
        <v>0</v>
      </c>
      <c r="G12" s="748">
        <f>+'Balance de energía'!H10</f>
        <v>1818.2696449399996</v>
      </c>
      <c r="H12" s="182"/>
      <c r="I12" s="467"/>
      <c r="J12" s="360"/>
      <c r="K12" s="360"/>
    </row>
    <row r="13" spans="1:11" ht="15.95" customHeight="1">
      <c r="A13" s="175"/>
      <c r="B13" s="465" t="s">
        <v>431</v>
      </c>
      <c r="C13" s="748">
        <f>+'Producción Bruta (tcal)'!C15</f>
        <v>1084.3449052367998</v>
      </c>
      <c r="D13" s="748">
        <f>+'Balance de energía'!I4</f>
        <v>0</v>
      </c>
      <c r="E13" s="748">
        <f>+'Balance de energía'!I5</f>
        <v>0</v>
      </c>
      <c r="F13" s="748">
        <f>+'Balance de energía'!I6</f>
        <v>0</v>
      </c>
      <c r="G13" s="748">
        <f>+'Balance de energía'!I10</f>
        <v>1084.3449052367998</v>
      </c>
      <c r="H13" s="182"/>
      <c r="I13" s="467"/>
      <c r="J13" s="360"/>
      <c r="K13" s="360"/>
    </row>
    <row r="14" spans="1:11" ht="15.95" customHeight="1">
      <c r="A14" s="175"/>
      <c r="B14" s="465" t="s">
        <v>42</v>
      </c>
      <c r="C14" s="748">
        <f>+'Producción Bruta (tcal)'!C16</f>
        <v>876.9173799709082</v>
      </c>
      <c r="D14" s="748">
        <f>+'Balance de energía'!J4</f>
        <v>0</v>
      </c>
      <c r="E14" s="748">
        <f>+'Balance de energía'!J5</f>
        <v>0</v>
      </c>
      <c r="F14" s="748">
        <f>+'Balance de energía'!J6</f>
        <v>34.373063485806483</v>
      </c>
      <c r="G14" s="748">
        <f>+'Balance de energía'!J10</f>
        <v>842.54431648510172</v>
      </c>
      <c r="H14" s="182"/>
      <c r="I14" s="467"/>
      <c r="J14" s="360"/>
      <c r="K14" s="360"/>
    </row>
    <row r="15" spans="1:11" ht="15.95" customHeight="1">
      <c r="A15" s="175"/>
      <c r="B15" s="463" t="s">
        <v>33</v>
      </c>
      <c r="C15" s="464">
        <f>SUM(C7:C14)</f>
        <v>123081.24710790023</v>
      </c>
      <c r="D15" s="464">
        <f>SUM(D7:D14)</f>
        <v>184739.34498866685</v>
      </c>
      <c r="E15" s="464">
        <f>SUM(E7:E14)</f>
        <v>5908.0829809999996</v>
      </c>
      <c r="F15" s="464">
        <f>SUM(F7:F14)</f>
        <v>-4495.8151204616961</v>
      </c>
      <c r="G15" s="464">
        <f>SUM(G7:G14)</f>
        <v>306408.32423602871</v>
      </c>
      <c r="H15" s="182"/>
      <c r="I15" s="467"/>
      <c r="J15" s="360"/>
      <c r="K15" s="360"/>
    </row>
    <row r="16" spans="1:11">
      <c r="A16" s="175"/>
      <c r="B16" s="24"/>
      <c r="C16" s="24"/>
      <c r="D16" s="24"/>
      <c r="E16" s="24"/>
      <c r="F16" s="24"/>
      <c r="G16" s="24"/>
      <c r="H16" s="182"/>
      <c r="I16" s="467"/>
      <c r="J16" s="360"/>
      <c r="K16" s="360"/>
    </row>
    <row r="17" spans="1:13">
      <c r="A17" s="136"/>
      <c r="B17" s="274" t="s">
        <v>622</v>
      </c>
      <c r="C17" s="171"/>
      <c r="D17" s="171"/>
      <c r="E17" s="171"/>
      <c r="F17" s="171"/>
      <c r="G17" s="171"/>
      <c r="H17" s="169"/>
      <c r="I17" s="441"/>
      <c r="J17" s="360"/>
      <c r="K17" s="360"/>
    </row>
    <row r="18" spans="1:13">
      <c r="A18" s="136"/>
      <c r="B18" s="274" t="s">
        <v>610</v>
      </c>
      <c r="C18" s="171"/>
      <c r="D18" s="171"/>
      <c r="E18" s="171"/>
      <c r="F18" s="171"/>
      <c r="G18" s="171"/>
      <c r="H18" s="169"/>
      <c r="I18" s="441"/>
      <c r="J18" s="360"/>
      <c r="K18" s="360"/>
    </row>
    <row r="19" spans="1:13">
      <c r="A19" s="136"/>
      <c r="B19" s="272" t="s">
        <v>293</v>
      </c>
      <c r="C19" s="171"/>
      <c r="D19" s="171"/>
      <c r="E19" s="171"/>
      <c r="F19" s="171"/>
      <c r="G19" s="171"/>
      <c r="H19" s="169"/>
      <c r="I19" s="441"/>
      <c r="J19" s="360"/>
      <c r="K19" s="360"/>
    </row>
    <row r="20" spans="1:13">
      <c r="A20" s="136"/>
      <c r="B20" s="272" t="s">
        <v>527</v>
      </c>
      <c r="C20" s="171"/>
      <c r="D20" s="171"/>
      <c r="E20" s="20"/>
      <c r="F20" s="20"/>
      <c r="G20" s="20"/>
      <c r="H20" s="174"/>
      <c r="I20" s="441"/>
      <c r="J20" s="360"/>
      <c r="K20" s="360"/>
    </row>
    <row r="21" spans="1:13">
      <c r="A21" s="136"/>
      <c r="B21" s="20"/>
      <c r="C21" s="347"/>
      <c r="D21" s="347"/>
      <c r="E21" s="347"/>
      <c r="F21" s="347"/>
      <c r="G21" s="347"/>
      <c r="H21" s="348"/>
      <c r="I21" s="348"/>
      <c r="J21" s="349"/>
      <c r="K21" s="350"/>
      <c r="L21" s="349"/>
      <c r="M21" s="351"/>
    </row>
    <row r="22" spans="1:13">
      <c r="A22" s="175"/>
      <c r="B22" s="24"/>
      <c r="C22" s="352"/>
      <c r="D22" s="352"/>
      <c r="E22" s="352"/>
      <c r="F22" s="352"/>
      <c r="G22" s="352"/>
      <c r="H22" s="348"/>
      <c r="I22" s="352"/>
      <c r="J22" s="350"/>
      <c r="K22" s="350"/>
      <c r="L22" s="350"/>
      <c r="M22" s="351"/>
    </row>
    <row r="23" spans="1:13">
      <c r="A23" s="175"/>
      <c r="B23" s="24"/>
      <c r="C23" s="352"/>
      <c r="D23" s="352"/>
      <c r="E23" s="352"/>
      <c r="F23" s="352"/>
      <c r="G23" s="352"/>
      <c r="H23" s="348"/>
      <c r="I23" s="352"/>
      <c r="J23" s="350"/>
      <c r="K23" s="466"/>
      <c r="L23" s="350"/>
      <c r="M23" s="351"/>
    </row>
    <row r="24" spans="1:13">
      <c r="B24" s="2"/>
      <c r="C24" s="823"/>
      <c r="D24" s="824"/>
      <c r="E24" s="824"/>
      <c r="F24" s="824"/>
      <c r="G24" s="824"/>
      <c r="H24" s="824"/>
      <c r="I24" s="824"/>
      <c r="J24" s="824"/>
      <c r="K24" s="824"/>
      <c r="L24" s="350"/>
      <c r="M24" s="351"/>
    </row>
    <row r="25" spans="1:13">
      <c r="B25" s="2"/>
      <c r="C25" s="823"/>
      <c r="D25" s="353"/>
      <c r="E25" s="353"/>
      <c r="F25" s="353"/>
      <c r="G25" s="353"/>
      <c r="H25" s="353"/>
      <c r="I25" s="353"/>
      <c r="J25" s="353"/>
      <c r="K25" s="353"/>
      <c r="L25" s="350"/>
      <c r="M25" s="351"/>
    </row>
    <row r="26" spans="1:13">
      <c r="B26" s="2"/>
      <c r="C26" s="354"/>
      <c r="D26" s="355"/>
      <c r="E26" s="355"/>
      <c r="F26" s="355"/>
      <c r="G26" s="355"/>
      <c r="H26" s="355"/>
      <c r="I26" s="355"/>
      <c r="J26" s="355"/>
      <c r="K26" s="355"/>
      <c r="L26" s="350"/>
      <c r="M26" s="351"/>
    </row>
    <row r="27" spans="1:13">
      <c r="B27" s="2"/>
      <c r="C27" s="354"/>
      <c r="D27" s="355"/>
      <c r="E27" s="355"/>
      <c r="F27" s="355"/>
      <c r="G27" s="355"/>
      <c r="H27" s="355"/>
      <c r="I27" s="355"/>
      <c r="J27" s="355"/>
      <c r="K27" s="355"/>
      <c r="L27" s="350"/>
      <c r="M27" s="351"/>
    </row>
    <row r="28" spans="1:13">
      <c r="B28" s="2"/>
      <c r="C28" s="354"/>
      <c r="D28" s="355"/>
      <c r="E28" s="355"/>
      <c r="F28" s="355"/>
      <c r="G28" s="355"/>
      <c r="H28" s="355"/>
      <c r="I28" s="355"/>
      <c r="J28" s="355"/>
      <c r="K28" s="355"/>
      <c r="L28" s="350"/>
      <c r="M28" s="351"/>
    </row>
    <row r="29" spans="1:13">
      <c r="B29" s="2"/>
      <c r="C29" s="354"/>
      <c r="D29" s="355"/>
      <c r="E29" s="355"/>
      <c r="F29" s="355"/>
      <c r="G29" s="355"/>
      <c r="H29" s="355"/>
      <c r="I29" s="355"/>
      <c r="J29" s="355"/>
      <c r="K29" s="355"/>
      <c r="L29" s="350"/>
      <c r="M29" s="351"/>
    </row>
    <row r="30" spans="1:13">
      <c r="B30" s="2"/>
      <c r="C30" s="356"/>
      <c r="D30" s="357"/>
      <c r="E30" s="357"/>
      <c r="F30" s="357"/>
      <c r="G30" s="357"/>
      <c r="H30" s="357"/>
      <c r="I30" s="357"/>
      <c r="J30" s="357"/>
      <c r="K30" s="357"/>
      <c r="L30" s="350"/>
      <c r="M30" s="351"/>
    </row>
    <row r="31" spans="1:13">
      <c r="A31" s="2"/>
      <c r="B31" s="2"/>
      <c r="C31" s="350"/>
      <c r="D31" s="350"/>
      <c r="E31" s="350"/>
      <c r="F31" s="350"/>
      <c r="G31" s="350"/>
      <c r="H31" s="349"/>
      <c r="I31" s="350"/>
      <c r="J31" s="350"/>
      <c r="K31" s="350"/>
      <c r="L31" s="350"/>
      <c r="M31" s="351"/>
    </row>
    <row r="32" spans="1:13">
      <c r="A32" s="2"/>
      <c r="B32" s="2"/>
      <c r="C32" s="350"/>
      <c r="D32" s="350"/>
      <c r="E32" s="350"/>
      <c r="F32" s="350"/>
      <c r="G32" s="350"/>
      <c r="H32" s="349"/>
      <c r="I32" s="350"/>
      <c r="J32" s="350"/>
      <c r="K32" s="350"/>
      <c r="L32" s="350"/>
      <c r="M32" s="351"/>
    </row>
    <row r="33" spans="1:13">
      <c r="A33" s="2"/>
      <c r="B33" s="2"/>
      <c r="C33" s="350"/>
      <c r="D33" s="350"/>
      <c r="E33" s="350"/>
      <c r="F33" s="350"/>
      <c r="G33" s="349"/>
      <c r="H33" s="349"/>
      <c r="I33" s="350"/>
      <c r="J33" s="350"/>
      <c r="K33" s="350"/>
      <c r="L33" s="350"/>
      <c r="M33" s="351"/>
    </row>
    <row r="34" spans="1:13">
      <c r="A34" s="2"/>
      <c r="B34" s="2"/>
      <c r="C34" s="351"/>
      <c r="D34" s="351"/>
      <c r="E34" s="351"/>
      <c r="F34" s="351"/>
      <c r="G34" s="351"/>
      <c r="H34" s="358"/>
      <c r="I34" s="351"/>
      <c r="J34" s="351"/>
      <c r="K34" s="351"/>
      <c r="L34" s="351"/>
      <c r="M34" s="351"/>
    </row>
    <row r="35" spans="1:13">
      <c r="A35" s="2"/>
      <c r="B35" s="2"/>
      <c r="C35" s="351"/>
      <c r="D35" s="351"/>
      <c r="E35" s="351"/>
      <c r="F35" s="351"/>
      <c r="G35" s="351"/>
      <c r="H35" s="358"/>
      <c r="I35" s="351"/>
      <c r="J35" s="351"/>
      <c r="K35" s="351"/>
      <c r="L35" s="351"/>
      <c r="M35" s="351"/>
    </row>
    <row r="36" spans="1:13" s="2" customFormat="1">
      <c r="C36" s="351"/>
      <c r="D36" s="351"/>
      <c r="E36" s="351"/>
      <c r="F36" s="351"/>
      <c r="G36" s="351"/>
      <c r="H36" s="358"/>
      <c r="I36" s="351"/>
      <c r="J36" s="351"/>
      <c r="K36" s="351"/>
      <c r="L36" s="351"/>
      <c r="M36" s="351"/>
    </row>
    <row r="37" spans="1:13" s="2" customFormat="1">
      <c r="C37" s="351"/>
      <c r="D37" s="351"/>
      <c r="E37" s="351"/>
      <c r="F37" s="351"/>
      <c r="G37" s="351"/>
      <c r="H37" s="358"/>
      <c r="I37" s="351"/>
      <c r="J37" s="351"/>
      <c r="K37" s="351"/>
      <c r="L37" s="351"/>
      <c r="M37" s="351"/>
    </row>
    <row r="38" spans="1:13" s="2" customFormat="1">
      <c r="C38" s="351"/>
      <c r="D38" s="351"/>
      <c r="E38" s="351"/>
      <c r="F38" s="351"/>
      <c r="G38" s="351"/>
      <c r="H38" s="358"/>
      <c r="I38" s="351"/>
      <c r="J38" s="351"/>
      <c r="K38" s="351"/>
      <c r="L38" s="351"/>
      <c r="M38" s="351"/>
    </row>
    <row r="39" spans="1:13" s="2" customFormat="1">
      <c r="H39" s="4"/>
    </row>
    <row r="40" spans="1:13" s="2" customFormat="1">
      <c r="H40" s="4"/>
    </row>
    <row r="41" spans="1:13" s="2" customFormat="1">
      <c r="H41" s="4"/>
    </row>
    <row r="42" spans="1:13" s="2" customFormat="1">
      <c r="H42" s="4"/>
    </row>
    <row r="43" spans="1:13" s="2" customFormat="1">
      <c r="H43" s="4"/>
    </row>
    <row r="44" spans="1:13" s="2" customFormat="1">
      <c r="H44" s="4"/>
    </row>
    <row r="45" spans="1:13" s="2" customFormat="1">
      <c r="H45" s="4"/>
    </row>
    <row r="46" spans="1:13" s="2" customFormat="1">
      <c r="H46" s="4"/>
    </row>
    <row r="47" spans="1:13" s="2" customFormat="1">
      <c r="H47" s="4"/>
    </row>
    <row r="48" spans="1:13" s="2" customFormat="1">
      <c r="H48" s="4"/>
    </row>
    <row r="49" spans="8:8" s="2" customFormat="1">
      <c r="H49" s="4"/>
    </row>
    <row r="50" spans="8:8" s="2" customFormat="1">
      <c r="H50" s="4"/>
    </row>
    <row r="51" spans="8:8" s="2" customFormat="1">
      <c r="H51" s="4"/>
    </row>
  </sheetData>
  <mergeCells count="11">
    <mergeCell ref="C24:C25"/>
    <mergeCell ref="D24:K24"/>
    <mergeCell ref="B2:G2"/>
    <mergeCell ref="B3:G3"/>
    <mergeCell ref="B4:G4"/>
    <mergeCell ref="D5:D6"/>
    <mergeCell ref="E5:E6"/>
    <mergeCell ref="B5:B6"/>
    <mergeCell ref="F5:F6"/>
    <mergeCell ref="G5:G6"/>
    <mergeCell ref="C5:C6"/>
  </mergeCells>
  <phoneticPr fontId="0" type="noConversion"/>
  <hyperlinks>
    <hyperlink ref="I2" location="Índice!A1" display="VOLVER A INDICE"/>
  </hyperlinks>
  <pageMargins left="0.75" right="0.75" top="1" bottom="1" header="0" footer="0"/>
  <pageSetup scale="89"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theme="9" tint="0.39997558519241921"/>
    <pageSetUpPr fitToPage="1"/>
  </sheetPr>
  <dimension ref="A1:X80"/>
  <sheetViews>
    <sheetView workbookViewId="0"/>
  </sheetViews>
  <sheetFormatPr baseColWidth="10" defaultRowHeight="12.75" outlineLevelRow="1"/>
  <cols>
    <col min="1" max="1" width="1.85546875" style="135" customWidth="1"/>
    <col min="2" max="2" width="30.7109375" style="135" customWidth="1"/>
    <col min="3" max="3" width="15" style="135" customWidth="1"/>
    <col min="4" max="5" width="15.5703125" style="135" customWidth="1"/>
    <col min="6" max="6" width="16.5703125" style="135" customWidth="1"/>
    <col min="7" max="7" width="11.5703125" style="135" customWidth="1"/>
    <col min="8" max="8" width="12.42578125" style="135" customWidth="1"/>
    <col min="9" max="9" width="12.140625" style="135" customWidth="1"/>
    <col min="10" max="24" width="11.42578125" style="4"/>
    <col min="25" max="16384" width="11.42578125" style="135"/>
  </cols>
  <sheetData>
    <row r="1" spans="1:20" ht="8.25" customHeight="1">
      <c r="A1" s="163"/>
      <c r="B1" s="163"/>
      <c r="C1" s="163"/>
      <c r="D1" s="163"/>
      <c r="E1" s="163"/>
      <c r="F1" s="163"/>
      <c r="G1" s="163"/>
      <c r="H1" s="163"/>
      <c r="I1" s="163"/>
      <c r="J1" s="174"/>
    </row>
    <row r="2" spans="1:20" ht="15.95" customHeight="1">
      <c r="A2" s="163"/>
      <c r="B2" s="830" t="s">
        <v>600</v>
      </c>
      <c r="C2" s="830"/>
      <c r="D2" s="830"/>
      <c r="E2" s="830"/>
      <c r="F2" s="830"/>
      <c r="G2" s="830"/>
      <c r="H2" s="830"/>
      <c r="I2" s="830"/>
      <c r="K2" s="699" t="s">
        <v>229</v>
      </c>
      <c r="L2" s="7"/>
    </row>
    <row r="3" spans="1:20" ht="15.95" customHeight="1">
      <c r="A3" s="163"/>
      <c r="B3" s="831" t="s">
        <v>346</v>
      </c>
      <c r="C3" s="831"/>
      <c r="D3" s="831"/>
      <c r="E3" s="831"/>
      <c r="F3" s="831"/>
      <c r="G3" s="831"/>
      <c r="H3" s="831"/>
      <c r="I3" s="831"/>
      <c r="K3" s="309"/>
      <c r="L3" s="7"/>
    </row>
    <row r="4" spans="1:20" ht="15.95" customHeight="1">
      <c r="A4" s="163"/>
      <c r="B4" s="832" t="s">
        <v>446</v>
      </c>
      <c r="C4" s="832"/>
      <c r="D4" s="832"/>
      <c r="E4" s="832"/>
      <c r="F4" s="832"/>
      <c r="G4" s="832"/>
      <c r="H4" s="832"/>
      <c r="I4" s="832"/>
      <c r="J4" s="424"/>
      <c r="K4" s="7"/>
      <c r="L4" s="7"/>
    </row>
    <row r="5" spans="1:20" ht="15.95" customHeight="1">
      <c r="A5" s="163"/>
      <c r="B5" s="819" t="s">
        <v>253</v>
      </c>
      <c r="C5" s="827" t="s">
        <v>475</v>
      </c>
      <c r="D5" s="827" t="s">
        <v>280</v>
      </c>
      <c r="E5" s="827" t="s">
        <v>281</v>
      </c>
      <c r="F5" s="827" t="s">
        <v>599</v>
      </c>
      <c r="G5" s="827" t="s">
        <v>62</v>
      </c>
      <c r="H5" s="827" t="s">
        <v>521</v>
      </c>
      <c r="I5" s="827" t="s">
        <v>64</v>
      </c>
      <c r="J5" s="424"/>
      <c r="K5" s="7"/>
      <c r="L5" s="7"/>
    </row>
    <row r="6" spans="1:20" ht="15.95" customHeight="1">
      <c r="A6" s="163"/>
      <c r="B6" s="819"/>
      <c r="C6" s="827"/>
      <c r="D6" s="827"/>
      <c r="E6" s="827"/>
      <c r="F6" s="827"/>
      <c r="G6" s="827"/>
      <c r="H6" s="827"/>
      <c r="I6" s="827"/>
      <c r="J6" s="425"/>
      <c r="K6" s="7"/>
      <c r="L6" s="7"/>
    </row>
    <row r="7" spans="1:20" ht="15.95" customHeight="1">
      <c r="A7" s="163"/>
      <c r="B7" s="473" t="s">
        <v>345</v>
      </c>
      <c r="C7" s="749">
        <f t="shared" ref="C7:H7" si="0">SUM(C8:C18)</f>
        <v>96024.525009667399</v>
      </c>
      <c r="D7" s="749">
        <f t="shared" si="0"/>
        <v>81949.403110342013</v>
      </c>
      <c r="E7" s="749">
        <f t="shared" si="0"/>
        <v>5334.8548232648</v>
      </c>
      <c r="F7" s="749">
        <f t="shared" si="0"/>
        <v>6285.3072633543507</v>
      </c>
      <c r="G7" s="749">
        <f t="shared" si="0"/>
        <v>152229.64799034805</v>
      </c>
      <c r="H7" s="749">
        <f t="shared" si="0"/>
        <v>8527.7114510422034</v>
      </c>
      <c r="I7" s="749">
        <f>+SUM(I8:I18)</f>
        <v>160757.35944139026</v>
      </c>
      <c r="J7" s="453"/>
      <c r="K7" s="761"/>
      <c r="L7" s="6"/>
      <c r="M7" s="6"/>
    </row>
    <row r="8" spans="1:20" ht="15.95" customHeight="1" outlineLevel="1">
      <c r="A8" s="163"/>
      <c r="B8" s="469" t="s">
        <v>269</v>
      </c>
      <c r="C8" s="748">
        <f>+'Producción Bruta (tcal)'!E$9</f>
        <v>33035.776555739998</v>
      </c>
      <c r="D8" s="748">
        <f>+'Balance de energía'!K4</f>
        <v>56994.538688359993</v>
      </c>
      <c r="E8" s="748">
        <f>+'Balance de energía'!K5</f>
        <v>863.5598897640001</v>
      </c>
      <c r="F8" s="748">
        <f>+'Balance de energía'!K6</f>
        <v>7354.794292370505</v>
      </c>
      <c r="G8" s="748">
        <f>+'Balance de energía'!K19</f>
        <v>75135.940189026034</v>
      </c>
      <c r="H8" s="748">
        <f>'Cuadro Consumo (tcal)'!$L$8</f>
        <v>6676.0208729394453</v>
      </c>
      <c r="I8" s="749">
        <f>SUM(G8:H8)</f>
        <v>81811.961061965485</v>
      </c>
      <c r="J8" s="453"/>
      <c r="K8" s="761"/>
      <c r="L8" s="159"/>
      <c r="M8" s="159"/>
    </row>
    <row r="9" spans="1:20" ht="15.95" customHeight="1" outlineLevel="1">
      <c r="A9" s="163"/>
      <c r="B9" s="469" t="s">
        <v>270</v>
      </c>
      <c r="C9" s="748">
        <f>+'Producción Bruta (tcal)'!$E$10</f>
        <v>13141.633575</v>
      </c>
      <c r="D9" s="748">
        <f>+'Balance de energía'!$L4</f>
        <v>333.32462782499999</v>
      </c>
      <c r="E9" s="748">
        <f>+'Balance de energía'!$L5</f>
        <v>3167.4642299999996</v>
      </c>
      <c r="F9" s="748">
        <f>+'Balance de energía'!$L6</f>
        <v>-679.23619221181502</v>
      </c>
      <c r="G9" s="748">
        <f>+'Balance de energía'!$L19</f>
        <v>9405.8327487718234</v>
      </c>
      <c r="H9" s="748">
        <f>'Cuadro Consumo (tcal)'!$M$8</f>
        <v>1580.8974162649931</v>
      </c>
      <c r="I9" s="749">
        <f t="shared" ref="I9:I29" si="1">SUM(G9:H9)</f>
        <v>10986.730165036817</v>
      </c>
      <c r="J9" s="453"/>
      <c r="K9" s="761"/>
      <c r="L9" s="159"/>
      <c r="M9" s="159"/>
    </row>
    <row r="10" spans="1:20" ht="15.95" customHeight="1" outlineLevel="1">
      <c r="A10" s="163"/>
      <c r="B10" s="469" t="s">
        <v>330</v>
      </c>
      <c r="C10" s="748">
        <f>+'Producción Bruta (tcal)'!$E$11</f>
        <v>31617.456203199999</v>
      </c>
      <c r="D10" s="748">
        <f>+'Balance de energía'!$M4</f>
        <v>5465.8113440000006</v>
      </c>
      <c r="E10" s="748">
        <f>+'Balance de energía'!$M5</f>
        <v>785.27209600000003</v>
      </c>
      <c r="F10" s="748">
        <f>+'Balance de energía'!$M6</f>
        <v>-998.38861742714539</v>
      </c>
      <c r="G10" s="748">
        <f>+'Balance de energía'!$M19</f>
        <v>34498.180772627144</v>
      </c>
      <c r="H10" s="748">
        <f>'Cuadro Consumo (tcal)'!$N$8</f>
        <v>-2798.2032959999997</v>
      </c>
      <c r="I10" s="749">
        <f t="shared" si="1"/>
        <v>31699.977476627144</v>
      </c>
      <c r="J10" s="453"/>
      <c r="K10" s="761"/>
      <c r="L10" s="159"/>
      <c r="M10" s="159"/>
    </row>
    <row r="11" spans="1:20" ht="15.95" customHeight="1" outlineLevel="1">
      <c r="A11" s="163"/>
      <c r="B11" s="469" t="s">
        <v>38</v>
      </c>
      <c r="C11" s="748">
        <f>+'Producción Bruta (tcal)'!$E$12</f>
        <v>1638.5782815000002</v>
      </c>
      <c r="D11" s="748">
        <f>+'Balance de energía'!$N4</f>
        <v>0</v>
      </c>
      <c r="E11" s="748">
        <f>+'Balance de energía'!$N5</f>
        <v>0</v>
      </c>
      <c r="F11" s="748">
        <f>+'Balance de energía'!$N6</f>
        <v>-11.785904037116424</v>
      </c>
      <c r="G11" s="748">
        <f>+'Balance de energía'!$N19</f>
        <v>1592.0036045371162</v>
      </c>
      <c r="H11" s="748">
        <f>'Cuadro Consumo (tcal)'!$O$8</f>
        <v>58.360581000000025</v>
      </c>
      <c r="I11" s="749">
        <f t="shared" si="1"/>
        <v>1650.3641855371161</v>
      </c>
      <c r="J11" s="453"/>
      <c r="K11" s="761"/>
      <c r="L11" s="159"/>
      <c r="M11" s="159"/>
    </row>
    <row r="12" spans="1:20" ht="15.95" customHeight="1" outlineLevel="1">
      <c r="A12" s="163"/>
      <c r="B12" s="469" t="s">
        <v>271</v>
      </c>
      <c r="C12" s="748">
        <f>+'Producción Bruta (tcal)'!$E$13</f>
        <v>3688.3434169999996</v>
      </c>
      <c r="D12" s="748">
        <f>+'Balance de energía'!$O4</f>
        <v>11651.796277000005</v>
      </c>
      <c r="E12" s="748">
        <f>+'Balance de energía'!$O5</f>
        <v>453.29760520000002</v>
      </c>
      <c r="F12" s="748">
        <f>+'Balance de energía'!$O6</f>
        <v>788.0050368755301</v>
      </c>
      <c r="G12" s="748">
        <f>+'Balance de energía'!$O19</f>
        <v>14011.602080686711</v>
      </c>
      <c r="H12" s="748">
        <f>'Cuadro Consumo (tcal)'!$P$8</f>
        <v>87.234971237765308</v>
      </c>
      <c r="I12" s="749">
        <f t="shared" si="1"/>
        <v>14098.837051924476</v>
      </c>
      <c r="J12" s="453"/>
      <c r="K12" s="761"/>
      <c r="L12" s="159"/>
      <c r="M12" s="159"/>
    </row>
    <row r="13" spans="1:20" ht="15.95" customHeight="1" outlineLevel="1">
      <c r="A13" s="163"/>
      <c r="B13" s="469" t="s">
        <v>272</v>
      </c>
      <c r="C13" s="748">
        <f>+'Producción Bruta (tcal)'!$E$14</f>
        <v>52.142916</v>
      </c>
      <c r="D13" s="748">
        <f>+'Balance de energía'!$P4</f>
        <v>38.016719999999999</v>
      </c>
      <c r="E13" s="748">
        <f>+'Balance de energía'!$P5</f>
        <v>0</v>
      </c>
      <c r="F13" s="748">
        <f>+'Balance de energía'!$P6</f>
        <v>19.657393934742544</v>
      </c>
      <c r="G13" s="748">
        <f>+'Balance de energía'!$P19</f>
        <v>70.502242065257462</v>
      </c>
      <c r="H13" s="748">
        <f>'Cuadro Consumo (tcal)'!$Q$8</f>
        <v>0</v>
      </c>
      <c r="I13" s="749">
        <f t="shared" si="1"/>
        <v>70.502242065257462</v>
      </c>
      <c r="J13" s="453"/>
      <c r="K13" s="761"/>
      <c r="L13" s="159"/>
      <c r="M13" s="159"/>
    </row>
    <row r="14" spans="1:20" ht="15.95" customHeight="1" outlineLevel="1">
      <c r="A14" s="163"/>
      <c r="B14" s="469" t="s">
        <v>273</v>
      </c>
      <c r="C14" s="748">
        <f>+'Producción Bruta (tcal)'!$E$15</f>
        <v>6353.3365837200008</v>
      </c>
      <c r="D14" s="748">
        <f>+'Balance de energía'!$Q4</f>
        <v>5551.748537157001</v>
      </c>
      <c r="E14" s="748">
        <f>+'Balance de energía'!$Q5</f>
        <v>3.1108859999999998</v>
      </c>
      <c r="F14" s="748">
        <f>+'Balance de energía'!$Q6</f>
        <v>139.66854133629388</v>
      </c>
      <c r="G14" s="748">
        <f>+'Balance de energía'!$Q19</f>
        <v>11760.506594440709</v>
      </c>
      <c r="H14" s="748">
        <f>'Cuadro Consumo (tcal)'!$R$8</f>
        <v>1.7990991000000001</v>
      </c>
      <c r="I14" s="749">
        <f t="shared" si="1"/>
        <v>11762.305693540709</v>
      </c>
      <c r="J14" s="453"/>
      <c r="K14" s="761"/>
      <c r="L14" s="159"/>
      <c r="M14" s="159"/>
    </row>
    <row r="15" spans="1:20" ht="15.95" customHeight="1" outlineLevel="1">
      <c r="A15" s="163"/>
      <c r="B15" s="469" t="s">
        <v>40</v>
      </c>
      <c r="C15" s="748">
        <f>+'Producción Bruta (tcal)'!$E$16</f>
        <v>1385.8259230000003</v>
      </c>
      <c r="D15" s="748">
        <f>+'Balance de energía'!$R4</f>
        <v>1560.8419160000003</v>
      </c>
      <c r="E15" s="748">
        <f>+'Balance de energía'!$R5</f>
        <v>0</v>
      </c>
      <c r="F15" s="748">
        <f>+'Balance de energía'!$R6</f>
        <v>86.198839950000547</v>
      </c>
      <c r="G15" s="748">
        <f>+'Balance de energía'!$R19</f>
        <v>1344.0961925500001</v>
      </c>
      <c r="H15" s="748">
        <f>'Cuadro Consumo (tcal)'!$S$8</f>
        <v>1516.3728065</v>
      </c>
      <c r="I15" s="749">
        <f t="shared" si="1"/>
        <v>2860.4689990500001</v>
      </c>
      <c r="J15" s="453"/>
      <c r="K15" s="761"/>
      <c r="L15" s="159"/>
      <c r="M15" s="159"/>
    </row>
    <row r="16" spans="1:20" ht="15.95" customHeight="1" outlineLevel="1">
      <c r="A16" s="163"/>
      <c r="B16" s="469" t="s">
        <v>274</v>
      </c>
      <c r="C16" s="748">
        <f>+'Producción Bruta (tcal)'!$E$17</f>
        <v>1.4761283207119327</v>
      </c>
      <c r="D16" s="748">
        <f>+'Balance de energía'!$S4</f>
        <v>0</v>
      </c>
      <c r="E16" s="748">
        <f>+'Balance de energía'!$S5</f>
        <v>0</v>
      </c>
      <c r="F16" s="748">
        <f>+'Balance de energía'!$S6</f>
        <v>0</v>
      </c>
      <c r="G16" s="748">
        <f>+'Balance de energía'!$S19</f>
        <v>1.4761283207119327</v>
      </c>
      <c r="H16" s="748">
        <f>'Cuadro Consumo (tcal)'!$T$8</f>
        <v>0</v>
      </c>
      <c r="I16" s="749">
        <f t="shared" si="1"/>
        <v>1.4761283207119327</v>
      </c>
      <c r="J16" s="453"/>
      <c r="K16" s="761"/>
      <c r="L16" s="159"/>
      <c r="O16" s="2"/>
      <c r="P16" s="2"/>
      <c r="Q16" s="2"/>
      <c r="R16" s="2"/>
      <c r="S16" s="2"/>
      <c r="T16" s="2"/>
    </row>
    <row r="17" spans="1:20" ht="15.95" customHeight="1" outlineLevel="1">
      <c r="A17" s="163"/>
      <c r="B17" s="470" t="s">
        <v>275</v>
      </c>
      <c r="C17" s="748">
        <f>+'Producción Bruta (tcal)'!$E$18</f>
        <v>3527.4304324567001</v>
      </c>
      <c r="D17" s="748">
        <f>+'Balance de energía'!$T4</f>
        <v>353.32499999999999</v>
      </c>
      <c r="E17" s="748">
        <f>+'Balance de energía'!$T5</f>
        <v>0</v>
      </c>
      <c r="F17" s="748">
        <f>+'Balance de energía'!$T6</f>
        <v>349.06245645669952</v>
      </c>
      <c r="G17" s="748">
        <f>+'Balance de energía'!$T19</f>
        <v>2126.463976</v>
      </c>
      <c r="H17" s="748">
        <f>'Cuadro Consumo (tcal)'!$U$8</f>
        <v>1405.229</v>
      </c>
      <c r="I17" s="749">
        <f t="shared" si="1"/>
        <v>3531.6929760000003</v>
      </c>
      <c r="J17" s="453"/>
      <c r="K17" s="761"/>
      <c r="L17" s="159"/>
      <c r="M17" s="159"/>
      <c r="O17" s="160"/>
      <c r="P17" s="160"/>
      <c r="Q17" s="2"/>
      <c r="R17" s="160"/>
      <c r="S17" s="160"/>
      <c r="T17" s="2"/>
    </row>
    <row r="18" spans="1:20" ht="15.95" customHeight="1" outlineLevel="1">
      <c r="A18" s="163"/>
      <c r="B18" s="470" t="s">
        <v>479</v>
      </c>
      <c r="C18" s="748">
        <f>+'Producción Bruta (tcal)'!$E$19</f>
        <v>1582.52499373</v>
      </c>
      <c r="D18" s="748">
        <f>+'Balance de energía'!$U4</f>
        <v>0</v>
      </c>
      <c r="E18" s="748">
        <f>+'Balance de energía'!$U5</f>
        <v>62.150116300799993</v>
      </c>
      <c r="F18" s="748">
        <f>+'Balance de energía'!$U6</f>
        <v>-762.66858389334391</v>
      </c>
      <c r="G18" s="748">
        <f>+'Balance de energía'!$U19</f>
        <v>2283.0434613225439</v>
      </c>
      <c r="H18" s="748">
        <f>'Cuadro Consumo (tcal)'!$V$8</f>
        <v>0</v>
      </c>
      <c r="I18" s="749">
        <f t="shared" si="1"/>
        <v>2283.0434613225439</v>
      </c>
      <c r="J18" s="453"/>
      <c r="K18" s="761"/>
      <c r="L18" s="159"/>
      <c r="M18" s="159"/>
      <c r="O18" s="2"/>
      <c r="P18" s="2"/>
      <c r="Q18" s="2"/>
      <c r="R18" s="2"/>
      <c r="S18" s="2"/>
      <c r="T18" s="2"/>
    </row>
    <row r="19" spans="1:20" ht="15.95" customHeight="1">
      <c r="A19" s="163"/>
      <c r="B19" s="473" t="s">
        <v>126</v>
      </c>
      <c r="C19" s="749">
        <f>+'Producción Bruta (tcal)'!$I$9</f>
        <v>64091.627778193797</v>
      </c>
      <c r="D19" s="749">
        <f>+'Balance de energía'!$V4</f>
        <v>0</v>
      </c>
      <c r="E19" s="749">
        <f>+'Balance de energía'!$V5</f>
        <v>0</v>
      </c>
      <c r="F19" s="749">
        <f>+'Balance de energía'!$V6</f>
        <v>3624.0838318819774</v>
      </c>
      <c r="G19" s="749">
        <f>+'Balance de energía'!$V19</f>
        <v>60467.543946311816</v>
      </c>
      <c r="H19" s="749">
        <f>'Cuadro Consumo (tcal)'!$W$8</f>
        <v>0</v>
      </c>
      <c r="I19" s="749">
        <f t="shared" si="1"/>
        <v>60467.543946311816</v>
      </c>
      <c r="J19" s="453"/>
      <c r="K19" s="761"/>
      <c r="L19" s="6"/>
      <c r="M19" s="6"/>
    </row>
    <row r="20" spans="1:20" ht="15.95" customHeight="1">
      <c r="A20" s="163"/>
      <c r="B20" s="473" t="s">
        <v>292</v>
      </c>
      <c r="C20" s="749">
        <f>+'Producción Bruta (tcal)'!$G$9</f>
        <v>2919.1386441599998</v>
      </c>
      <c r="D20" s="749">
        <f>+'Balance de energía'!$W4</f>
        <v>19.189820999999998</v>
      </c>
      <c r="E20" s="749">
        <f>+'Balance de energía'!$W5</f>
        <v>278.74079999999998</v>
      </c>
      <c r="F20" s="749">
        <f>+'Balance de energía'!$W6</f>
        <v>51.431799899999902</v>
      </c>
      <c r="G20" s="749">
        <f>+'Balance de energía'!$W19</f>
        <v>90.029335500000002</v>
      </c>
      <c r="H20" s="749">
        <f>'Cuadro Consumo (tcal)'!$X$8</f>
        <v>2518.1265297599998</v>
      </c>
      <c r="I20" s="749">
        <f t="shared" si="1"/>
        <v>2608.1558652599997</v>
      </c>
      <c r="J20" s="453"/>
      <c r="K20" s="761"/>
      <c r="L20" s="6"/>
      <c r="M20" s="6"/>
    </row>
    <row r="21" spans="1:20" ht="15.95" customHeight="1">
      <c r="A21" s="163"/>
      <c r="B21" s="473" t="s">
        <v>277</v>
      </c>
      <c r="C21" s="749">
        <f>+'Producción Bruta (tcal)'!$G$10</f>
        <v>868.42499999999995</v>
      </c>
      <c r="D21" s="749">
        <f>+'Balance de energía'!$X4</f>
        <v>0</v>
      </c>
      <c r="E21" s="749">
        <f>+'Balance de energía'!$X5</f>
        <v>0</v>
      </c>
      <c r="F21" s="749">
        <f>+'Balance de energía'!$X6</f>
        <v>52.381999999999913</v>
      </c>
      <c r="G21" s="749">
        <f>+'Balance de energía'!$X19</f>
        <v>816.04300000000001</v>
      </c>
      <c r="H21" s="749">
        <f>'Cuadro Consumo (tcal)'!$Y$8</f>
        <v>0</v>
      </c>
      <c r="I21" s="749">
        <f t="shared" si="1"/>
        <v>816.04300000000001</v>
      </c>
      <c r="J21" s="453"/>
      <c r="K21" s="761"/>
      <c r="L21" s="6"/>
      <c r="M21" s="6"/>
    </row>
    <row r="22" spans="1:20" ht="15.95" customHeight="1">
      <c r="A22" s="163"/>
      <c r="B22" s="473" t="s">
        <v>611</v>
      </c>
      <c r="C22" s="749">
        <f>+'Producción Bruta (tcal)'!$G$11</f>
        <v>195.45099999999999</v>
      </c>
      <c r="D22" s="749">
        <f>+'Balance de energía'!$Y4</f>
        <v>0</v>
      </c>
      <c r="E22" s="749">
        <f>+'Balance de energía'!$Y5</f>
        <v>0</v>
      </c>
      <c r="F22" s="749">
        <f>+'Balance de energía'!$Y6</f>
        <v>0</v>
      </c>
      <c r="G22" s="749">
        <f>+'Balance de energía'!$Y19</f>
        <v>195.45099999999999</v>
      </c>
      <c r="H22" s="749">
        <f>'Cuadro Consumo (tcal)'!$Z$8</f>
        <v>0</v>
      </c>
      <c r="I22" s="749">
        <f t="shared" si="1"/>
        <v>195.45099999999999</v>
      </c>
      <c r="J22" s="453"/>
      <c r="K22" s="761"/>
      <c r="L22" s="6"/>
      <c r="M22" s="6"/>
    </row>
    <row r="23" spans="1:20" ht="15.95" customHeight="1">
      <c r="A23" s="163"/>
      <c r="B23" s="473" t="s">
        <v>478</v>
      </c>
      <c r="C23" s="749">
        <f>+'Producción Bruta (tcal)'!$G$12</f>
        <v>793.32555338887232</v>
      </c>
      <c r="D23" s="749">
        <f>+'Balance de energía'!$Z4</f>
        <v>0</v>
      </c>
      <c r="E23" s="749">
        <f>+'Balance de energía'!$Z5</f>
        <v>0</v>
      </c>
      <c r="F23" s="749">
        <f>+'Balance de energía'!$Z6</f>
        <v>89.855553388872281</v>
      </c>
      <c r="G23" s="749">
        <f>+'Balance de energía'!$Z19</f>
        <v>703.47</v>
      </c>
      <c r="H23" s="749">
        <f>'Cuadro Consumo (tcal)'!$AA$8</f>
        <v>0</v>
      </c>
      <c r="I23" s="749">
        <f t="shared" si="1"/>
        <v>703.47</v>
      </c>
      <c r="J23" s="453"/>
      <c r="K23" s="6"/>
      <c r="L23" s="6"/>
      <c r="M23" s="6"/>
    </row>
    <row r="24" spans="1:20" ht="15.95" customHeight="1">
      <c r="A24" s="163"/>
      <c r="B24" s="473" t="s">
        <v>279</v>
      </c>
      <c r="C24" s="749">
        <f>+'Producción Bruta (tcal)'!$I$10</f>
        <v>78.850381000000013</v>
      </c>
      <c r="D24" s="749">
        <f>+'Balance de energía'!$AA4</f>
        <v>8.1302056</v>
      </c>
      <c r="E24" s="749">
        <f>+'Balance de energía'!$AA5</f>
        <v>0</v>
      </c>
      <c r="F24" s="749">
        <f>+'Balance de energía'!$AA6</f>
        <v>7.4885710050680068</v>
      </c>
      <c r="G24" s="749">
        <f>+'Balance de energía'!$AA19</f>
        <v>79.492015594931999</v>
      </c>
      <c r="H24" s="749">
        <f>'Cuadro Consumo (tcal)'!$AB$8</f>
        <v>0</v>
      </c>
      <c r="I24" s="749">
        <f t="shared" si="1"/>
        <v>79.492015594931999</v>
      </c>
      <c r="J24" s="453"/>
      <c r="K24" s="6"/>
      <c r="L24" s="6"/>
      <c r="M24" s="6"/>
    </row>
    <row r="25" spans="1:20" ht="15.95" customHeight="1">
      <c r="A25" s="163"/>
      <c r="B25" s="473" t="s">
        <v>65</v>
      </c>
      <c r="C25" s="749">
        <f>+'Producción Bruta (tcal)'!$I$11</f>
        <v>1103.900155</v>
      </c>
      <c r="D25" s="749">
        <f>+'Balance de energía'!$AB4</f>
        <v>0</v>
      </c>
      <c r="E25" s="749">
        <f>+'Balance de energía'!$AB5</f>
        <v>1103.900155</v>
      </c>
      <c r="F25" s="749">
        <f>+'Balance de energía'!$AB6</f>
        <v>0</v>
      </c>
      <c r="G25" s="749">
        <f>+'Balance de energía'!$AB19</f>
        <v>0</v>
      </c>
      <c r="H25" s="749">
        <f>'Cuadro Consumo (tcal)'!$AC$8</f>
        <v>0</v>
      </c>
      <c r="I25" s="749">
        <f t="shared" si="1"/>
        <v>0</v>
      </c>
      <c r="J25" s="453"/>
      <c r="K25" s="6"/>
      <c r="L25" s="6"/>
      <c r="M25" s="6"/>
    </row>
    <row r="26" spans="1:20" ht="15.95" customHeight="1">
      <c r="A26" s="163"/>
      <c r="B26" s="473" t="s">
        <v>474</v>
      </c>
      <c r="C26" s="749">
        <f>+'Producción Bruta (tcal)'!C10</f>
        <v>9401.5571213901076</v>
      </c>
      <c r="D26" s="749">
        <f>+'Balance de energía'!$D4</f>
        <v>34810.519397158496</v>
      </c>
      <c r="E26" s="749">
        <f>+'Balance de energía'!$D5</f>
        <v>0</v>
      </c>
      <c r="F26" s="749">
        <f>+'Balance de energía'!$D6</f>
        <v>2730.6838839472657</v>
      </c>
      <c r="G26" s="749">
        <f>+'Balance de energía'!$D19</f>
        <v>17618.088709190695</v>
      </c>
      <c r="H26" s="749">
        <f>'Cuadro Consumo (tcal)'!E8</f>
        <v>23077.996714410649</v>
      </c>
      <c r="I26" s="749">
        <f t="shared" si="1"/>
        <v>40696.08542360134</v>
      </c>
      <c r="J26" s="453"/>
      <c r="K26" s="6"/>
      <c r="L26" s="6"/>
      <c r="M26" s="6"/>
    </row>
    <row r="27" spans="1:20" ht="15.95" customHeight="1">
      <c r="A27" s="163"/>
      <c r="B27" s="473" t="s">
        <v>41</v>
      </c>
      <c r="C27" s="749">
        <f>+'Producción Bruta (tcal)'!C11</f>
        <v>13513.885199999999</v>
      </c>
      <c r="D27" s="749">
        <f>+'Balance de energía'!$E4</f>
        <v>59728.889766499931</v>
      </c>
      <c r="E27" s="749">
        <f>+'Balance de energía'!$E5</f>
        <v>5907.58</v>
      </c>
      <c r="F27" s="749">
        <f>+'Balance de energía'!$E6</f>
        <v>-8226.9217888023304</v>
      </c>
      <c r="G27" s="749">
        <f>+'Balance de energía'!$E19</f>
        <v>2703.5547726793029</v>
      </c>
      <c r="H27" s="749">
        <f>+'Cuadro Consumo (tcal)'!F8</f>
        <v>72858.561982622952</v>
      </c>
      <c r="I27" s="749">
        <f t="shared" si="1"/>
        <v>75562.116755302253</v>
      </c>
      <c r="J27" s="453"/>
      <c r="K27" s="6"/>
      <c r="L27" s="6"/>
      <c r="M27" s="6"/>
    </row>
    <row r="28" spans="1:20" ht="15.95" customHeight="1">
      <c r="A28" s="163"/>
      <c r="B28" s="471" t="s">
        <v>447</v>
      </c>
      <c r="C28" s="749">
        <f>+'Producción Bruta (tcal)'!C12</f>
        <v>73430.280199428016</v>
      </c>
      <c r="D28" s="749">
        <f>+'Balance de energía'!$F4</f>
        <v>74.150999999999996</v>
      </c>
      <c r="E28" s="749">
        <f>+'Balance de energía'!$F5</f>
        <v>0.50298100000000001</v>
      </c>
      <c r="F28" s="749">
        <f>+'Balance de energía'!$F6</f>
        <v>545.00895677164249</v>
      </c>
      <c r="G28" s="749">
        <f>+'Balance de energía'!$F19</f>
        <v>37263.890607818612</v>
      </c>
      <c r="H28" s="749">
        <f>+'Cuadro Consumo (tcal)'!G8</f>
        <v>35695.028653837777</v>
      </c>
      <c r="I28" s="749">
        <f t="shared" si="1"/>
        <v>72958.919261656381</v>
      </c>
      <c r="J28" s="453"/>
      <c r="K28" s="6"/>
      <c r="L28" s="6"/>
      <c r="M28" s="6"/>
    </row>
    <row r="29" spans="1:20" ht="15.95" customHeight="1">
      <c r="A29" s="163"/>
      <c r="B29" s="473" t="s">
        <v>42</v>
      </c>
      <c r="C29" s="749">
        <f>+'Producción Bruta (tcal)'!C16</f>
        <v>876.9173799709082</v>
      </c>
      <c r="D29" s="749">
        <f>+'Balance de energía'!J4</f>
        <v>0</v>
      </c>
      <c r="E29" s="749">
        <f>+'Balance de energía'!J5</f>
        <v>0</v>
      </c>
      <c r="F29" s="749">
        <f>+'Balance de energía'!J6</f>
        <v>34.373063485806483</v>
      </c>
      <c r="G29" s="749">
        <f>+'Balance de energía'!J19</f>
        <v>163.8922824</v>
      </c>
      <c r="H29" s="749">
        <f>+'Cuadro Consumo (tcal)'!K8</f>
        <v>678.65203408510172</v>
      </c>
      <c r="I29" s="749">
        <f t="shared" si="1"/>
        <v>842.54431648510172</v>
      </c>
      <c r="J29" s="453"/>
      <c r="K29" s="6"/>
      <c r="L29" s="6"/>
      <c r="M29" s="6"/>
    </row>
    <row r="30" spans="1:20" ht="15.95" customHeight="1">
      <c r="A30" s="163"/>
      <c r="B30" s="472" t="s">
        <v>33</v>
      </c>
      <c r="C30" s="455">
        <f t="shared" ref="C30:I30" si="2">C7+SUM(C19:C29)</f>
        <v>263297.88342219911</v>
      </c>
      <c r="D30" s="455">
        <f t="shared" si="2"/>
        <v>176590.28330060042</v>
      </c>
      <c r="E30" s="455">
        <f t="shared" si="2"/>
        <v>12625.578759264799</v>
      </c>
      <c r="F30" s="455">
        <f t="shared" si="2"/>
        <v>5193.6931349326524</v>
      </c>
      <c r="G30" s="455">
        <f t="shared" si="2"/>
        <v>272331.10365984344</v>
      </c>
      <c r="H30" s="455">
        <f t="shared" si="2"/>
        <v>143356.07736575868</v>
      </c>
      <c r="I30" s="455">
        <f t="shared" si="2"/>
        <v>415687.18102560204</v>
      </c>
      <c r="J30" s="425"/>
      <c r="K30" s="6"/>
      <c r="L30" s="6"/>
      <c r="M30" s="6"/>
    </row>
    <row r="31" spans="1:20">
      <c r="A31" s="163"/>
      <c r="B31" s="164"/>
      <c r="C31" s="165"/>
      <c r="D31" s="165"/>
      <c r="E31" s="165"/>
      <c r="F31" s="165"/>
      <c r="G31" s="165"/>
      <c r="H31" s="165"/>
      <c r="I31" s="165"/>
      <c r="J31" s="173"/>
      <c r="K31" s="7"/>
      <c r="L31" s="7"/>
    </row>
    <row r="32" spans="1:20">
      <c r="A32" s="163"/>
      <c r="B32" s="275" t="s">
        <v>15</v>
      </c>
      <c r="C32" s="159"/>
      <c r="D32" s="159"/>
      <c r="E32" s="159"/>
      <c r="F32" s="159"/>
      <c r="G32" s="166"/>
      <c r="H32" s="159"/>
      <c r="I32" s="159"/>
      <c r="J32" s="166"/>
      <c r="K32" s="7"/>
      <c r="L32" s="7"/>
    </row>
    <row r="33" spans="1:12">
      <c r="A33" s="163"/>
      <c r="B33" s="275" t="s">
        <v>612</v>
      </c>
      <c r="C33" s="159"/>
      <c r="D33" s="159"/>
      <c r="E33" s="159"/>
      <c r="F33" s="159"/>
      <c r="G33" s="159"/>
      <c r="H33" s="159"/>
      <c r="I33" s="167"/>
      <c r="J33" s="213"/>
      <c r="K33" s="7"/>
      <c r="L33" s="7"/>
    </row>
    <row r="34" spans="1:12">
      <c r="A34" s="163"/>
      <c r="B34" s="313" t="s">
        <v>630</v>
      </c>
      <c r="C34" s="168"/>
      <c r="D34" s="168"/>
      <c r="E34" s="168"/>
      <c r="F34" s="168"/>
      <c r="G34" s="168"/>
      <c r="H34" s="169"/>
      <c r="I34" s="170"/>
      <c r="J34" s="170"/>
      <c r="K34" s="130"/>
      <c r="L34" s="130"/>
    </row>
    <row r="35" spans="1:12">
      <c r="A35" s="163"/>
      <c r="B35" s="271" t="s">
        <v>338</v>
      </c>
      <c r="C35" s="169"/>
      <c r="D35" s="169"/>
      <c r="E35" s="169"/>
      <c r="F35" s="169"/>
      <c r="G35" s="169"/>
      <c r="H35" s="169"/>
      <c r="I35" s="170"/>
      <c r="J35" s="214"/>
      <c r="K35" s="130"/>
      <c r="L35" s="130"/>
    </row>
    <row r="36" spans="1:12">
      <c r="A36" s="163"/>
      <c r="B36" s="276" t="s">
        <v>623</v>
      </c>
      <c r="C36" s="169"/>
      <c r="D36" s="169"/>
      <c r="E36" s="169"/>
      <c r="F36" s="169"/>
      <c r="G36" s="169"/>
      <c r="H36" s="169"/>
      <c r="I36" s="170"/>
      <c r="J36" s="170"/>
      <c r="K36" s="130"/>
      <c r="L36" s="130"/>
    </row>
    <row r="37" spans="1:12">
      <c r="A37" s="163"/>
      <c r="B37" s="274" t="s">
        <v>624</v>
      </c>
      <c r="C37" s="169"/>
      <c r="D37" s="169"/>
      <c r="E37" s="169"/>
      <c r="F37" s="169"/>
      <c r="G37" s="169"/>
      <c r="H37" s="169"/>
      <c r="I37" s="170"/>
      <c r="J37" s="170"/>
      <c r="K37" s="130"/>
      <c r="L37" s="130"/>
    </row>
    <row r="38" spans="1:12">
      <c r="A38" s="163"/>
      <c r="B38" s="277" t="s">
        <v>293</v>
      </c>
      <c r="C38" s="169"/>
      <c r="D38" s="169"/>
      <c r="E38" s="169"/>
      <c r="F38" s="169"/>
      <c r="G38" s="169"/>
      <c r="H38" s="169"/>
      <c r="I38" s="170"/>
      <c r="J38" s="170"/>
      <c r="K38" s="130"/>
      <c r="L38" s="130"/>
    </row>
    <row r="39" spans="1:12">
      <c r="A39" s="163"/>
      <c r="B39" s="272" t="s">
        <v>527</v>
      </c>
      <c r="C39" s="169"/>
      <c r="D39" s="169"/>
      <c r="E39" s="169"/>
      <c r="F39" s="169"/>
      <c r="G39" s="169"/>
      <c r="H39" s="172"/>
      <c r="I39" s="170"/>
      <c r="J39" s="170"/>
      <c r="K39" s="130"/>
      <c r="L39" s="130"/>
    </row>
    <row r="40" spans="1:12">
      <c r="A40" s="163"/>
      <c r="B40" s="166"/>
      <c r="C40" s="166"/>
      <c r="D40" s="166"/>
      <c r="E40" s="166"/>
      <c r="F40" s="166"/>
      <c r="G40" s="166"/>
      <c r="H40" s="173"/>
      <c r="I40" s="173"/>
      <c r="J40" s="173"/>
      <c r="K40" s="7"/>
      <c r="L40" s="7"/>
    </row>
    <row r="41" spans="1:12">
      <c r="A41" s="163"/>
      <c r="B41" s="166"/>
      <c r="C41" s="166"/>
      <c r="D41" s="166"/>
      <c r="E41" s="166"/>
      <c r="F41" s="166"/>
      <c r="G41" s="166"/>
      <c r="H41" s="166"/>
      <c r="I41" s="166"/>
      <c r="J41" s="166"/>
      <c r="K41" s="7"/>
      <c r="L41" s="7"/>
    </row>
    <row r="42" spans="1:12">
      <c r="A42" s="163"/>
      <c r="B42" s="174"/>
      <c r="C42" s="174"/>
      <c r="D42" s="174"/>
      <c r="E42" s="174"/>
      <c r="F42" s="174"/>
      <c r="G42" s="174"/>
      <c r="H42" s="174"/>
      <c r="I42" s="174"/>
      <c r="J42" s="174"/>
    </row>
    <row r="43" spans="1:12">
      <c r="A43" s="163"/>
      <c r="B43" s="174"/>
      <c r="C43" s="174"/>
      <c r="D43" s="174"/>
      <c r="E43" s="174"/>
      <c r="F43" s="174"/>
      <c r="G43" s="174"/>
      <c r="H43" s="174"/>
      <c r="I43" s="174"/>
      <c r="J43" s="174"/>
    </row>
    <row r="44" spans="1:12">
      <c r="A44" s="163"/>
      <c r="B44" s="174"/>
      <c r="C44" s="174"/>
      <c r="D44" s="174"/>
      <c r="E44" s="174"/>
      <c r="F44" s="174"/>
      <c r="G44" s="174"/>
      <c r="H44" s="174"/>
      <c r="I44" s="174"/>
      <c r="J44" s="174"/>
    </row>
    <row r="45" spans="1:12">
      <c r="B45" s="4"/>
      <c r="C45" s="4"/>
      <c r="D45" s="4"/>
      <c r="E45" s="4"/>
      <c r="F45" s="4"/>
      <c r="G45" s="4"/>
      <c r="H45" s="4"/>
      <c r="I45" s="4"/>
    </row>
    <row r="46" spans="1:12">
      <c r="B46" s="4"/>
      <c r="C46" s="4"/>
      <c r="D46" s="4"/>
      <c r="E46" s="4"/>
      <c r="F46" s="4"/>
      <c r="G46" s="4"/>
      <c r="H46" s="4"/>
      <c r="I46" s="4"/>
    </row>
    <row r="47" spans="1:12">
      <c r="B47" s="4"/>
      <c r="C47" s="4"/>
      <c r="D47" s="4"/>
      <c r="E47" s="4"/>
      <c r="F47" s="4"/>
      <c r="G47" s="4"/>
      <c r="H47" s="4"/>
      <c r="I47" s="4"/>
    </row>
    <row r="48" spans="1:12">
      <c r="B48" s="4"/>
      <c r="C48" s="4"/>
      <c r="D48" s="4"/>
      <c r="E48" s="4"/>
      <c r="F48" s="4"/>
      <c r="G48" s="4"/>
      <c r="H48" s="4"/>
      <c r="I48" s="4"/>
    </row>
    <row r="49" spans="2:9">
      <c r="B49" s="4"/>
      <c r="C49" s="4"/>
      <c r="D49" s="4"/>
      <c r="E49" s="4"/>
      <c r="F49" s="4"/>
      <c r="G49" s="4"/>
      <c r="H49" s="4"/>
      <c r="I49" s="4"/>
    </row>
    <row r="50" spans="2:9">
      <c r="B50" s="4"/>
      <c r="C50" s="4"/>
      <c r="D50" s="4"/>
      <c r="E50" s="4"/>
      <c r="F50" s="4"/>
      <c r="G50" s="4"/>
      <c r="H50" s="4"/>
      <c r="I50" s="4"/>
    </row>
    <row r="51" spans="2:9">
      <c r="B51" s="4"/>
      <c r="C51" s="4"/>
      <c r="D51" s="4"/>
      <c r="E51" s="4"/>
      <c r="F51" s="4"/>
      <c r="G51" s="4"/>
      <c r="H51" s="4"/>
      <c r="I51" s="4"/>
    </row>
    <row r="52" spans="2:9">
      <c r="B52" s="4"/>
      <c r="C52" s="4"/>
      <c r="D52" s="4"/>
      <c r="E52" s="4"/>
      <c r="F52" s="4"/>
      <c r="G52" s="4"/>
      <c r="H52" s="4"/>
      <c r="I52" s="4"/>
    </row>
    <row r="53" spans="2:9">
      <c r="B53" s="4"/>
      <c r="C53" s="4"/>
      <c r="D53" s="4"/>
      <c r="E53" s="4"/>
      <c r="F53" s="4"/>
      <c r="G53" s="4"/>
      <c r="H53" s="4"/>
      <c r="I53" s="4"/>
    </row>
    <row r="54" spans="2:9">
      <c r="B54" s="4"/>
      <c r="C54" s="4"/>
      <c r="D54" s="4"/>
      <c r="E54" s="4"/>
      <c r="F54" s="4"/>
      <c r="G54" s="4"/>
      <c r="H54" s="4"/>
      <c r="I54" s="4"/>
    </row>
    <row r="55" spans="2:9">
      <c r="B55" s="4"/>
      <c r="C55" s="4"/>
      <c r="D55" s="4"/>
      <c r="E55" s="4"/>
      <c r="F55" s="4"/>
      <c r="G55" s="4"/>
      <c r="H55" s="4"/>
      <c r="I55" s="4"/>
    </row>
    <row r="56" spans="2:9" s="4" customFormat="1"/>
    <row r="57" spans="2:9" s="4" customFormat="1"/>
    <row r="58" spans="2:9" s="4" customFormat="1"/>
    <row r="59" spans="2:9" s="4" customFormat="1"/>
    <row r="60" spans="2:9" s="4" customFormat="1"/>
    <row r="61" spans="2:9" s="4" customFormat="1"/>
    <row r="62" spans="2:9" s="4" customFormat="1"/>
    <row r="63" spans="2:9" s="4" customFormat="1"/>
    <row r="64" spans="2:9"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sheetData>
  <mergeCells count="11">
    <mergeCell ref="B2:I2"/>
    <mergeCell ref="B3:I3"/>
    <mergeCell ref="B4:I4"/>
    <mergeCell ref="D5:D6"/>
    <mergeCell ref="E5:E6"/>
    <mergeCell ref="B5:B6"/>
    <mergeCell ref="C5:C6"/>
    <mergeCell ref="F5:F6"/>
    <mergeCell ref="G5:G6"/>
    <mergeCell ref="H5:H6"/>
    <mergeCell ref="I5:I6"/>
  </mergeCells>
  <phoneticPr fontId="0" type="noConversion"/>
  <hyperlinks>
    <hyperlink ref="K2" location="Índice!A1" display="VOLVER A INDICE"/>
  </hyperlinks>
  <pageMargins left="0.75" right="0.75" top="1" bottom="1" header="0" footer="0"/>
  <pageSetup scale="6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theme="9" tint="0.39997558519241921"/>
  </sheetPr>
  <dimension ref="A1:Y234"/>
  <sheetViews>
    <sheetView workbookViewId="0"/>
  </sheetViews>
  <sheetFormatPr baseColWidth="10" defaultRowHeight="12.75" outlineLevelRow="1"/>
  <cols>
    <col min="1" max="1" width="2.28515625" style="134" customWidth="1"/>
    <col min="2" max="2" width="30.28515625" style="134" customWidth="1"/>
    <col min="3" max="3" width="12.7109375" style="134" bestFit="1" customWidth="1"/>
    <col min="4" max="4" width="11.7109375" style="134" customWidth="1"/>
    <col min="5" max="5" width="13.140625" style="134" customWidth="1"/>
    <col min="6" max="6" width="11.85546875" style="134" customWidth="1"/>
    <col min="7" max="7" width="11.85546875" style="134" bestFit="1" customWidth="1"/>
    <col min="8" max="8" width="12.28515625" style="134" customWidth="1"/>
    <col min="9" max="9" width="13.42578125" style="134" bestFit="1" customWidth="1"/>
    <col min="10" max="23" width="11.42578125" style="2"/>
    <col min="24" max="16384" width="11.42578125" style="134"/>
  </cols>
  <sheetData>
    <row r="1" spans="1:25" ht="7.5" customHeight="1">
      <c r="A1" s="175"/>
      <c r="B1" s="175"/>
      <c r="C1" s="175"/>
      <c r="D1" s="175"/>
      <c r="E1" s="175"/>
      <c r="F1" s="175"/>
      <c r="G1" s="175"/>
      <c r="H1" s="175"/>
      <c r="I1" s="175"/>
      <c r="J1" s="24"/>
      <c r="K1" s="24"/>
    </row>
    <row r="2" spans="1:25" ht="15.95" customHeight="1">
      <c r="A2" s="175"/>
      <c r="B2" s="831" t="s">
        <v>127</v>
      </c>
      <c r="C2" s="831"/>
      <c r="D2" s="831"/>
      <c r="E2" s="831"/>
      <c r="F2" s="831"/>
      <c r="G2" s="831"/>
      <c r="H2" s="831"/>
      <c r="I2" s="831"/>
      <c r="K2" s="699" t="s">
        <v>229</v>
      </c>
    </row>
    <row r="3" spans="1:25" ht="15.95" customHeight="1">
      <c r="A3" s="175"/>
      <c r="B3" s="831" t="s">
        <v>346</v>
      </c>
      <c r="C3" s="831"/>
      <c r="D3" s="831"/>
      <c r="E3" s="831"/>
      <c r="F3" s="831"/>
      <c r="G3" s="831"/>
      <c r="H3" s="831"/>
      <c r="I3" s="831"/>
      <c r="K3" s="309"/>
    </row>
    <row r="4" spans="1:25" ht="15.95" customHeight="1">
      <c r="A4" s="175"/>
      <c r="B4" s="832" t="s">
        <v>446</v>
      </c>
      <c r="C4" s="832"/>
      <c r="D4" s="832"/>
      <c r="E4" s="832"/>
      <c r="F4" s="832"/>
      <c r="G4" s="832"/>
      <c r="H4" s="832"/>
      <c r="I4" s="832"/>
      <c r="J4" s="426"/>
      <c r="K4" s="24"/>
    </row>
    <row r="5" spans="1:25" ht="15.95" customHeight="1">
      <c r="A5" s="175"/>
      <c r="B5" s="819" t="s">
        <v>253</v>
      </c>
      <c r="C5" s="827" t="s">
        <v>369</v>
      </c>
      <c r="D5" s="827" t="s">
        <v>522</v>
      </c>
      <c r="E5" s="827" t="s">
        <v>285</v>
      </c>
      <c r="F5" s="827" t="s">
        <v>523</v>
      </c>
      <c r="G5" s="827" t="s">
        <v>62</v>
      </c>
      <c r="H5" s="827" t="s">
        <v>521</v>
      </c>
      <c r="I5" s="827" t="s">
        <v>64</v>
      </c>
      <c r="J5" s="426"/>
      <c r="K5" s="24"/>
    </row>
    <row r="6" spans="1:25" ht="15.95" customHeight="1">
      <c r="A6" s="175"/>
      <c r="B6" s="819"/>
      <c r="C6" s="827"/>
      <c r="D6" s="827"/>
      <c r="E6" s="827"/>
      <c r="F6" s="827"/>
      <c r="G6" s="827"/>
      <c r="H6" s="827"/>
      <c r="I6" s="827"/>
      <c r="J6" s="427"/>
      <c r="K6" s="24"/>
      <c r="P6" s="360"/>
    </row>
    <row r="7" spans="1:25" ht="15.95" customHeight="1">
      <c r="A7" s="175"/>
      <c r="B7" s="475" t="s">
        <v>345</v>
      </c>
      <c r="C7" s="749">
        <f>SUM(C8:C18)</f>
        <v>2205.6897761202563</v>
      </c>
      <c r="D7" s="749">
        <f t="shared" ref="D7:I7" si="0">SUM(D8:D18)</f>
        <v>43207.094984927593</v>
      </c>
      <c r="E7" s="749">
        <f t="shared" si="0"/>
        <v>90474.395334137444</v>
      </c>
      <c r="F7" s="749">
        <f t="shared" si="0"/>
        <v>14730.988568148752</v>
      </c>
      <c r="G7" s="749">
        <f t="shared" si="0"/>
        <v>152229.64799034805</v>
      </c>
      <c r="H7" s="749">
        <f t="shared" si="0"/>
        <v>8527.7114510422034</v>
      </c>
      <c r="I7" s="749">
        <f t="shared" si="0"/>
        <v>160757.35944139026</v>
      </c>
      <c r="J7" s="427"/>
      <c r="K7" s="24"/>
      <c r="P7" s="360"/>
      <c r="X7" s="2"/>
      <c r="Y7" s="2"/>
    </row>
    <row r="8" spans="1:25" ht="15.95" customHeight="1" outlineLevel="1">
      <c r="A8" s="175"/>
      <c r="B8" s="474" t="s">
        <v>269</v>
      </c>
      <c r="C8" s="748">
        <f>+'Balance de energía'!$K$20</f>
        <v>0.84760754399999994</v>
      </c>
      <c r="D8" s="748">
        <f>+'Balance de energía'!$K$28</f>
        <v>31374.110353450291</v>
      </c>
      <c r="E8" s="748">
        <f>+'Balance de energía'!$K$40</f>
        <v>41217.06011728281</v>
      </c>
      <c r="F8" s="748">
        <f>+'Balance de energía'!$K$45</f>
        <v>2543.9221107489225</v>
      </c>
      <c r="G8" s="748">
        <f>+'Balance de energía'!$K$19</f>
        <v>75135.940189026034</v>
      </c>
      <c r="H8" s="748">
        <f>'Cuadro Consumo (tcal)'!$L$8</f>
        <v>6676.0208729394453</v>
      </c>
      <c r="I8" s="749">
        <f>SUM(G8:H8)</f>
        <v>81811.961061965485</v>
      </c>
      <c r="J8" s="427"/>
      <c r="K8" s="24"/>
      <c r="M8" s="4"/>
      <c r="N8" s="4"/>
      <c r="O8" s="4"/>
      <c r="P8" s="466"/>
      <c r="Q8" s="4"/>
      <c r="X8" s="2"/>
      <c r="Y8" s="2"/>
    </row>
    <row r="9" spans="1:25" ht="15.95" customHeight="1" outlineLevel="1">
      <c r="A9" s="175"/>
      <c r="B9" s="474" t="s">
        <v>270</v>
      </c>
      <c r="C9" s="748">
        <f>+'Balance de energía'!$L$20</f>
        <v>34.010686499999998</v>
      </c>
      <c r="D9" s="748">
        <f>+'Balance de energía'!$L$28</f>
        <v>5670.0088918405727</v>
      </c>
      <c r="E9" s="748">
        <f>+'Balance de energía'!$L$40</f>
        <v>3601.5906704312506</v>
      </c>
      <c r="F9" s="748">
        <f>+'Balance de energía'!$L$45</f>
        <v>100.2225</v>
      </c>
      <c r="G9" s="748">
        <f>+'Balance de energía'!$L$19</f>
        <v>9405.8327487718234</v>
      </c>
      <c r="H9" s="748">
        <f>'Cuadro Consumo (tcal)'!$M$8</f>
        <v>1580.8974162649931</v>
      </c>
      <c r="I9" s="749">
        <f t="shared" ref="I9:I29" si="1">SUM(G9:H9)</f>
        <v>10986.730165036817</v>
      </c>
      <c r="J9" s="427"/>
      <c r="K9" s="24"/>
      <c r="M9" s="4"/>
      <c r="P9" s="466"/>
      <c r="X9" s="2"/>
      <c r="Y9" s="2"/>
    </row>
    <row r="10" spans="1:25" ht="15.95" customHeight="1" outlineLevel="1">
      <c r="A10" s="175"/>
      <c r="B10" s="474" t="s">
        <v>330</v>
      </c>
      <c r="C10" s="748">
        <f>+'Balance de energía'!$M$20</f>
        <v>0</v>
      </c>
      <c r="D10" s="748">
        <f>+'Balance de energía'!$M$28</f>
        <v>0</v>
      </c>
      <c r="E10" s="748">
        <f>+'Balance de energía'!$M$40</f>
        <v>34498.180772627144</v>
      </c>
      <c r="F10" s="748">
        <f>+'Balance de energía'!$M$45</f>
        <v>0</v>
      </c>
      <c r="G10" s="748">
        <f>+'Balance de energía'!$M$19</f>
        <v>34498.180772627144</v>
      </c>
      <c r="H10" s="748">
        <f>'Cuadro Consumo (tcal)'!$N$8</f>
        <v>-2798.2032959999997</v>
      </c>
      <c r="I10" s="749">
        <f t="shared" si="1"/>
        <v>31699.977476627144</v>
      </c>
      <c r="J10" s="427"/>
      <c r="K10" s="24"/>
      <c r="M10" s="4"/>
      <c r="P10" s="360"/>
      <c r="X10" s="2"/>
      <c r="Y10" s="2"/>
    </row>
    <row r="11" spans="1:25" ht="15.95" customHeight="1" outlineLevel="1">
      <c r="A11" s="175"/>
      <c r="B11" s="474" t="s">
        <v>38</v>
      </c>
      <c r="C11" s="748">
        <f>+'Balance de energía'!$N$20</f>
        <v>5.0978969999999997E-3</v>
      </c>
      <c r="D11" s="748">
        <f>+'Balance de energía'!$N$28</f>
        <v>158.45451064412978</v>
      </c>
      <c r="E11" s="748">
        <f>+'Balance de energía'!$N$40</f>
        <v>72.750421456644929</v>
      </c>
      <c r="F11" s="748">
        <f>+'Balance de energía'!$N$45</f>
        <v>1360.7935745393415</v>
      </c>
      <c r="G11" s="748">
        <f>+'Balance de energía'!$N$19</f>
        <v>1592.0036045371162</v>
      </c>
      <c r="H11" s="748">
        <f>'Cuadro Consumo (tcal)'!$O$8</f>
        <v>58.360581000000025</v>
      </c>
      <c r="I11" s="749">
        <f t="shared" si="1"/>
        <v>1650.3641855371161</v>
      </c>
      <c r="J11" s="427"/>
      <c r="K11" s="24"/>
      <c r="M11" s="4"/>
      <c r="P11" s="360"/>
      <c r="X11" s="2"/>
      <c r="Y11" s="2"/>
    </row>
    <row r="12" spans="1:25" ht="15.95" customHeight="1" outlineLevel="1">
      <c r="A12" s="175"/>
      <c r="B12" s="474" t="s">
        <v>271</v>
      </c>
      <c r="C12" s="748">
        <f>+'Balance de energía'!$O$20</f>
        <v>153.4840351</v>
      </c>
      <c r="D12" s="748">
        <f>+'Balance de energía'!$O$28</f>
        <v>3166.2744507126408</v>
      </c>
      <c r="E12" s="748">
        <f>+'Balance de energía'!$O$40</f>
        <v>370.87036114699998</v>
      </c>
      <c r="F12" s="748">
        <f>+'Balance de energía'!$O$45</f>
        <v>10320.973233727071</v>
      </c>
      <c r="G12" s="748">
        <f>+'Balance de energía'!$O$19</f>
        <v>14011.602080686711</v>
      </c>
      <c r="H12" s="748">
        <f>'Cuadro Consumo (tcal)'!$P$8</f>
        <v>87.234971237765308</v>
      </c>
      <c r="I12" s="749">
        <f t="shared" si="1"/>
        <v>14098.837051924476</v>
      </c>
      <c r="J12" s="427"/>
      <c r="K12" s="24"/>
      <c r="M12" s="4"/>
      <c r="P12" s="360"/>
      <c r="X12" s="2"/>
      <c r="Y12" s="2"/>
    </row>
    <row r="13" spans="1:25" ht="15.95" customHeight="1" outlineLevel="1">
      <c r="A13" s="175"/>
      <c r="B13" s="474" t="s">
        <v>272</v>
      </c>
      <c r="C13" s="748">
        <f>+'Balance de energía'!$P$20</f>
        <v>0</v>
      </c>
      <c r="D13" s="748">
        <f>+'Balance de energía'!$P$28</f>
        <v>7.9400999999999993</v>
      </c>
      <c r="E13" s="748">
        <f>+'Balance de energía'!$P$40</f>
        <v>60.764196045839988</v>
      </c>
      <c r="F13" s="748">
        <f>+'Balance de energía'!$P$45</f>
        <v>1.7979460194174754</v>
      </c>
      <c r="G13" s="748">
        <f>+'Balance de energía'!$P$19</f>
        <v>70.502242065257462</v>
      </c>
      <c r="H13" s="748">
        <f>'Cuadro Consumo (tcal)'!$Q$8</f>
        <v>0</v>
      </c>
      <c r="I13" s="749">
        <f t="shared" si="1"/>
        <v>70.502242065257462</v>
      </c>
      <c r="J13" s="427"/>
      <c r="K13" s="24"/>
      <c r="M13" s="4"/>
      <c r="N13" s="4"/>
      <c r="O13" s="4"/>
      <c r="P13" s="358"/>
      <c r="Q13" s="4"/>
      <c r="R13" s="4"/>
      <c r="S13" s="4"/>
      <c r="T13" s="4"/>
      <c r="U13" s="4"/>
      <c r="V13" s="4"/>
      <c r="W13" s="4"/>
      <c r="X13" s="2"/>
      <c r="Y13" s="2"/>
    </row>
    <row r="14" spans="1:25" ht="15.95" customHeight="1" outlineLevel="1">
      <c r="A14" s="175"/>
      <c r="B14" s="474" t="s">
        <v>273</v>
      </c>
      <c r="C14" s="748">
        <f>+'Balance de energía'!$Q$20</f>
        <v>0.20589389999999999</v>
      </c>
      <c r="D14" s="748">
        <f>+'Balance de energía'!$Q$28</f>
        <v>703.84270227995785</v>
      </c>
      <c r="E14" s="748">
        <f>+'Balance de energía'!$Q$40</f>
        <v>10653.17879514675</v>
      </c>
      <c r="F14" s="748">
        <f>+'Balance de energía'!$Q$45</f>
        <v>403.27920311399998</v>
      </c>
      <c r="G14" s="748">
        <f>+'Balance de energía'!$Q$19</f>
        <v>11760.506594440709</v>
      </c>
      <c r="H14" s="748">
        <f>'Cuadro Consumo (tcal)'!$R$8</f>
        <v>1.7990991000000001</v>
      </c>
      <c r="I14" s="749">
        <f t="shared" si="1"/>
        <v>11762.305693540709</v>
      </c>
      <c r="J14" s="427"/>
      <c r="K14" s="24"/>
      <c r="P14" s="360"/>
      <c r="X14" s="2"/>
      <c r="Y14" s="2"/>
    </row>
    <row r="15" spans="1:25" ht="15.95" customHeight="1" outlineLevel="1">
      <c r="A15" s="175"/>
      <c r="B15" s="474" t="s">
        <v>40</v>
      </c>
      <c r="C15" s="748">
        <f>+'Balance de energía'!$R$20</f>
        <v>1344.0961925500001</v>
      </c>
      <c r="D15" s="748">
        <f>+'Balance de energía'!$R$28</f>
        <v>0</v>
      </c>
      <c r="E15" s="748">
        <f>+'Balance de energía'!$R$40</f>
        <v>0</v>
      </c>
      <c r="F15" s="748">
        <f>+'Balance de energía'!$R$45</f>
        <v>0</v>
      </c>
      <c r="G15" s="748">
        <f>+'Balance de energía'!$R$19</f>
        <v>1344.0961925500001</v>
      </c>
      <c r="H15" s="748">
        <f>'Cuadro Consumo (tcal)'!$S$8</f>
        <v>1516.3728065</v>
      </c>
      <c r="I15" s="749">
        <f t="shared" si="1"/>
        <v>2860.4689990500001</v>
      </c>
      <c r="J15" s="427"/>
      <c r="K15" s="24"/>
      <c r="P15" s="360"/>
      <c r="X15" s="2"/>
      <c r="Y15" s="2"/>
    </row>
    <row r="16" spans="1:25" ht="15.95" customHeight="1" outlineLevel="1">
      <c r="A16" s="175"/>
      <c r="B16" s="474" t="s">
        <v>274</v>
      </c>
      <c r="C16" s="748">
        <f>+'Balance de energía'!$S$20</f>
        <v>1.4761283207119327</v>
      </c>
      <c r="D16" s="748">
        <f>+'Balance de energía'!$S$28</f>
        <v>0</v>
      </c>
      <c r="E16" s="748">
        <f>+'Balance de energía'!$S$40</f>
        <v>0</v>
      </c>
      <c r="F16" s="748">
        <f>+'Balance de energía'!$S$45</f>
        <v>0</v>
      </c>
      <c r="G16" s="748">
        <f>+'Balance de energía'!$S$19</f>
        <v>1.4761283207119327</v>
      </c>
      <c r="H16" s="748">
        <f>'Cuadro Consumo (tcal)'!$T$8</f>
        <v>0</v>
      </c>
      <c r="I16" s="749">
        <f t="shared" si="1"/>
        <v>1.4761283207119327</v>
      </c>
      <c r="J16" s="427"/>
      <c r="K16" s="24"/>
      <c r="P16" s="466"/>
      <c r="X16" s="2"/>
      <c r="Y16" s="2"/>
    </row>
    <row r="17" spans="1:25" ht="15.95" customHeight="1" outlineLevel="1">
      <c r="A17" s="175"/>
      <c r="B17" s="474" t="s">
        <v>275</v>
      </c>
      <c r="C17" s="748">
        <f>+'Balance de energía'!$T$20</f>
        <v>0</v>
      </c>
      <c r="D17" s="748">
        <f>+'Balance de energía'!$T$28</f>
        <v>2126.463976</v>
      </c>
      <c r="E17" s="748">
        <f>+'Balance de energía'!$T$40</f>
        <v>0</v>
      </c>
      <c r="F17" s="748">
        <f>+'Balance de energía'!$T$45</f>
        <v>0</v>
      </c>
      <c r="G17" s="748">
        <f>+'Balance de energía'!$T$19</f>
        <v>2126.463976</v>
      </c>
      <c r="H17" s="748">
        <f>'Cuadro Consumo (tcal)'!$U$8</f>
        <v>1405.229</v>
      </c>
      <c r="I17" s="749">
        <f t="shared" si="1"/>
        <v>3531.6929760000003</v>
      </c>
      <c r="J17" s="427"/>
      <c r="K17" s="24"/>
      <c r="P17" s="466"/>
      <c r="X17" s="2"/>
      <c r="Y17" s="2"/>
    </row>
    <row r="18" spans="1:25" ht="15.95" customHeight="1" outlineLevel="1">
      <c r="A18" s="175"/>
      <c r="B18" s="474" t="s">
        <v>479</v>
      </c>
      <c r="C18" s="748">
        <f>+'Balance de energía'!$U$20</f>
        <v>671.564134308544</v>
      </c>
      <c r="D18" s="748">
        <f>+'Balance de energía'!$U$28</f>
        <v>0</v>
      </c>
      <c r="E18" s="748">
        <f>+'Balance de energía'!$U$40</f>
        <v>0</v>
      </c>
      <c r="F18" s="748">
        <f>+'Balance de energía'!$U$45</f>
        <v>0</v>
      </c>
      <c r="G18" s="748">
        <f>+'Balance de energía'!$U$19</f>
        <v>2283.0434613225439</v>
      </c>
      <c r="H18" s="748">
        <f>'Cuadro Consumo (tcal)'!$V$8</f>
        <v>0</v>
      </c>
      <c r="I18" s="749">
        <f t="shared" si="1"/>
        <v>2283.0434613225439</v>
      </c>
      <c r="J18" s="427"/>
      <c r="K18" s="24"/>
      <c r="P18" s="360"/>
      <c r="X18" s="2"/>
      <c r="Y18" s="2"/>
    </row>
    <row r="19" spans="1:25" ht="15.95" customHeight="1">
      <c r="A19" s="175"/>
      <c r="B19" s="475" t="s">
        <v>126</v>
      </c>
      <c r="C19" s="749">
        <f>+'Balance de energía'!$V$20</f>
        <v>3295.6753486855478</v>
      </c>
      <c r="D19" s="749">
        <f>+'Balance de energía'!$V$28</f>
        <v>35983.882592985203</v>
      </c>
      <c r="E19" s="749">
        <f>+'Balance de energía'!$V$40</f>
        <v>936.17645570561126</v>
      </c>
      <c r="F19" s="749">
        <f>+'Balance de energía'!$V$45</f>
        <v>20251.80954893546</v>
      </c>
      <c r="G19" s="749">
        <f>+'Balance de energía'!$V$19</f>
        <v>60467.543946311816</v>
      </c>
      <c r="H19" s="749">
        <f>'Cuadro Consumo (tcal)'!$W$8</f>
        <v>0</v>
      </c>
      <c r="I19" s="749">
        <f t="shared" si="1"/>
        <v>60467.543946311816</v>
      </c>
      <c r="J19" s="427"/>
      <c r="K19" s="24"/>
      <c r="P19" s="360"/>
      <c r="X19" s="2"/>
      <c r="Y19" s="2"/>
    </row>
    <row r="20" spans="1:25" ht="15.95" customHeight="1">
      <c r="A20" s="175"/>
      <c r="B20" s="475" t="s">
        <v>292</v>
      </c>
      <c r="C20" s="749">
        <f>+'Balance de energía'!$W$20</f>
        <v>0</v>
      </c>
      <c r="D20" s="749">
        <f>+'Balance de energía'!$W$28</f>
        <v>90.029335500000002</v>
      </c>
      <c r="E20" s="749">
        <f>+'Balance de energía'!$W$40</f>
        <v>0</v>
      </c>
      <c r="F20" s="749">
        <f>+'Balance de energía'!$W$45</f>
        <v>0</v>
      </c>
      <c r="G20" s="749">
        <f>+'Balance de energía'!$W$19</f>
        <v>90.029335500000002</v>
      </c>
      <c r="H20" s="749">
        <f>'Cuadro Consumo (tcal)'!$X$8</f>
        <v>2518.1265297599998</v>
      </c>
      <c r="I20" s="749">
        <f t="shared" si="1"/>
        <v>2608.1558652599997</v>
      </c>
      <c r="J20" s="427"/>
      <c r="K20" s="24"/>
      <c r="P20" s="360"/>
      <c r="X20" s="2"/>
      <c r="Y20" s="2"/>
    </row>
    <row r="21" spans="1:25" ht="15.95" customHeight="1">
      <c r="A21" s="175"/>
      <c r="B21" s="475" t="s">
        <v>277</v>
      </c>
      <c r="C21" s="749">
        <f>+'Balance de energía'!$X$20</f>
        <v>234.893</v>
      </c>
      <c r="D21" s="749">
        <f>+'Balance de energía'!$X$28</f>
        <v>581.15</v>
      </c>
      <c r="E21" s="749">
        <f>+'Balance de energía'!$X$40</f>
        <v>0</v>
      </c>
      <c r="F21" s="749">
        <f>+'Balance de energía'!$X$45</f>
        <v>0</v>
      </c>
      <c r="G21" s="749">
        <f>+'Balance de energía'!$X$19</f>
        <v>816.04300000000001</v>
      </c>
      <c r="H21" s="749">
        <f>'Cuadro Consumo (tcal)'!$Y$8</f>
        <v>0</v>
      </c>
      <c r="I21" s="749">
        <f t="shared" si="1"/>
        <v>816.04300000000001</v>
      </c>
      <c r="J21" s="427"/>
      <c r="K21" s="24"/>
      <c r="P21" s="360"/>
      <c r="X21" s="2"/>
      <c r="Y21" s="2"/>
    </row>
    <row r="22" spans="1:25" ht="15.95" customHeight="1">
      <c r="A22" s="175"/>
      <c r="B22" s="475" t="s">
        <v>611</v>
      </c>
      <c r="C22" s="749">
        <f>+'Balance de energía'!$Y$20</f>
        <v>195.45099999999999</v>
      </c>
      <c r="D22" s="749">
        <f>+'Balance de energía'!$Y$28</f>
        <v>0</v>
      </c>
      <c r="E22" s="749">
        <f>+'Balance de energía'!$Y$40</f>
        <v>0</v>
      </c>
      <c r="F22" s="749">
        <f>+'Balance de energía'!$Y$45</f>
        <v>0</v>
      </c>
      <c r="G22" s="749">
        <f>+'Balance de energía'!$Y$19</f>
        <v>195.45099999999999</v>
      </c>
      <c r="H22" s="749">
        <f>'Cuadro Consumo (tcal)'!$Z$8</f>
        <v>0</v>
      </c>
      <c r="I22" s="749">
        <f t="shared" si="1"/>
        <v>195.45099999999999</v>
      </c>
      <c r="J22" s="427"/>
      <c r="K22" s="24"/>
      <c r="P22" s="360"/>
      <c r="X22" s="2"/>
      <c r="Y22" s="2"/>
    </row>
    <row r="23" spans="1:25" ht="15.95" customHeight="1">
      <c r="A23" s="175"/>
      <c r="B23" s="475" t="s">
        <v>478</v>
      </c>
      <c r="C23" s="749">
        <f>+'Balance de energía'!$Z$20</f>
        <v>552.47</v>
      </c>
      <c r="D23" s="749">
        <f>+'Balance de energía'!$Z$28</f>
        <v>151</v>
      </c>
      <c r="E23" s="749">
        <f>+'Balance de energía'!$Z$40</f>
        <v>0</v>
      </c>
      <c r="F23" s="749">
        <f>+'Balance de energía'!$Z$45</f>
        <v>0</v>
      </c>
      <c r="G23" s="749">
        <f>+'Balance de energía'!$Z$19</f>
        <v>703.47</v>
      </c>
      <c r="H23" s="749">
        <f>'Cuadro Consumo (tcal)'!$AA$8</f>
        <v>0</v>
      </c>
      <c r="I23" s="749">
        <f t="shared" si="1"/>
        <v>703.47</v>
      </c>
      <c r="J23" s="427"/>
      <c r="K23" s="24"/>
      <c r="P23" s="360"/>
      <c r="X23" s="2"/>
      <c r="Y23" s="2"/>
    </row>
    <row r="24" spans="1:25" ht="15.95" customHeight="1">
      <c r="A24" s="175"/>
      <c r="B24" s="475" t="s">
        <v>279</v>
      </c>
      <c r="C24" s="749">
        <f>+'Balance de energía'!$AA$20</f>
        <v>0.25969270293200003</v>
      </c>
      <c r="D24" s="749">
        <f>+'Balance de energía'!$AA$28</f>
        <v>1.145864292</v>
      </c>
      <c r="E24" s="749">
        <f>+'Balance de energía'!$AA$40</f>
        <v>0</v>
      </c>
      <c r="F24" s="749">
        <f>+'Balance de energía'!$AA$45</f>
        <v>78.0864586</v>
      </c>
      <c r="G24" s="749">
        <f>+'Balance de energía'!$AA$19</f>
        <v>79.492015594931999</v>
      </c>
      <c r="H24" s="749">
        <f>'Cuadro Consumo (tcal)'!$AB$8</f>
        <v>0</v>
      </c>
      <c r="I24" s="749">
        <f t="shared" si="1"/>
        <v>79.492015594931999</v>
      </c>
      <c r="J24" s="427"/>
      <c r="K24" s="24"/>
      <c r="X24" s="2"/>
      <c r="Y24" s="2"/>
    </row>
    <row r="25" spans="1:25" ht="15.95" customHeight="1">
      <c r="A25" s="175"/>
      <c r="B25" s="475" t="s">
        <v>65</v>
      </c>
      <c r="C25" s="749">
        <f>+'Balance de energía'!$AB$20</f>
        <v>0</v>
      </c>
      <c r="D25" s="749">
        <f>+'Balance de energía'!$AB$28</f>
        <v>0</v>
      </c>
      <c r="E25" s="749">
        <f>+'Balance de energía'!$AB$40</f>
        <v>0</v>
      </c>
      <c r="F25" s="749">
        <f>+'Balance de energía'!$AB$45</f>
        <v>0</v>
      </c>
      <c r="G25" s="749">
        <f>+'Balance de energía'!$AB$19</f>
        <v>0</v>
      </c>
      <c r="H25" s="749">
        <f>'Cuadro Consumo (tcal)'!$AC$8</f>
        <v>0</v>
      </c>
      <c r="I25" s="749">
        <f t="shared" si="1"/>
        <v>0</v>
      </c>
      <c r="J25" s="427"/>
      <c r="K25" s="24"/>
      <c r="X25" s="2"/>
      <c r="Y25" s="2"/>
    </row>
    <row r="26" spans="1:25" ht="15.95" customHeight="1">
      <c r="A26" s="175"/>
      <c r="B26" s="475" t="s">
        <v>474</v>
      </c>
      <c r="C26" s="749">
        <f>+'Balance de energía'!$D$20</f>
        <v>2854.0025196758079</v>
      </c>
      <c r="D26" s="749">
        <f>+'Balance de energía'!$D$28</f>
        <v>7923.3903045652951</v>
      </c>
      <c r="E26" s="749">
        <f>+'Balance de energía'!$D$40</f>
        <v>296.69975599347998</v>
      </c>
      <c r="F26" s="749">
        <f>+'Balance de energía'!$D$45</f>
        <v>6543.9961289561115</v>
      </c>
      <c r="G26" s="749">
        <f>+'Balance de energía'!$D$19</f>
        <v>17618.088709190695</v>
      </c>
      <c r="H26" s="749">
        <f>+'Cuadro Consumo (tcal)'!E8</f>
        <v>23077.996714410649</v>
      </c>
      <c r="I26" s="749">
        <f t="shared" si="1"/>
        <v>40696.08542360134</v>
      </c>
      <c r="J26" s="427"/>
      <c r="K26" s="24"/>
      <c r="X26" s="2"/>
      <c r="Y26" s="2"/>
    </row>
    <row r="27" spans="1:25" ht="15.95" customHeight="1">
      <c r="A27" s="175"/>
      <c r="B27" s="475" t="s">
        <v>613</v>
      </c>
      <c r="C27" s="749">
        <f>+'Balance de energía'!$E$20</f>
        <v>0</v>
      </c>
      <c r="D27" s="749">
        <f>+'Balance de energía'!$E$28</f>
        <v>2671.6472341317099</v>
      </c>
      <c r="E27" s="749">
        <f>+'Balance de energía'!$E$40</f>
        <v>0</v>
      </c>
      <c r="F27" s="749">
        <f>+'Balance de energía'!$E$45</f>
        <v>31.907538547592914</v>
      </c>
      <c r="G27" s="749">
        <f>+'Balance de energía'!$E$19</f>
        <v>2703.5547726793029</v>
      </c>
      <c r="H27" s="749">
        <f>+'Cuadro Consumo (tcal)'!F8</f>
        <v>72858.561982622952</v>
      </c>
      <c r="I27" s="749">
        <f t="shared" si="1"/>
        <v>75562.116755302253</v>
      </c>
      <c r="J27" s="427"/>
      <c r="K27" s="24"/>
      <c r="X27" s="2"/>
      <c r="Y27" s="2"/>
    </row>
    <row r="28" spans="1:25" ht="15.95" customHeight="1">
      <c r="A28" s="175"/>
      <c r="B28" s="471" t="s">
        <v>447</v>
      </c>
      <c r="C28" s="749">
        <f>+'Balance de energía'!$F$20</f>
        <v>0</v>
      </c>
      <c r="D28" s="749">
        <f>+'Balance de energía'!$F$28</f>
        <v>19428.873731196778</v>
      </c>
      <c r="E28" s="749">
        <f>+'Balance de energía'!$F$40</f>
        <v>0</v>
      </c>
      <c r="F28" s="749">
        <f>+'Balance de energía'!$F$45</f>
        <v>17835.01687662183</v>
      </c>
      <c r="G28" s="749">
        <f>+'Balance de energía'!$F$19</f>
        <v>37263.890607818612</v>
      </c>
      <c r="H28" s="749">
        <f>+'Cuadro Consumo (tcal)'!G8</f>
        <v>35695.028653837777</v>
      </c>
      <c r="I28" s="749">
        <f t="shared" si="1"/>
        <v>72958.919261656381</v>
      </c>
      <c r="J28" s="427"/>
      <c r="K28" s="24"/>
      <c r="X28" s="2"/>
      <c r="Y28" s="2"/>
    </row>
    <row r="29" spans="1:25" ht="15.95" customHeight="1">
      <c r="A29" s="175"/>
      <c r="B29" s="475" t="s">
        <v>42</v>
      </c>
      <c r="C29" s="749">
        <f>+'Balance de energía'!$J$20</f>
        <v>0</v>
      </c>
      <c r="D29" s="749">
        <f>+'Balance de energía'!$J$28</f>
        <v>0</v>
      </c>
      <c r="E29" s="749">
        <f>+'Balance de energía'!$J$40</f>
        <v>0</v>
      </c>
      <c r="F29" s="749">
        <f>+'Balance de energía'!$J$45</f>
        <v>163.8922824</v>
      </c>
      <c r="G29" s="749">
        <f>+'Balance de energía'!$J$19</f>
        <v>163.8922824</v>
      </c>
      <c r="H29" s="749">
        <f>+'Cuadro Consumo (tcal)'!K8</f>
        <v>678.65203408510172</v>
      </c>
      <c r="I29" s="749">
        <f t="shared" si="1"/>
        <v>842.54431648510172</v>
      </c>
      <c r="J29" s="427"/>
      <c r="K29" s="24"/>
      <c r="X29" s="2"/>
      <c r="Y29" s="2"/>
    </row>
    <row r="30" spans="1:25" ht="15.95" customHeight="1">
      <c r="A30" s="175"/>
      <c r="B30" s="472" t="s">
        <v>33</v>
      </c>
      <c r="C30" s="455">
        <f t="shared" ref="C30:I30" si="2">C7+SUM(C19:C29)</f>
        <v>9338.441337184544</v>
      </c>
      <c r="D30" s="455">
        <f t="shared" si="2"/>
        <v>110038.21404759859</v>
      </c>
      <c r="E30" s="455">
        <f t="shared" si="2"/>
        <v>91707.271545836542</v>
      </c>
      <c r="F30" s="455">
        <f t="shared" si="2"/>
        <v>59635.697402209735</v>
      </c>
      <c r="G30" s="455">
        <f t="shared" si="2"/>
        <v>272331.10365984344</v>
      </c>
      <c r="H30" s="455">
        <f t="shared" si="2"/>
        <v>143356.07736575868</v>
      </c>
      <c r="I30" s="455">
        <f t="shared" si="2"/>
        <v>415687.18102560204</v>
      </c>
      <c r="J30" s="427"/>
      <c r="K30" s="24"/>
      <c r="X30" s="2"/>
      <c r="Y30" s="2"/>
    </row>
    <row r="31" spans="1:25">
      <c r="A31" s="175"/>
      <c r="B31" s="295"/>
      <c r="C31" s="295"/>
      <c r="D31" s="295"/>
      <c r="E31" s="295"/>
      <c r="F31" s="295"/>
      <c r="G31" s="295"/>
      <c r="H31" s="295"/>
      <c r="I31" s="295"/>
      <c r="J31" s="191"/>
      <c r="K31" s="24"/>
      <c r="X31" s="2"/>
      <c r="Y31" s="2"/>
    </row>
    <row r="32" spans="1:25" s="2" customFormat="1">
      <c r="A32" s="24"/>
      <c r="B32" s="275" t="s">
        <v>15</v>
      </c>
      <c r="C32" s="192"/>
      <c r="D32" s="192"/>
      <c r="E32" s="192"/>
      <c r="F32" s="192"/>
      <c r="G32" s="193"/>
      <c r="H32" s="194"/>
      <c r="I32" s="159"/>
      <c r="J32" s="166"/>
      <c r="K32" s="24"/>
    </row>
    <row r="33" spans="1:11">
      <c r="A33" s="24"/>
      <c r="B33" s="278" t="s">
        <v>614</v>
      </c>
      <c r="C33" s="192"/>
      <c r="D33" s="192"/>
      <c r="E33" s="192"/>
      <c r="F33" s="192"/>
      <c r="G33" s="192"/>
      <c r="H33" s="192"/>
      <c r="I33" s="192"/>
      <c r="J33" s="194"/>
      <c r="K33" s="24"/>
    </row>
    <row r="34" spans="1:11">
      <c r="A34" s="24"/>
      <c r="B34" s="313" t="s">
        <v>630</v>
      </c>
      <c r="C34" s="180"/>
      <c r="D34" s="181"/>
      <c r="E34" s="181"/>
      <c r="F34" s="181"/>
      <c r="G34" s="181"/>
      <c r="H34" s="168"/>
      <c r="I34" s="171"/>
      <c r="J34" s="162"/>
      <c r="K34" s="24"/>
    </row>
    <row r="35" spans="1:11">
      <c r="A35" s="24"/>
      <c r="B35" s="271" t="s">
        <v>338</v>
      </c>
      <c r="C35" s="171"/>
      <c r="D35" s="171"/>
      <c r="E35" s="171"/>
      <c r="F35" s="171"/>
      <c r="G35" s="171"/>
      <c r="H35" s="171"/>
      <c r="I35" s="171"/>
      <c r="J35" s="162"/>
      <c r="K35" s="24"/>
    </row>
    <row r="36" spans="1:11">
      <c r="A36" s="24"/>
      <c r="B36" s="274" t="s">
        <v>349</v>
      </c>
      <c r="C36" s="171"/>
      <c r="D36" s="171"/>
      <c r="E36" s="171"/>
      <c r="F36" s="171"/>
      <c r="G36" s="171"/>
      <c r="H36" s="171"/>
      <c r="I36" s="171"/>
      <c r="J36" s="162"/>
      <c r="K36" s="24"/>
    </row>
    <row r="37" spans="1:11">
      <c r="A37" s="24"/>
      <c r="B37" s="274" t="s">
        <v>348</v>
      </c>
      <c r="C37" s="171"/>
      <c r="D37" s="171"/>
      <c r="E37" s="171"/>
      <c r="F37" s="171"/>
      <c r="G37" s="171"/>
      <c r="H37" s="171"/>
      <c r="I37" s="171"/>
      <c r="J37" s="162"/>
      <c r="K37" s="24"/>
    </row>
    <row r="38" spans="1:11">
      <c r="A38" s="24"/>
      <c r="B38" s="274" t="s">
        <v>255</v>
      </c>
      <c r="C38" s="171"/>
      <c r="D38" s="171"/>
      <c r="E38" s="171"/>
      <c r="F38" s="171"/>
      <c r="G38" s="171"/>
      <c r="H38" s="171"/>
      <c r="I38" s="171"/>
      <c r="J38" s="162"/>
      <c r="K38" s="24"/>
    </row>
    <row r="39" spans="1:11">
      <c r="A39" s="24"/>
      <c r="B39" s="272" t="s">
        <v>293</v>
      </c>
      <c r="C39" s="171"/>
      <c r="D39" s="171"/>
      <c r="E39" s="171"/>
      <c r="F39" s="171"/>
      <c r="G39" s="171"/>
      <c r="H39" s="171"/>
      <c r="I39" s="171"/>
      <c r="J39" s="162"/>
      <c r="K39" s="24"/>
    </row>
    <row r="40" spans="1:11">
      <c r="A40" s="24"/>
      <c r="B40" s="272" t="s">
        <v>527</v>
      </c>
      <c r="C40" s="171"/>
      <c r="D40" s="171"/>
      <c r="E40" s="171"/>
      <c r="F40" s="171"/>
      <c r="G40" s="171"/>
      <c r="H40" s="171"/>
      <c r="I40" s="171"/>
      <c r="J40" s="162"/>
      <c r="K40" s="24"/>
    </row>
    <row r="41" spans="1:11">
      <c r="A41" s="24"/>
      <c r="B41" s="190"/>
      <c r="C41" s="190"/>
      <c r="D41" s="190"/>
      <c r="E41" s="190"/>
      <c r="F41" s="190"/>
      <c r="G41" s="190"/>
      <c r="H41" s="190"/>
      <c r="I41" s="190"/>
      <c r="J41" s="190"/>
      <c r="K41" s="24"/>
    </row>
    <row r="42" spans="1:11">
      <c r="A42" s="24"/>
      <c r="B42" s="190"/>
      <c r="C42" s="190"/>
      <c r="D42" s="190"/>
      <c r="E42" s="190"/>
      <c r="F42" s="190"/>
      <c r="G42" s="190"/>
      <c r="H42" s="190"/>
      <c r="I42" s="190"/>
      <c r="J42" s="190"/>
      <c r="K42" s="24"/>
    </row>
    <row r="43" spans="1:11">
      <c r="A43" s="24"/>
      <c r="B43" s="190"/>
      <c r="C43" s="190"/>
      <c r="D43" s="190"/>
      <c r="E43" s="190"/>
      <c r="F43" s="190"/>
      <c r="G43" s="190"/>
      <c r="H43" s="190"/>
      <c r="I43" s="190"/>
      <c r="J43" s="190"/>
      <c r="K43" s="24"/>
    </row>
    <row r="44" spans="1:11">
      <c r="A44" s="24"/>
      <c r="B44" s="24"/>
      <c r="C44" s="24"/>
      <c r="D44" s="24"/>
      <c r="E44" s="24"/>
      <c r="F44" s="24"/>
      <c r="G44" s="24"/>
      <c r="H44" s="24"/>
      <c r="I44" s="24"/>
      <c r="J44" s="24"/>
      <c r="K44" s="24"/>
    </row>
    <row r="45" spans="1:11">
      <c r="A45" s="24"/>
      <c r="B45" s="24"/>
      <c r="C45" s="24"/>
      <c r="D45" s="24"/>
      <c r="E45" s="24"/>
      <c r="F45" s="24"/>
      <c r="G45" s="24"/>
      <c r="H45" s="24"/>
      <c r="I45" s="24"/>
      <c r="J45" s="24"/>
      <c r="K45" s="24"/>
    </row>
    <row r="46" spans="1:11">
      <c r="A46" s="2"/>
      <c r="B46" s="2"/>
      <c r="C46" s="2"/>
      <c r="D46" s="2"/>
      <c r="E46" s="2"/>
      <c r="F46" s="2"/>
      <c r="G46" s="2"/>
      <c r="H46" s="2"/>
      <c r="I46" s="2"/>
    </row>
    <row r="47" spans="1:11">
      <c r="A47" s="2"/>
      <c r="B47" s="2"/>
      <c r="C47" s="2"/>
      <c r="D47" s="2"/>
      <c r="E47" s="2"/>
      <c r="F47" s="2"/>
      <c r="G47" s="2"/>
      <c r="H47" s="2"/>
      <c r="I47" s="2"/>
    </row>
    <row r="48" spans="1:11">
      <c r="A48" s="2"/>
      <c r="B48" s="2"/>
      <c r="C48" s="2"/>
      <c r="D48" s="2"/>
      <c r="E48" s="2"/>
      <c r="F48" s="2"/>
      <c r="G48" s="2"/>
      <c r="H48" s="2"/>
      <c r="I48" s="2"/>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row r="221" s="2" customFormat="1"/>
    <row r="222" s="2" customFormat="1"/>
    <row r="223" s="2" customFormat="1"/>
    <row r="224" s="2" customFormat="1"/>
    <row r="225" s="2" customFormat="1"/>
    <row r="226" s="2" customFormat="1"/>
    <row r="227" s="2" customFormat="1"/>
    <row r="228" s="2" customFormat="1"/>
    <row r="229" s="2" customFormat="1"/>
    <row r="230" s="2" customFormat="1"/>
    <row r="231" s="2" customFormat="1"/>
    <row r="232" s="2" customFormat="1"/>
    <row r="233" s="2" customFormat="1"/>
    <row r="234" s="2" customFormat="1"/>
  </sheetData>
  <mergeCells count="11">
    <mergeCell ref="B2:I2"/>
    <mergeCell ref="B3:I3"/>
    <mergeCell ref="B4:I4"/>
    <mergeCell ref="B5:B6"/>
    <mergeCell ref="C5:C6"/>
    <mergeCell ref="D5:D6"/>
    <mergeCell ref="E5:E6"/>
    <mergeCell ref="F5:F6"/>
    <mergeCell ref="G5:G6"/>
    <mergeCell ref="H5:H6"/>
    <mergeCell ref="I5:I6"/>
  </mergeCells>
  <phoneticPr fontId="0" type="noConversion"/>
  <hyperlinks>
    <hyperlink ref="K2" location="Índice!A1" display="VOLVER A INDICE"/>
  </hyperlinks>
  <pageMargins left="0.75" right="0.75" top="1" bottom="1" header="0" footer="0"/>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39</vt:i4>
      </vt:variant>
      <vt:variant>
        <vt:lpstr>Rangos con nombre</vt:lpstr>
      </vt:variant>
      <vt:variant>
        <vt:i4>14</vt:i4>
      </vt:variant>
    </vt:vector>
  </HeadingPairs>
  <TitlesOfParts>
    <vt:vector size="53" baseType="lpstr">
      <vt:lpstr>Portada</vt:lpstr>
      <vt:lpstr>Introducción</vt:lpstr>
      <vt:lpstr>Descripción</vt:lpstr>
      <vt:lpstr>Índice</vt:lpstr>
      <vt:lpstr>CUADRO 1</vt:lpstr>
      <vt:lpstr>CUADRO2</vt:lpstr>
      <vt:lpstr>CUADRO3</vt:lpstr>
      <vt:lpstr>CUADRO4</vt:lpstr>
      <vt:lpstr>CUADRO5</vt:lpstr>
      <vt:lpstr>CUADRO6</vt:lpstr>
      <vt:lpstr>CUADRO7</vt:lpstr>
      <vt:lpstr>CUADRO8</vt:lpstr>
      <vt:lpstr>CUADRO9</vt:lpstr>
      <vt:lpstr>CUADRO10</vt:lpstr>
      <vt:lpstr>CUADRO11</vt:lpstr>
      <vt:lpstr>Producción Bruta (tcal)</vt:lpstr>
      <vt:lpstr>Cuadro Consumo (tcal)</vt:lpstr>
      <vt:lpstr>Balance de energía</vt:lpstr>
      <vt:lpstr>Balance Energético (u.físicas)</vt:lpstr>
      <vt:lpstr>Cuadro Consumo (u.físicas)</vt:lpstr>
      <vt:lpstr>Producción Bruta (u.físicas)</vt:lpstr>
      <vt:lpstr>CUADRO12</vt:lpstr>
      <vt:lpstr>CUADRO13</vt:lpstr>
      <vt:lpstr>CUADRO14</vt:lpstr>
      <vt:lpstr>CUADRO15</vt:lpstr>
      <vt:lpstr>CUADRO16</vt:lpstr>
      <vt:lpstr>CUADRO17</vt:lpstr>
      <vt:lpstr>CUADRO18</vt:lpstr>
      <vt:lpstr>CUADRO19</vt:lpstr>
      <vt:lpstr>CUADRO20</vt:lpstr>
      <vt:lpstr>CUADRO21</vt:lpstr>
      <vt:lpstr>DEP</vt:lpstr>
      <vt:lpstr>BAL-OLADE</vt:lpstr>
      <vt:lpstr>BAL-APEC</vt:lpstr>
      <vt:lpstr>BAL-MERCOSUR</vt:lpstr>
      <vt:lpstr>Diagrama</vt:lpstr>
      <vt:lpstr>CUADROA2</vt:lpstr>
      <vt:lpstr>CUADROA3</vt:lpstr>
      <vt:lpstr>Glosario</vt:lpstr>
      <vt:lpstr>Introducción!_ftn1</vt:lpstr>
      <vt:lpstr>Introducción!_ftnref1</vt:lpstr>
      <vt:lpstr>'CUADRO 1'!Área_de_impresión</vt:lpstr>
      <vt:lpstr>CUADRO12!Área_de_impresión</vt:lpstr>
      <vt:lpstr>CUADRO13!Área_de_impresión</vt:lpstr>
      <vt:lpstr>CUADRO2!Área_de_impresión</vt:lpstr>
      <vt:lpstr>CUADRO21!Área_de_impresión</vt:lpstr>
      <vt:lpstr>CUADRO3!Área_de_impresión</vt:lpstr>
      <vt:lpstr>CUADRO4!Área_de_impresión</vt:lpstr>
      <vt:lpstr>Introducción!Área_de_impresión</vt:lpstr>
      <vt:lpstr>Glosario</vt:lpstr>
      <vt:lpstr>Introducción!OLE_LINK1</vt:lpstr>
      <vt:lpstr>Introducción!OLE_LINK5</vt:lpstr>
      <vt:lpstr>Producción_Bruta</vt:lpstr>
    </vt:vector>
  </TitlesOfParts>
  <Company>GOBIERNO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SEPULVEDA-H</dc:creator>
  <cp:lastModifiedBy>Kiumarz Goharriz Chahin</cp:lastModifiedBy>
  <cp:lastPrinted>2010-11-03T13:50:17Z</cp:lastPrinted>
  <dcterms:created xsi:type="dcterms:W3CDTF">2006-01-08T23:20:55Z</dcterms:created>
  <dcterms:modified xsi:type="dcterms:W3CDTF">2019-04-23T22:47:04Z</dcterms:modified>
</cp:coreProperties>
</file>