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10"/>
  <workbookPr codeName="ThisWorkbook"/>
  <mc:AlternateContent xmlns:mc="http://schemas.openxmlformats.org/markup-compatibility/2006">
    <mc:Choice Requires="x15">
      <x15ac:absPath xmlns:x15ac="http://schemas.microsoft.com/office/spreadsheetml/2010/11/ac" url="https://symriseag-my.sharepoint.com/personal/hernando_vargas_symrise_com/Documents/Hernando Vargas/quiniela qatar 22/"/>
    </mc:Choice>
  </mc:AlternateContent>
  <xr:revisionPtr revIDLastSave="0" documentId="8_{705FAB7F-458B-49A6-A2BE-1B7F2E53F309}" xr6:coauthVersionLast="47" xr6:coauthVersionMax="47" xr10:uidLastSave="{00000000-0000-0000-0000-000000000000}"/>
  <bookViews>
    <workbookView showVerticalScroll="0" xWindow="-110" yWindow="-110" windowWidth="19420" windowHeight="10420" tabRatio="808" firstSheet="8" activeTab="8" xr2:uid="{00000000-000D-0000-FFFF-FFFF00000000}"/>
  </bookViews>
  <sheets>
    <sheet name="Resumen" sheetId="1" state="hidden" r:id="rId1"/>
    <sheet name="- A -" sheetId="4" r:id="rId2"/>
    <sheet name="- B -" sheetId="5" r:id="rId3"/>
    <sheet name="- C -" sheetId="6" r:id="rId4"/>
    <sheet name="- D -" sheetId="7" r:id="rId5"/>
    <sheet name="- E -" sheetId="8" r:id="rId6"/>
    <sheet name="- F -" sheetId="9" r:id="rId7"/>
    <sheet name="- G -" sheetId="10" r:id="rId8"/>
    <sheet name="- H -" sheetId="11" r:id="rId9"/>
    <sheet name="8vos de final" sheetId="12" state="hidden" r:id="rId10"/>
    <sheet name="4tos de final" sheetId="13" state="hidden" r:id="rId11"/>
    <sheet name="Semifinal" sheetId="14" state="hidden" r:id="rId12"/>
    <sheet name="Final" sheetId="15" state="hidden" r:id="rId13"/>
    <sheet name="Resumen puntos" sheetId="16" state="hidden" r:id="rId14"/>
    <sheet name="resultados oficiales" sheetId="25" state="hidden" r:id="rId15"/>
    <sheet name="calculoA" sheetId="3" state="hidden" r:id="rId16"/>
    <sheet name="Fixture" sheetId="26" r:id="rId17"/>
    <sheet name="calculo H real" sheetId="17" state="hidden" r:id="rId18"/>
    <sheet name="calculo G real" sheetId="18" state="hidden" r:id="rId19"/>
    <sheet name="calculo F real" sheetId="19" state="hidden" r:id="rId20"/>
    <sheet name="calculo E real" sheetId="20" state="hidden" r:id="rId21"/>
    <sheet name="calculo D real" sheetId="21" state="hidden" r:id="rId22"/>
    <sheet name="calculo C real" sheetId="22" state="hidden" r:id="rId23"/>
    <sheet name="calculo B real" sheetId="23" state="hidden" r:id="rId24"/>
    <sheet name="calculo A real" sheetId="24" state="hidden" r:id="rId25"/>
    <sheet name="calculoB" sheetId="27" state="hidden" r:id="rId26"/>
    <sheet name="calculoC" sheetId="28" state="hidden" r:id="rId27"/>
    <sheet name="calculoD" sheetId="29" state="hidden" r:id="rId28"/>
    <sheet name="calculoE" sheetId="30" state="hidden" r:id="rId29"/>
    <sheet name="calculoF" sheetId="31" state="hidden" r:id="rId30"/>
    <sheet name="calculoG" sheetId="32" state="hidden" r:id="rId31"/>
    <sheet name="calculoH" sheetId="33" state="hidden" r:id="rId32"/>
  </sheets>
  <definedNames>
    <definedName name="Final">#REF!</definedName>
    <definedName name="FirstRound">#REF!</definedName>
    <definedName name="Groups">#REF!</definedName>
    <definedName name="Playoff">#REF!</definedName>
    <definedName name="QuarterFinals">#REF!</definedName>
    <definedName name="SecondRound">#REF!</definedName>
    <definedName name="SemiFinals">#REF!</definedName>
    <definedName name="Z_387210E2_BDFB_42E5_A6C7_A37C9701EAB6_.wvu.Cols" localSheetId="9" hidden="1">'8vos de final'!$P:$Q</definedName>
    <definedName name="Z_387210E2_BDFB_42E5_A6C7_A37C9701EAB6_.wvu.Rows" localSheetId="1" hidden="1">'- A -'!$25:$26</definedName>
    <definedName name="Z_387210E2_BDFB_42E5_A6C7_A37C9701EAB6_.wvu.Rows" localSheetId="2" hidden="1">'- B -'!$25:$26</definedName>
    <definedName name="Z_387210E2_BDFB_42E5_A6C7_A37C9701EAB6_.wvu.Rows" localSheetId="3" hidden="1">'- C -'!$26:$27</definedName>
    <definedName name="Z_387210E2_BDFB_42E5_A6C7_A37C9701EAB6_.wvu.Rows" localSheetId="4" hidden="1">'- D -'!$26:$27</definedName>
    <definedName name="Z_387210E2_BDFB_42E5_A6C7_A37C9701EAB6_.wvu.Rows" localSheetId="5" hidden="1">'- E -'!$25:$26</definedName>
    <definedName name="Z_387210E2_BDFB_42E5_A6C7_A37C9701EAB6_.wvu.Rows" localSheetId="6" hidden="1">'- F -'!$25:$26</definedName>
    <definedName name="Z_387210E2_BDFB_42E5_A6C7_A37C9701EAB6_.wvu.Rows" localSheetId="7" hidden="1">'- G -'!$25:$26</definedName>
    <definedName name="Z_387210E2_BDFB_42E5_A6C7_A37C9701EAB6_.wvu.Rows" localSheetId="8" hidden="1">'- H -'!$25:$26</definedName>
    <definedName name="Z_387210E2_BDFB_42E5_A6C7_A37C9701EAB6_.wvu.Rows" localSheetId="10" hidden="1">'4tos de final'!$23:$24</definedName>
    <definedName name="Z_387210E2_BDFB_42E5_A6C7_A37C9701EAB6_.wvu.Rows" localSheetId="9" hidden="1">'8vos de final'!$28:$29</definedName>
    <definedName name="Z_387210E2_BDFB_42E5_A6C7_A37C9701EAB6_.wvu.Rows" localSheetId="12" hidden="1">Final!$27:$28</definedName>
    <definedName name="Z_387210E2_BDFB_42E5_A6C7_A37C9701EAB6_.wvu.Rows" localSheetId="11" hidden="1">Semifinal!$23:$24</definedName>
    <definedName name="Z_E2621C8A_2AE3_484D_B751_B92E60BB88F8_.wvu.Cols" localSheetId="9" hidden="1">'8vos de final'!$P:$Q</definedName>
    <definedName name="Z_E2621C8A_2AE3_484D_B751_B92E60BB88F8_.wvu.Rows" localSheetId="1" hidden="1">'- A -'!$25:$26</definedName>
    <definedName name="Z_E2621C8A_2AE3_484D_B751_B92E60BB88F8_.wvu.Rows" localSheetId="2" hidden="1">'- B -'!$25:$26</definedName>
    <definedName name="Z_E2621C8A_2AE3_484D_B751_B92E60BB88F8_.wvu.Rows" localSheetId="3" hidden="1">'- C -'!$26:$27</definedName>
    <definedName name="Z_E2621C8A_2AE3_484D_B751_B92E60BB88F8_.wvu.Rows" localSheetId="4" hidden="1">'- D -'!$26:$27</definedName>
    <definedName name="Z_E2621C8A_2AE3_484D_B751_B92E60BB88F8_.wvu.Rows" localSheetId="5" hidden="1">'- E -'!$25:$26</definedName>
    <definedName name="Z_E2621C8A_2AE3_484D_B751_B92E60BB88F8_.wvu.Rows" localSheetId="6" hidden="1">'- F -'!$25:$26</definedName>
    <definedName name="Z_E2621C8A_2AE3_484D_B751_B92E60BB88F8_.wvu.Rows" localSheetId="7" hidden="1">'- G -'!$25:$26</definedName>
    <definedName name="Z_E2621C8A_2AE3_484D_B751_B92E60BB88F8_.wvu.Rows" localSheetId="8" hidden="1">'- H -'!$25:$26</definedName>
    <definedName name="Z_E2621C8A_2AE3_484D_B751_B92E60BB88F8_.wvu.Rows" localSheetId="10" hidden="1">'4tos de final'!$23:$24</definedName>
    <definedName name="Z_E2621C8A_2AE3_484D_B751_B92E60BB88F8_.wvu.Rows" localSheetId="9" hidden="1">'8vos de final'!$28:$29</definedName>
    <definedName name="Z_E2621C8A_2AE3_484D_B751_B92E60BB88F8_.wvu.Rows" localSheetId="12" hidden="1">Final!$27:$28</definedName>
    <definedName name="Z_E2621C8A_2AE3_484D_B751_B92E60BB88F8_.wvu.Rows" localSheetId="11" hidden="1">Semifinal!$23:$24</definedName>
  </definedNames>
  <calcPr calcId="191028"/>
  <customWorkbookViews>
    <customWorkbookView name="UIVGH - Vista personalizada" guid="{387210E2-BDFB-42E5-A6C7-A37C9701EAB6}" mergeInterval="0" personalView="1" maximized="1" showVerticalScroll="0" windowWidth="1676" windowHeight="815" tabRatio="808" activeSheetId="24" showComments="commIndAndComment"/>
    <customWorkbookView name="UIVGH - Personal View" guid="{E2621C8A-2AE3-484D-B751-B92E60BB88F8}" mergeInterval="0" personalView="1" maximized="1" showVerticalScroll="0" windowWidth="1916" windowHeight="865" tabRatio="808"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11" l="1"/>
  <c r="E10" i="11"/>
  <c r="E9" i="11"/>
  <c r="E8" i="11"/>
  <c r="E7" i="11"/>
  <c r="E6" i="11"/>
  <c r="C11" i="11"/>
  <c r="C10" i="11"/>
  <c r="C9" i="11"/>
  <c r="C8" i="11"/>
  <c r="C7" i="11"/>
  <c r="C6" i="11"/>
  <c r="E11" i="10"/>
  <c r="E10" i="10"/>
  <c r="E9" i="10"/>
  <c r="E8" i="10"/>
  <c r="E7" i="10"/>
  <c r="E6" i="10"/>
  <c r="C11" i="10"/>
  <c r="C10" i="10"/>
  <c r="C9" i="10"/>
  <c r="C8" i="10"/>
  <c r="C7" i="10"/>
  <c r="C6" i="10"/>
  <c r="E11" i="9"/>
  <c r="E10" i="9"/>
  <c r="E9" i="9"/>
  <c r="E8" i="9"/>
  <c r="E7" i="9"/>
  <c r="E6" i="9"/>
  <c r="C11" i="9"/>
  <c r="C10" i="9"/>
  <c r="C9" i="9"/>
  <c r="C8" i="9"/>
  <c r="C7" i="9"/>
  <c r="C6" i="9"/>
  <c r="E11" i="8"/>
  <c r="E10" i="8"/>
  <c r="E9" i="8"/>
  <c r="E8" i="8"/>
  <c r="E7" i="8"/>
  <c r="E6" i="8"/>
  <c r="C11" i="8"/>
  <c r="C10" i="8"/>
  <c r="C9" i="8"/>
  <c r="C8" i="8"/>
  <c r="C7" i="8"/>
  <c r="C6" i="8"/>
  <c r="E11" i="7"/>
  <c r="E10" i="7"/>
  <c r="E9" i="7"/>
  <c r="E8" i="7"/>
  <c r="E7" i="7"/>
  <c r="E6" i="7"/>
  <c r="C11" i="7"/>
  <c r="C10" i="7"/>
  <c r="C9" i="7"/>
  <c r="C8" i="7"/>
  <c r="C7" i="7"/>
  <c r="C6" i="7"/>
  <c r="E11" i="6"/>
  <c r="E10" i="6"/>
  <c r="E9" i="6"/>
  <c r="E8" i="6"/>
  <c r="E7" i="6"/>
  <c r="E6" i="6"/>
  <c r="C11" i="6"/>
  <c r="C10" i="6"/>
  <c r="C9" i="6"/>
  <c r="C8" i="6"/>
  <c r="C7" i="6"/>
  <c r="C6" i="6"/>
  <c r="E11" i="5"/>
  <c r="E10" i="5"/>
  <c r="E9" i="5"/>
  <c r="E8" i="5"/>
  <c r="E7" i="5"/>
  <c r="E6" i="5"/>
  <c r="C11" i="5"/>
  <c r="C10" i="5"/>
  <c r="C9" i="5"/>
  <c r="C8" i="5"/>
  <c r="C7" i="5"/>
  <c r="C6" i="5"/>
  <c r="E11" i="4"/>
  <c r="E10" i="4"/>
  <c r="E9" i="4"/>
  <c r="E8" i="4"/>
  <c r="E7" i="4"/>
  <c r="E6" i="4"/>
  <c r="C11" i="4"/>
  <c r="C10" i="4"/>
  <c r="C9" i="4"/>
  <c r="C8" i="4"/>
  <c r="C7" i="4"/>
  <c r="C6" i="4"/>
  <c r="O11" i="11"/>
  <c r="O10" i="11"/>
  <c r="O9" i="11"/>
  <c r="O8" i="11"/>
  <c r="O7" i="11"/>
  <c r="O6" i="11"/>
  <c r="Q11" i="11"/>
  <c r="P11" i="11"/>
  <c r="Q10" i="11"/>
  <c r="P10" i="11"/>
  <c r="Q9" i="11"/>
  <c r="P9" i="11"/>
  <c r="Q8" i="11"/>
  <c r="P8" i="11"/>
  <c r="Q7" i="11"/>
  <c r="P7" i="11"/>
  <c r="Q6" i="11"/>
  <c r="P6" i="11"/>
  <c r="Q11" i="10"/>
  <c r="P11" i="10"/>
  <c r="Q10" i="10"/>
  <c r="P10" i="10"/>
  <c r="Q9" i="10"/>
  <c r="P9" i="10"/>
  <c r="Q8" i="10"/>
  <c r="P8" i="10"/>
  <c r="Q7" i="10"/>
  <c r="P7" i="10"/>
  <c r="Q6" i="10"/>
  <c r="P6" i="10"/>
  <c r="O11" i="10"/>
  <c r="O10" i="10"/>
  <c r="O9" i="10"/>
  <c r="O8" i="10"/>
  <c r="O7" i="10"/>
  <c r="O6" i="10"/>
  <c r="O11" i="9"/>
  <c r="O10" i="9"/>
  <c r="O9" i="9"/>
  <c r="O8" i="9"/>
  <c r="O7" i="9"/>
  <c r="O6" i="9"/>
  <c r="Q11" i="9"/>
  <c r="P11" i="9"/>
  <c r="Q10" i="9"/>
  <c r="P10" i="9"/>
  <c r="Q9" i="9"/>
  <c r="P9" i="9"/>
  <c r="Q8" i="9"/>
  <c r="P8" i="9"/>
  <c r="Q7" i="9"/>
  <c r="P7" i="9"/>
  <c r="Q6" i="9"/>
  <c r="P6" i="9"/>
  <c r="Q11" i="8"/>
  <c r="P11" i="8"/>
  <c r="Q10" i="8"/>
  <c r="P10" i="8"/>
  <c r="Q9" i="8"/>
  <c r="P9" i="8"/>
  <c r="Q8" i="8"/>
  <c r="P8" i="8"/>
  <c r="Q7" i="8"/>
  <c r="P7" i="8"/>
  <c r="Q6" i="8"/>
  <c r="P6" i="8"/>
  <c r="O11" i="8"/>
  <c r="O10" i="8"/>
  <c r="O9" i="8"/>
  <c r="O8" i="8"/>
  <c r="O7" i="8"/>
  <c r="O6" i="8"/>
  <c r="O11" i="7"/>
  <c r="O10" i="7"/>
  <c r="O9" i="7"/>
  <c r="O8" i="7"/>
  <c r="O7" i="7"/>
  <c r="O6" i="7"/>
  <c r="Q11" i="7"/>
  <c r="P11" i="7"/>
  <c r="Q10" i="7"/>
  <c r="P10" i="7"/>
  <c r="Q9" i="7"/>
  <c r="P9" i="7"/>
  <c r="Q8" i="7"/>
  <c r="P8" i="7"/>
  <c r="Q7" i="7"/>
  <c r="P7" i="7"/>
  <c r="Q6" i="7"/>
  <c r="P6" i="7"/>
  <c r="Q11" i="6"/>
  <c r="P11" i="6"/>
  <c r="Q10" i="6"/>
  <c r="P10" i="6"/>
  <c r="Q9" i="6"/>
  <c r="P9" i="6"/>
  <c r="Q8" i="6"/>
  <c r="P8" i="6"/>
  <c r="Q7" i="6"/>
  <c r="P7" i="6"/>
  <c r="Q6" i="6"/>
  <c r="P6" i="6"/>
  <c r="O11" i="6"/>
  <c r="O10" i="6"/>
  <c r="O9" i="6"/>
  <c r="O8" i="6"/>
  <c r="O7" i="6"/>
  <c r="O6" i="6"/>
  <c r="O11" i="5"/>
  <c r="O10" i="5"/>
  <c r="O9" i="5"/>
  <c r="O8" i="5"/>
  <c r="O7" i="5"/>
  <c r="O6" i="5"/>
  <c r="Q11" i="5"/>
  <c r="P11" i="5"/>
  <c r="Q10" i="5"/>
  <c r="P10" i="5"/>
  <c r="Q9" i="5"/>
  <c r="P9" i="5"/>
  <c r="Q8" i="5"/>
  <c r="P8" i="5"/>
  <c r="Q7" i="5"/>
  <c r="P7" i="5"/>
  <c r="Q6" i="5"/>
  <c r="P6" i="5"/>
  <c r="Q11" i="4"/>
  <c r="P11" i="4"/>
  <c r="Q10" i="4"/>
  <c r="P10" i="4"/>
  <c r="Q9" i="4"/>
  <c r="P9" i="4"/>
  <c r="Q8" i="4"/>
  <c r="P8" i="4"/>
  <c r="Q7" i="4"/>
  <c r="P7" i="4"/>
  <c r="O11" i="4"/>
  <c r="O10" i="4"/>
  <c r="O9" i="4"/>
  <c r="O8" i="4"/>
  <c r="O7" i="4"/>
  <c r="Q6" i="4"/>
  <c r="P6" i="4"/>
  <c r="O6" i="4"/>
  <c r="B8" i="5"/>
  <c r="C14" i="12"/>
  <c r="H10" i="11"/>
  <c r="H8" i="11"/>
  <c r="J11" i="11"/>
  <c r="H9" i="10"/>
  <c r="H8" i="10"/>
  <c r="J11" i="9"/>
  <c r="H10" i="9"/>
  <c r="H8" i="9"/>
  <c r="H7" i="9"/>
  <c r="J11" i="8"/>
  <c r="H10" i="8"/>
  <c r="H8" i="8"/>
  <c r="J11" i="7"/>
  <c r="H10" i="7"/>
  <c r="H8" i="7"/>
  <c r="J11" i="5"/>
  <c r="J11" i="6"/>
  <c r="H10" i="6"/>
  <c r="H8" i="6"/>
  <c r="H10" i="5"/>
  <c r="H8" i="5"/>
  <c r="H10" i="4"/>
  <c r="H9" i="4"/>
  <c r="J9" i="4"/>
  <c r="R6" i="4"/>
  <c r="R7" i="4"/>
  <c r="R8" i="4"/>
  <c r="R9" i="4"/>
  <c r="R10" i="4"/>
  <c r="R11" i="4"/>
  <c r="B6" i="4"/>
  <c r="F6" i="4"/>
  <c r="B7" i="4"/>
  <c r="F7" i="4"/>
  <c r="B8" i="4"/>
  <c r="F8" i="4"/>
  <c r="B9" i="4"/>
  <c r="F9" i="4"/>
  <c r="B10" i="4"/>
  <c r="F10" i="4"/>
  <c r="B11" i="4"/>
  <c r="F11" i="4"/>
  <c r="K51" i="1" a="1"/>
  <c r="K53" i="1" a="1"/>
  <c r="L50" i="1" a="1"/>
  <c r="K50" i="1" a="1"/>
  <c r="L53" i="1" a="1"/>
  <c r="K54" i="1" a="1"/>
  <c r="K52" i="1" a="1"/>
  <c r="L51" i="1" a="1"/>
  <c r="K52" i="1" l="1"/>
  <c r="K53" i="1"/>
  <c r="K50" i="1"/>
  <c r="K54" i="1"/>
  <c r="L50" i="1"/>
  <c r="K51" i="1"/>
  <c r="L51" i="1"/>
  <c r="L53" i="1"/>
  <c r="C16" i="15"/>
  <c r="C12" i="14"/>
  <c r="C12" i="13"/>
  <c r="C16" i="13" s="1"/>
  <c r="C20" i="13" s="1"/>
  <c r="C18" i="12"/>
  <c r="C22" i="12" s="1"/>
  <c r="C26" i="12" s="1"/>
  <c r="C32" i="12" s="1"/>
  <c r="C36" i="12" s="1"/>
  <c r="C40" i="12" s="1"/>
  <c r="H7" i="11"/>
  <c r="H9" i="11" s="1"/>
  <c r="H11" i="11" s="1"/>
  <c r="J11" i="10"/>
  <c r="H7" i="10"/>
  <c r="H10" i="10" s="1"/>
  <c r="H11" i="10" s="1"/>
  <c r="H9" i="9"/>
  <c r="H11" i="9" s="1"/>
  <c r="H7" i="8"/>
  <c r="H9" i="8" s="1"/>
  <c r="H11" i="8" s="1"/>
  <c r="H7" i="7"/>
  <c r="H9" i="7" s="1"/>
  <c r="H11" i="7" s="1"/>
  <c r="H7" i="6"/>
  <c r="H9" i="6" s="1"/>
  <c r="H11" i="6" s="1"/>
  <c r="F11" i="5"/>
  <c r="H7" i="5"/>
  <c r="H9" i="5" s="1"/>
  <c r="H11" i="5" s="1"/>
  <c r="J11" i="4" l="1"/>
  <c r="H7" i="4"/>
  <c r="H8" i="4" s="1"/>
  <c r="H11" i="4" l="1"/>
  <c r="G2" i="33"/>
  <c r="F16" i="33" s="1"/>
  <c r="N2" i="33"/>
  <c r="F17" i="33" s="1"/>
  <c r="U2" i="33"/>
  <c r="F18" i="33" s="1"/>
  <c r="O18" i="33" s="1"/>
  <c r="AB2" i="33"/>
  <c r="F19" i="33" s="1"/>
  <c r="O19" i="33" s="1"/>
  <c r="S19" i="33" s="1"/>
  <c r="B4" i="33"/>
  <c r="C4" i="33"/>
  <c r="D4" i="33"/>
  <c r="F4" i="33"/>
  <c r="R4" i="33" s="1"/>
  <c r="B5" i="33"/>
  <c r="C5" i="33"/>
  <c r="D5" i="33"/>
  <c r="F5" i="33"/>
  <c r="B6" i="33"/>
  <c r="C6" i="33"/>
  <c r="D6" i="33"/>
  <c r="F6" i="33"/>
  <c r="B7" i="33"/>
  <c r="C7" i="33"/>
  <c r="D7" i="33"/>
  <c r="F7" i="33"/>
  <c r="B8" i="33"/>
  <c r="C8" i="33"/>
  <c r="D8" i="33"/>
  <c r="F8" i="33"/>
  <c r="B9" i="33"/>
  <c r="C9" i="33"/>
  <c r="D9" i="33"/>
  <c r="F9" i="33"/>
  <c r="G2" i="32"/>
  <c r="F16" i="32" s="1"/>
  <c r="N2" i="32"/>
  <c r="F17" i="32" s="1"/>
  <c r="U2" i="32"/>
  <c r="F18" i="32" s="1"/>
  <c r="O18" i="32" s="1"/>
  <c r="AB2" i="32"/>
  <c r="B4" i="32"/>
  <c r="C4" i="32"/>
  <c r="D4" i="32"/>
  <c r="F4" i="32"/>
  <c r="B5" i="32"/>
  <c r="C5" i="32"/>
  <c r="D5" i="32"/>
  <c r="F5" i="32"/>
  <c r="B6" i="32"/>
  <c r="C6" i="32"/>
  <c r="D6" i="32"/>
  <c r="F6" i="32"/>
  <c r="B7" i="32"/>
  <c r="C7" i="32"/>
  <c r="D7" i="32"/>
  <c r="F7" i="32"/>
  <c r="B8" i="32"/>
  <c r="C8" i="32"/>
  <c r="D8" i="32"/>
  <c r="F8" i="32"/>
  <c r="B9" i="32"/>
  <c r="C9" i="32"/>
  <c r="D9" i="32"/>
  <c r="F9" i="32"/>
  <c r="F19" i="32"/>
  <c r="O19" i="32" s="1"/>
  <c r="S19" i="32" s="1"/>
  <c r="G2" i="31"/>
  <c r="F16" i="31" s="1"/>
  <c r="N2" i="31"/>
  <c r="F17" i="31" s="1"/>
  <c r="U2" i="31"/>
  <c r="F18" i="31" s="1"/>
  <c r="O18" i="31" s="1"/>
  <c r="AB2" i="31"/>
  <c r="F19" i="31" s="1"/>
  <c r="O19" i="31" s="1"/>
  <c r="B4" i="31"/>
  <c r="C4" i="31"/>
  <c r="D4" i="31"/>
  <c r="F4" i="31"/>
  <c r="K4" i="31" s="1"/>
  <c r="B5" i="31"/>
  <c r="C5" i="31"/>
  <c r="D5" i="31"/>
  <c r="F5" i="31"/>
  <c r="B6" i="31"/>
  <c r="C6" i="31"/>
  <c r="D6" i="31"/>
  <c r="F6" i="31"/>
  <c r="B7" i="31"/>
  <c r="C7" i="31"/>
  <c r="D7" i="31"/>
  <c r="F7" i="31"/>
  <c r="B8" i="31"/>
  <c r="C8" i="31"/>
  <c r="D8" i="31"/>
  <c r="F8" i="31"/>
  <c r="B9" i="31"/>
  <c r="C9" i="31"/>
  <c r="D9" i="31"/>
  <c r="F9" i="31"/>
  <c r="S19" i="31"/>
  <c r="G2" i="30"/>
  <c r="F16" i="30" s="1"/>
  <c r="N2" i="30"/>
  <c r="F17" i="30" s="1"/>
  <c r="U2" i="30"/>
  <c r="F18" i="30" s="1"/>
  <c r="O18" i="30" s="1"/>
  <c r="AB2" i="30"/>
  <c r="F19" i="30" s="1"/>
  <c r="O19" i="30" s="1"/>
  <c r="S19" i="30" s="1"/>
  <c r="B4" i="30"/>
  <c r="C4" i="30"/>
  <c r="D4" i="30"/>
  <c r="F4" i="30"/>
  <c r="L4" i="30" s="1"/>
  <c r="B5" i="30"/>
  <c r="C5" i="30"/>
  <c r="D5" i="30"/>
  <c r="F5" i="30"/>
  <c r="B6" i="30"/>
  <c r="C6" i="30"/>
  <c r="D6" i="30"/>
  <c r="F6" i="30"/>
  <c r="B7" i="30"/>
  <c r="C7" i="30"/>
  <c r="D7" i="30"/>
  <c r="F7" i="30"/>
  <c r="B8" i="30"/>
  <c r="C8" i="30"/>
  <c r="D8" i="30"/>
  <c r="F8" i="30"/>
  <c r="B9" i="30"/>
  <c r="C9" i="30"/>
  <c r="D9" i="30"/>
  <c r="F9" i="30"/>
  <c r="G2" i="29"/>
  <c r="F16" i="29" s="1"/>
  <c r="N2" i="29"/>
  <c r="F17" i="29" s="1"/>
  <c r="U2" i="29"/>
  <c r="F18" i="29" s="1"/>
  <c r="O18" i="29" s="1"/>
  <c r="AB2" i="29"/>
  <c r="F19" i="29" s="1"/>
  <c r="O19" i="29" s="1"/>
  <c r="S19" i="29" s="1"/>
  <c r="B4" i="29"/>
  <c r="C4" i="29"/>
  <c r="D4" i="29"/>
  <c r="F4" i="29"/>
  <c r="R4" i="29" s="1"/>
  <c r="B5" i="29"/>
  <c r="C5" i="29"/>
  <c r="D5" i="29"/>
  <c r="F5" i="29"/>
  <c r="B6" i="29"/>
  <c r="C6" i="29"/>
  <c r="D6" i="29"/>
  <c r="F6" i="29"/>
  <c r="B7" i="29"/>
  <c r="C7" i="29"/>
  <c r="D7" i="29"/>
  <c r="F7" i="29"/>
  <c r="B8" i="29"/>
  <c r="C8" i="29"/>
  <c r="D8" i="29"/>
  <c r="F8" i="29"/>
  <c r="B9" i="29"/>
  <c r="C9" i="29"/>
  <c r="D9" i="29"/>
  <c r="F9" i="29"/>
  <c r="G2" i="28"/>
  <c r="F16" i="28" s="1"/>
  <c r="N2" i="28"/>
  <c r="F17" i="28" s="1"/>
  <c r="U2" i="28"/>
  <c r="AB2" i="28"/>
  <c r="F19" i="28" s="1"/>
  <c r="O19" i="28" s="1"/>
  <c r="S19" i="28" s="1"/>
  <c r="B4" i="28"/>
  <c r="C4" i="28"/>
  <c r="D4" i="28"/>
  <c r="F4" i="28"/>
  <c r="K4" i="28" s="1"/>
  <c r="B5" i="28"/>
  <c r="C5" i="28"/>
  <c r="D5" i="28"/>
  <c r="F5" i="28"/>
  <c r="B6" i="28"/>
  <c r="C6" i="28"/>
  <c r="D6" i="28"/>
  <c r="F6" i="28"/>
  <c r="B7" i="28"/>
  <c r="C7" i="28"/>
  <c r="D7" i="28"/>
  <c r="F7" i="28"/>
  <c r="B8" i="28"/>
  <c r="C8" i="28"/>
  <c r="D8" i="28"/>
  <c r="F8" i="28"/>
  <c r="B9" i="28"/>
  <c r="C9" i="28"/>
  <c r="D9" i="28"/>
  <c r="F9" i="28"/>
  <c r="F18" i="28"/>
  <c r="O18" i="28" s="1"/>
  <c r="G2" i="27"/>
  <c r="F16" i="27" s="1"/>
  <c r="N2" i="27"/>
  <c r="F17" i="27" s="1"/>
  <c r="U2" i="27"/>
  <c r="F18" i="27" s="1"/>
  <c r="O18" i="27" s="1"/>
  <c r="AB2" i="27"/>
  <c r="F19" i="27" s="1"/>
  <c r="O19" i="27" s="1"/>
  <c r="S19" i="27" s="1"/>
  <c r="B4" i="27"/>
  <c r="C4" i="27"/>
  <c r="D4" i="27"/>
  <c r="F4" i="27"/>
  <c r="B5" i="27"/>
  <c r="C5" i="27"/>
  <c r="D5" i="27"/>
  <c r="F5" i="27"/>
  <c r="B6" i="27"/>
  <c r="C6" i="27"/>
  <c r="D6" i="27"/>
  <c r="F6" i="27"/>
  <c r="B7" i="27"/>
  <c r="C7" i="27"/>
  <c r="D7" i="27"/>
  <c r="F7" i="27"/>
  <c r="B8" i="27"/>
  <c r="C8" i="27"/>
  <c r="D8" i="27"/>
  <c r="F8" i="27"/>
  <c r="B9" i="27"/>
  <c r="C9" i="27"/>
  <c r="D9" i="27"/>
  <c r="F9" i="27"/>
  <c r="B4" i="26"/>
  <c r="B4" i="25" s="1"/>
  <c r="C4" i="26"/>
  <c r="E4" i="26"/>
  <c r="F4" i="26"/>
  <c r="F4" i="25" s="1"/>
  <c r="J4" i="26"/>
  <c r="L4" i="26"/>
  <c r="Q4" i="26"/>
  <c r="S4" i="26"/>
  <c r="X4" i="26"/>
  <c r="Z4" i="26"/>
  <c r="B6" i="26"/>
  <c r="B6" i="25" s="1"/>
  <c r="C6" i="26"/>
  <c r="E6" i="26"/>
  <c r="J6" i="26"/>
  <c r="L6" i="26"/>
  <c r="Q6" i="26"/>
  <c r="S6" i="26"/>
  <c r="X6" i="26"/>
  <c r="Z6" i="26"/>
  <c r="B8" i="26"/>
  <c r="B8" i="25" s="1"/>
  <c r="C8" i="26"/>
  <c r="E8" i="26"/>
  <c r="J8" i="26"/>
  <c r="L8" i="26"/>
  <c r="Q8" i="26"/>
  <c r="S8" i="26"/>
  <c r="X8" i="26"/>
  <c r="Z8" i="26"/>
  <c r="B10" i="26"/>
  <c r="B10" i="25" s="1"/>
  <c r="C10" i="26"/>
  <c r="E10" i="26"/>
  <c r="J10" i="26"/>
  <c r="L10" i="26"/>
  <c r="Q10" i="26"/>
  <c r="S10" i="26"/>
  <c r="X10" i="26"/>
  <c r="Z10" i="26"/>
  <c r="B12" i="26"/>
  <c r="B12" i="25" s="1"/>
  <c r="C12" i="26"/>
  <c r="E12" i="26"/>
  <c r="J12" i="26"/>
  <c r="L12" i="26"/>
  <c r="Q12" i="26"/>
  <c r="S12" i="26"/>
  <c r="X12" i="26"/>
  <c r="Z12" i="26"/>
  <c r="B14" i="26"/>
  <c r="B14" i="25" s="1"/>
  <c r="C14" i="26"/>
  <c r="E14" i="26"/>
  <c r="J14" i="26"/>
  <c r="L14" i="26"/>
  <c r="Q14" i="26"/>
  <c r="S14" i="26"/>
  <c r="X14" i="26"/>
  <c r="Z14" i="26"/>
  <c r="C18" i="26"/>
  <c r="E18" i="26"/>
  <c r="J18" i="26"/>
  <c r="L18" i="26"/>
  <c r="Q18" i="26"/>
  <c r="S18" i="26"/>
  <c r="X18" i="26"/>
  <c r="Z18" i="26"/>
  <c r="C20" i="26"/>
  <c r="E20" i="26"/>
  <c r="J20" i="26"/>
  <c r="L20" i="26"/>
  <c r="Q20" i="26"/>
  <c r="S20" i="26"/>
  <c r="X20" i="26"/>
  <c r="Z20" i="26"/>
  <c r="C22" i="26"/>
  <c r="E22" i="26"/>
  <c r="J22" i="26"/>
  <c r="L22" i="26"/>
  <c r="Q22" i="26"/>
  <c r="S22" i="26"/>
  <c r="X22" i="26"/>
  <c r="Z22" i="26"/>
  <c r="C24" i="26"/>
  <c r="E24" i="26"/>
  <c r="J24" i="26"/>
  <c r="L24" i="26"/>
  <c r="Q24" i="26"/>
  <c r="S24" i="26"/>
  <c r="X24" i="26"/>
  <c r="Z24" i="26"/>
  <c r="C26" i="26"/>
  <c r="E26" i="26"/>
  <c r="J26" i="26"/>
  <c r="L26" i="26"/>
  <c r="Q26" i="26"/>
  <c r="S26" i="26"/>
  <c r="X26" i="26"/>
  <c r="Z26" i="26"/>
  <c r="C28" i="26"/>
  <c r="E28" i="26"/>
  <c r="J28" i="26"/>
  <c r="L28" i="26"/>
  <c r="Q28" i="26"/>
  <c r="S28" i="26"/>
  <c r="X28" i="26"/>
  <c r="Z28" i="26"/>
  <c r="C33" i="26"/>
  <c r="E33" i="26"/>
  <c r="J35" i="26"/>
  <c r="L35" i="26"/>
  <c r="C38" i="26"/>
  <c r="E38" i="26"/>
  <c r="Q40" i="26"/>
  <c r="S40" i="26"/>
  <c r="AB42" i="26"/>
  <c r="C43" i="26"/>
  <c r="E43" i="26"/>
  <c r="J45" i="26"/>
  <c r="L45" i="26"/>
  <c r="C48" i="26"/>
  <c r="E48" i="26"/>
  <c r="X48" i="26"/>
  <c r="Z48" i="26"/>
  <c r="C53" i="26"/>
  <c r="E53" i="26"/>
  <c r="X53" i="26"/>
  <c r="Z53" i="26"/>
  <c r="J55" i="26"/>
  <c r="L55" i="26"/>
  <c r="C58" i="26"/>
  <c r="E58" i="26"/>
  <c r="Q60" i="26"/>
  <c r="S60" i="26"/>
  <c r="C63" i="26"/>
  <c r="E63" i="26"/>
  <c r="J65" i="26"/>
  <c r="L65" i="26"/>
  <c r="C68" i="26"/>
  <c r="E68" i="26"/>
  <c r="I36" i="25"/>
  <c r="M36" i="25"/>
  <c r="P41" i="25"/>
  <c r="T41" i="25"/>
  <c r="I46" i="25"/>
  <c r="M46" i="25"/>
  <c r="W49" i="25"/>
  <c r="AA49" i="25"/>
  <c r="W54" i="25"/>
  <c r="AA54" i="25"/>
  <c r="I56" i="25"/>
  <c r="M56" i="25"/>
  <c r="P61" i="25"/>
  <c r="T61" i="25"/>
  <c r="I66" i="25"/>
  <c r="M66" i="25"/>
  <c r="G2" i="24"/>
  <c r="N2" i="24"/>
  <c r="U2" i="24"/>
  <c r="AB2" i="24"/>
  <c r="F19" i="24" s="1"/>
  <c r="O19" i="24" s="1"/>
  <c r="S19" i="24" s="1"/>
  <c r="A4" i="24"/>
  <c r="B4" i="24"/>
  <c r="C4" i="24"/>
  <c r="D4" i="24"/>
  <c r="E4" i="24"/>
  <c r="F4" i="24"/>
  <c r="K4" i="24" s="1"/>
  <c r="A5" i="24"/>
  <c r="B5" i="24"/>
  <c r="C5" i="24"/>
  <c r="D5" i="24"/>
  <c r="F5" i="24"/>
  <c r="A6" i="24"/>
  <c r="B6" i="24"/>
  <c r="C6" i="24"/>
  <c r="D6" i="24"/>
  <c r="F6" i="24"/>
  <c r="A7" i="24"/>
  <c r="B7" i="24"/>
  <c r="C7" i="24"/>
  <c r="D7" i="24"/>
  <c r="F7" i="24"/>
  <c r="K7" i="24" s="1"/>
  <c r="A8" i="24"/>
  <c r="B8" i="24"/>
  <c r="C8" i="24"/>
  <c r="D8" i="24"/>
  <c r="F8" i="24"/>
  <c r="A9" i="24"/>
  <c r="B9" i="24"/>
  <c r="C9" i="24"/>
  <c r="D9" i="24"/>
  <c r="F9" i="24"/>
  <c r="G2" i="23"/>
  <c r="F16" i="23" s="1"/>
  <c r="N2" i="23"/>
  <c r="F17" i="23" s="1"/>
  <c r="U2" i="23"/>
  <c r="F18" i="23" s="1"/>
  <c r="O18" i="23" s="1"/>
  <c r="AB2" i="23"/>
  <c r="F19" i="23" s="1"/>
  <c r="O19" i="23" s="1"/>
  <c r="S19" i="23" s="1"/>
  <c r="B4" i="23"/>
  <c r="C4" i="23"/>
  <c r="D4" i="23"/>
  <c r="F4" i="23"/>
  <c r="Y4" i="23" s="1"/>
  <c r="B5" i="23"/>
  <c r="C5" i="23"/>
  <c r="D5" i="23"/>
  <c r="F5" i="23"/>
  <c r="B6" i="23"/>
  <c r="C6" i="23"/>
  <c r="D6" i="23"/>
  <c r="F6" i="23"/>
  <c r="B7" i="23"/>
  <c r="C7" i="23"/>
  <c r="D7" i="23"/>
  <c r="F7" i="23"/>
  <c r="B8" i="23"/>
  <c r="C8" i="23"/>
  <c r="D8" i="23"/>
  <c r="F8" i="23"/>
  <c r="B9" i="23"/>
  <c r="C9" i="23"/>
  <c r="D9" i="23"/>
  <c r="F9" i="23"/>
  <c r="G2" i="22"/>
  <c r="F16" i="22" s="1"/>
  <c r="N2" i="22"/>
  <c r="F17" i="22" s="1"/>
  <c r="U2" i="22"/>
  <c r="F18" i="22" s="1"/>
  <c r="O18" i="22" s="1"/>
  <c r="AB2" i="22"/>
  <c r="F19" i="22" s="1"/>
  <c r="O19" i="22" s="1"/>
  <c r="S19" i="22" s="1"/>
  <c r="B4" i="22"/>
  <c r="C4" i="22"/>
  <c r="D4" i="22"/>
  <c r="F4" i="22"/>
  <c r="B5" i="22"/>
  <c r="C5" i="22"/>
  <c r="D5" i="22"/>
  <c r="F5" i="22"/>
  <c r="B6" i="22"/>
  <c r="C6" i="22"/>
  <c r="D6" i="22"/>
  <c r="F6" i="22"/>
  <c r="S6" i="22" s="1"/>
  <c r="B7" i="22"/>
  <c r="C7" i="22"/>
  <c r="D7" i="22"/>
  <c r="F7" i="22"/>
  <c r="B8" i="22"/>
  <c r="C8" i="22"/>
  <c r="D8" i="22"/>
  <c r="F8" i="22"/>
  <c r="B9" i="22"/>
  <c r="C9" i="22"/>
  <c r="D9" i="22"/>
  <c r="F9" i="22"/>
  <c r="G2" i="21"/>
  <c r="F16" i="21" s="1"/>
  <c r="N2" i="21"/>
  <c r="F17" i="21" s="1"/>
  <c r="U2" i="21"/>
  <c r="F18" i="21" s="1"/>
  <c r="O18" i="21" s="1"/>
  <c r="AB2" i="21"/>
  <c r="F19" i="21" s="1"/>
  <c r="O19" i="21" s="1"/>
  <c r="S19" i="21" s="1"/>
  <c r="B4" i="21"/>
  <c r="C4" i="21"/>
  <c r="D4" i="21"/>
  <c r="F4" i="21"/>
  <c r="R4" i="21" s="1"/>
  <c r="B5" i="21"/>
  <c r="C5" i="21"/>
  <c r="D5" i="21"/>
  <c r="F5" i="21"/>
  <c r="B6" i="21"/>
  <c r="C6" i="21"/>
  <c r="D6" i="21"/>
  <c r="F6" i="21"/>
  <c r="B7" i="21"/>
  <c r="C7" i="21"/>
  <c r="D7" i="21"/>
  <c r="F7" i="21"/>
  <c r="R7" i="21" s="1"/>
  <c r="B8" i="21"/>
  <c r="C8" i="21"/>
  <c r="D8" i="21"/>
  <c r="F8" i="21"/>
  <c r="R8" i="21" s="1"/>
  <c r="B9" i="21"/>
  <c r="C9" i="21"/>
  <c r="D9" i="21"/>
  <c r="F9" i="21"/>
  <c r="K9" i="21" s="1"/>
  <c r="G2" i="20"/>
  <c r="F16" i="20" s="1"/>
  <c r="N2" i="20"/>
  <c r="U2" i="20"/>
  <c r="AB2" i="20"/>
  <c r="F19" i="20" s="1"/>
  <c r="O19" i="20" s="1"/>
  <c r="S19" i="20" s="1"/>
  <c r="B4" i="20"/>
  <c r="C4" i="20"/>
  <c r="D4" i="20"/>
  <c r="F4" i="20"/>
  <c r="L4" i="20" s="1"/>
  <c r="S4" i="20"/>
  <c r="B5" i="20"/>
  <c r="C5" i="20"/>
  <c r="D5" i="20"/>
  <c r="F5" i="20"/>
  <c r="B6" i="20"/>
  <c r="C6" i="20"/>
  <c r="D6" i="20"/>
  <c r="F6" i="20"/>
  <c r="B7" i="20"/>
  <c r="C7" i="20"/>
  <c r="D7" i="20"/>
  <c r="F7" i="20"/>
  <c r="B8" i="20"/>
  <c r="C8" i="20"/>
  <c r="D8" i="20"/>
  <c r="F8" i="20"/>
  <c r="B9" i="20"/>
  <c r="C9" i="20"/>
  <c r="D9" i="20"/>
  <c r="F9" i="20"/>
  <c r="F17" i="20"/>
  <c r="F18" i="20"/>
  <c r="O18" i="20" s="1"/>
  <c r="G2" i="19"/>
  <c r="F16" i="19" s="1"/>
  <c r="N2" i="19"/>
  <c r="F17" i="19" s="1"/>
  <c r="U2" i="19"/>
  <c r="F18" i="19" s="1"/>
  <c r="O18" i="19" s="1"/>
  <c r="AB2" i="19"/>
  <c r="F19" i="19" s="1"/>
  <c r="O19" i="19" s="1"/>
  <c r="S19" i="19" s="1"/>
  <c r="B4" i="19"/>
  <c r="C4" i="19"/>
  <c r="D4" i="19"/>
  <c r="F4" i="19"/>
  <c r="B5" i="19"/>
  <c r="C5" i="19"/>
  <c r="D5" i="19"/>
  <c r="F5" i="19"/>
  <c r="B6" i="19"/>
  <c r="C6" i="19"/>
  <c r="D6" i="19"/>
  <c r="F6" i="19"/>
  <c r="B7" i="19"/>
  <c r="C7" i="19"/>
  <c r="D7" i="19"/>
  <c r="F7" i="19"/>
  <c r="B8" i="19"/>
  <c r="C8" i="19"/>
  <c r="D8" i="19"/>
  <c r="F8" i="19"/>
  <c r="B9" i="19"/>
  <c r="C9" i="19"/>
  <c r="D9" i="19"/>
  <c r="F9" i="19"/>
  <c r="G2" i="18"/>
  <c r="F16" i="18" s="1"/>
  <c r="N2" i="18"/>
  <c r="U2" i="18"/>
  <c r="F18" i="18" s="1"/>
  <c r="O18" i="18" s="1"/>
  <c r="AB2" i="18"/>
  <c r="F19" i="18" s="1"/>
  <c r="O19" i="18" s="1"/>
  <c r="S19" i="18" s="1"/>
  <c r="B4" i="18"/>
  <c r="C4" i="18"/>
  <c r="D4" i="18"/>
  <c r="F4" i="18"/>
  <c r="L4" i="18" s="1"/>
  <c r="B5" i="18"/>
  <c r="C5" i="18"/>
  <c r="D5" i="18"/>
  <c r="F5" i="18"/>
  <c r="B6" i="18"/>
  <c r="C6" i="18"/>
  <c r="D6" i="18"/>
  <c r="F6" i="18"/>
  <c r="B7" i="18"/>
  <c r="C7" i="18"/>
  <c r="D7" i="18"/>
  <c r="F7" i="18"/>
  <c r="B8" i="18"/>
  <c r="C8" i="18"/>
  <c r="D8" i="18"/>
  <c r="F8" i="18"/>
  <c r="B9" i="18"/>
  <c r="C9" i="18"/>
  <c r="D9" i="18"/>
  <c r="F9" i="18"/>
  <c r="F17" i="18"/>
  <c r="G2" i="17"/>
  <c r="F16" i="17" s="1"/>
  <c r="N2" i="17"/>
  <c r="F17" i="17" s="1"/>
  <c r="U2" i="17"/>
  <c r="F18" i="17" s="1"/>
  <c r="O18" i="17" s="1"/>
  <c r="AB2" i="17"/>
  <c r="F19" i="17" s="1"/>
  <c r="O19" i="17" s="1"/>
  <c r="S19" i="17" s="1"/>
  <c r="B4" i="17"/>
  <c r="C4" i="17"/>
  <c r="D4" i="17"/>
  <c r="F4" i="17"/>
  <c r="R4" i="17" s="1"/>
  <c r="B5" i="17"/>
  <c r="C5" i="17"/>
  <c r="D5" i="17"/>
  <c r="F5" i="17"/>
  <c r="B6" i="17"/>
  <c r="C6" i="17"/>
  <c r="D6" i="17"/>
  <c r="F6" i="17"/>
  <c r="L6" i="17" s="1"/>
  <c r="B7" i="17"/>
  <c r="C7" i="17"/>
  <c r="D7" i="17"/>
  <c r="F7" i="17"/>
  <c r="B8" i="17"/>
  <c r="C8" i="17"/>
  <c r="D8" i="17"/>
  <c r="F8" i="17"/>
  <c r="B9" i="17"/>
  <c r="C9" i="17"/>
  <c r="D9" i="17"/>
  <c r="F9" i="17"/>
  <c r="E4" i="16"/>
  <c r="F4" i="16"/>
  <c r="L4" i="15"/>
  <c r="E9" i="15" s="1"/>
  <c r="A9" i="15" s="1"/>
  <c r="M4" i="15"/>
  <c r="R27" i="15" s="1"/>
  <c r="K16" i="15"/>
  <c r="N21" i="15"/>
  <c r="F15" i="16" s="1"/>
  <c r="L4" i="14"/>
  <c r="E8" i="14" s="1"/>
  <c r="A8" i="14" s="1"/>
  <c r="M4" i="14"/>
  <c r="S23" i="14" s="1"/>
  <c r="L4" i="13"/>
  <c r="E8" i="13" s="1"/>
  <c r="A8" i="13" s="1"/>
  <c r="M4" i="13"/>
  <c r="R23" i="13" s="1"/>
  <c r="E10" i="12"/>
  <c r="A10" i="12" s="1"/>
  <c r="E14" i="12"/>
  <c r="A14" i="12" s="1"/>
  <c r="E18" i="12"/>
  <c r="A18" i="12" s="1"/>
  <c r="E22" i="12"/>
  <c r="A22" i="12" s="1"/>
  <c r="E26" i="12"/>
  <c r="A26" i="12" s="1"/>
  <c r="S28" i="12"/>
  <c r="E32" i="12"/>
  <c r="A32" i="12" s="1"/>
  <c r="E36" i="12"/>
  <c r="A36" i="12" s="1"/>
  <c r="E40" i="12"/>
  <c r="A40" i="12" s="1"/>
  <c r="B6" i="11"/>
  <c r="F6" i="11"/>
  <c r="E4" i="17" s="1"/>
  <c r="R6" i="11"/>
  <c r="B7" i="11"/>
  <c r="A5" i="17" s="1"/>
  <c r="F7" i="11"/>
  <c r="E5" i="17" s="1"/>
  <c r="R7" i="11"/>
  <c r="B8" i="11"/>
  <c r="A6" i="17" s="1"/>
  <c r="F8" i="11"/>
  <c r="E6" i="17" s="1"/>
  <c r="R8" i="11"/>
  <c r="B9" i="11"/>
  <c r="F9" i="11"/>
  <c r="R9" i="11"/>
  <c r="B10" i="11"/>
  <c r="F10" i="11"/>
  <c r="E8" i="17" s="1"/>
  <c r="R10" i="11"/>
  <c r="B11" i="11"/>
  <c r="F11" i="11"/>
  <c r="R11" i="11"/>
  <c r="U24" i="11"/>
  <c r="L6" i="11" s="1"/>
  <c r="A6" i="11" s="1"/>
  <c r="V24" i="11"/>
  <c r="V26" i="11" s="1"/>
  <c r="B6" i="10"/>
  <c r="F6" i="10"/>
  <c r="R6" i="10"/>
  <c r="B7" i="10"/>
  <c r="F7" i="10"/>
  <c r="R7" i="10"/>
  <c r="B8" i="10"/>
  <c r="F8" i="10"/>
  <c r="R8" i="10"/>
  <c r="B9" i="10"/>
  <c r="F9" i="10"/>
  <c r="R9" i="10"/>
  <c r="B10" i="10"/>
  <c r="F10" i="10"/>
  <c r="R10" i="10"/>
  <c r="B11" i="10"/>
  <c r="F11" i="10"/>
  <c r="R11" i="10"/>
  <c r="U24" i="10"/>
  <c r="L6" i="10" s="1"/>
  <c r="A6" i="10" s="1"/>
  <c r="V24" i="10"/>
  <c r="V26" i="10" s="1"/>
  <c r="B6" i="9"/>
  <c r="F6" i="9"/>
  <c r="R6" i="9"/>
  <c r="B7" i="9"/>
  <c r="F7" i="9"/>
  <c r="R7" i="9"/>
  <c r="B8" i="9"/>
  <c r="F8" i="9"/>
  <c r="R8" i="9"/>
  <c r="B9" i="9"/>
  <c r="F9" i="9"/>
  <c r="R9" i="9"/>
  <c r="B10" i="9"/>
  <c r="F10" i="9"/>
  <c r="E8" i="19" s="1"/>
  <c r="R10" i="9"/>
  <c r="B11" i="9"/>
  <c r="A9" i="19" s="1"/>
  <c r="F11" i="9"/>
  <c r="R11" i="9"/>
  <c r="U24" i="9"/>
  <c r="L9" i="9" s="1"/>
  <c r="A9" i="9" s="1"/>
  <c r="V24" i="9"/>
  <c r="V26" i="9" s="1"/>
  <c r="B6" i="8"/>
  <c r="F6" i="8"/>
  <c r="E4" i="20" s="1"/>
  <c r="R6" i="8"/>
  <c r="B7" i="8"/>
  <c r="A5" i="20" s="1"/>
  <c r="F7" i="8"/>
  <c r="R7" i="8"/>
  <c r="B8" i="8"/>
  <c r="F8" i="8"/>
  <c r="R8" i="8"/>
  <c r="B9" i="8"/>
  <c r="F9" i="8"/>
  <c r="R9" i="8"/>
  <c r="B10" i="8"/>
  <c r="F10" i="8"/>
  <c r="E8" i="20" s="1"/>
  <c r="R10" i="8"/>
  <c r="B11" i="8"/>
  <c r="A9" i="20" s="1"/>
  <c r="F11" i="8"/>
  <c r="E9" i="20" s="1"/>
  <c r="R11" i="8"/>
  <c r="U24" i="8"/>
  <c r="L6" i="8" s="1"/>
  <c r="A6" i="8" s="1"/>
  <c r="V24" i="8"/>
  <c r="U26" i="8" s="1"/>
  <c r="B6" i="7"/>
  <c r="A4" i="21" s="1"/>
  <c r="F6" i="7"/>
  <c r="E4" i="21" s="1"/>
  <c r="R6" i="7"/>
  <c r="B7" i="7"/>
  <c r="F7" i="7"/>
  <c r="R7" i="7"/>
  <c r="B8" i="7"/>
  <c r="A6" i="29" s="1"/>
  <c r="F8" i="7"/>
  <c r="R8" i="7"/>
  <c r="B9" i="7"/>
  <c r="A7" i="21" s="1"/>
  <c r="F9" i="7"/>
  <c r="E7" i="21" s="1"/>
  <c r="R9" i="7"/>
  <c r="B10" i="7"/>
  <c r="A8" i="21" s="1"/>
  <c r="F10" i="7"/>
  <c r="E8" i="21" s="1"/>
  <c r="R10" i="7"/>
  <c r="B11" i="7"/>
  <c r="A9" i="21" s="1"/>
  <c r="F11" i="7"/>
  <c r="E9" i="21" s="1"/>
  <c r="R11" i="7"/>
  <c r="U25" i="7"/>
  <c r="L6" i="7" s="1"/>
  <c r="A6" i="7" s="1"/>
  <c r="V25" i="7"/>
  <c r="V27" i="7" s="1"/>
  <c r="B6" i="6"/>
  <c r="A4" i="22" s="1"/>
  <c r="F6" i="6"/>
  <c r="E4" i="22" s="1"/>
  <c r="R6" i="6"/>
  <c r="B7" i="6"/>
  <c r="A5" i="22" s="1"/>
  <c r="F7" i="6"/>
  <c r="E5" i="22" s="1"/>
  <c r="R7" i="6"/>
  <c r="B8" i="6"/>
  <c r="A6" i="22" s="1"/>
  <c r="F8" i="6"/>
  <c r="R8" i="6"/>
  <c r="B9" i="6"/>
  <c r="F9" i="6"/>
  <c r="R9" i="6"/>
  <c r="B10" i="6"/>
  <c r="F10" i="6"/>
  <c r="R10" i="6"/>
  <c r="B11" i="6"/>
  <c r="F11" i="6"/>
  <c r="R11" i="6"/>
  <c r="U25" i="6"/>
  <c r="L6" i="6" s="1"/>
  <c r="A6" i="6" s="1"/>
  <c r="V25" i="6"/>
  <c r="U27" i="6" s="1"/>
  <c r="B6" i="5"/>
  <c r="F6" i="5"/>
  <c r="R6" i="5"/>
  <c r="B7" i="5"/>
  <c r="F7" i="5"/>
  <c r="E5" i="27" s="1"/>
  <c r="R7" i="5"/>
  <c r="F8" i="5"/>
  <c r="R8" i="5"/>
  <c r="B9" i="5"/>
  <c r="F9" i="5"/>
  <c r="R9" i="5"/>
  <c r="B10" i="5"/>
  <c r="F10" i="5"/>
  <c r="R10" i="5"/>
  <c r="B11" i="5"/>
  <c r="R11" i="5"/>
  <c r="U24" i="5"/>
  <c r="L6" i="5" s="1"/>
  <c r="A6" i="5" s="1"/>
  <c r="V24" i="5"/>
  <c r="V26" i="5" s="1"/>
  <c r="E5" i="3"/>
  <c r="E6" i="3"/>
  <c r="E7" i="24"/>
  <c r="E8" i="3"/>
  <c r="E9" i="3"/>
  <c r="V24" i="4"/>
  <c r="L6" i="4" s="1"/>
  <c r="A6" i="4" s="1"/>
  <c r="W24" i="4"/>
  <c r="V26" i="4" s="1"/>
  <c r="G2" i="3"/>
  <c r="F16" i="3" s="1"/>
  <c r="N2" i="3"/>
  <c r="U2" i="3"/>
  <c r="F18" i="3" s="1"/>
  <c r="O18" i="3" s="1"/>
  <c r="AB2" i="3"/>
  <c r="F19" i="3" s="1"/>
  <c r="O19" i="3" s="1"/>
  <c r="S19" i="3" s="1"/>
  <c r="A4" i="3"/>
  <c r="B4" i="3"/>
  <c r="C4" i="3"/>
  <c r="D4" i="3"/>
  <c r="E4" i="3"/>
  <c r="F4" i="3"/>
  <c r="A5" i="3"/>
  <c r="B5" i="3"/>
  <c r="C5" i="3"/>
  <c r="D5" i="3"/>
  <c r="F5" i="3"/>
  <c r="A6" i="3"/>
  <c r="B6" i="3"/>
  <c r="C6" i="3"/>
  <c r="D6" i="3"/>
  <c r="F6" i="3"/>
  <c r="A7" i="3"/>
  <c r="B7" i="3"/>
  <c r="C7" i="3"/>
  <c r="D7" i="3"/>
  <c r="F7" i="3"/>
  <c r="A8" i="3"/>
  <c r="B8" i="3"/>
  <c r="C8" i="3"/>
  <c r="D8" i="3"/>
  <c r="F8" i="3"/>
  <c r="A9" i="3"/>
  <c r="B9" i="3"/>
  <c r="C9" i="3"/>
  <c r="D9" i="3"/>
  <c r="F9" i="3"/>
  <c r="AG9" i="3" s="1"/>
  <c r="L37" i="1" a="1"/>
  <c r="K3" i="1" a="1"/>
  <c r="L36" i="1" a="1"/>
  <c r="K2" i="1" a="1"/>
  <c r="L20" i="1" a="1"/>
  <c r="K37" i="1" a="1"/>
  <c r="L2" i="1" a="1"/>
  <c r="L3" i="1" a="1"/>
  <c r="K19" i="1" a="1"/>
  <c r="L19" i="1" a="1"/>
  <c r="K20" i="1" a="1"/>
  <c r="K36" i="1" a="1"/>
  <c r="L21" i="1" a="1"/>
  <c r="K35" i="1" a="1"/>
  <c r="L35" i="1" a="1"/>
  <c r="L34" i="1" a="1"/>
  <c r="K4" i="1" a="1"/>
  <c r="K5" i="1" a="1"/>
  <c r="K34" i="1" a="1"/>
  <c r="L4" i="1" a="1"/>
  <c r="L5" i="1" a="1"/>
  <c r="L18" i="1" a="1"/>
  <c r="K18" i="1" a="1"/>
  <c r="K21" i="1" a="1"/>
  <c r="L8" i="1" a="1"/>
  <c r="K23" i="1" a="1"/>
  <c r="L23" i="1" a="1"/>
  <c r="K25" i="1" a="1"/>
  <c r="L25" i="1" a="1"/>
  <c r="K40" i="1" a="1"/>
  <c r="L40" i="1" a="1"/>
  <c r="K41" i="1" a="1"/>
  <c r="L41" i="1" a="1"/>
  <c r="K9" i="1" a="1"/>
  <c r="L9" i="1" a="1"/>
  <c r="K8" i="1" a="1"/>
  <c r="K6" i="1" a="1"/>
  <c r="L6" i="1" a="1"/>
  <c r="K7" i="1" a="1"/>
  <c r="K38" i="1" a="1"/>
  <c r="L7" i="1" a="1"/>
  <c r="K24" i="1" a="1"/>
  <c r="L24" i="1" a="1"/>
  <c r="K22" i="1" a="1"/>
  <c r="L22" i="1" a="1"/>
  <c r="K39" i="1" a="1"/>
  <c r="L39" i="1" a="1"/>
  <c r="L38" i="1" a="1"/>
  <c r="L11" i="1" a="1"/>
  <c r="L12" i="1" a="1"/>
  <c r="L29" i="1" a="1"/>
  <c r="L26" i="1" a="1"/>
  <c r="L45" i="1" a="1"/>
  <c r="L44" i="1" a="1"/>
  <c r="K11" i="1" a="1"/>
  <c r="K12" i="1" a="1"/>
  <c r="K29" i="1" a="1"/>
  <c r="K26" i="1" a="1"/>
  <c r="K45" i="1" a="1"/>
  <c r="K44" i="1" a="1"/>
  <c r="L10" i="1" a="1"/>
  <c r="L13" i="1" a="1"/>
  <c r="L28" i="1" a="1"/>
  <c r="L27" i="1" a="1"/>
  <c r="L42" i="1" a="1"/>
  <c r="L43" i="1" a="1"/>
  <c r="K10" i="1" a="1"/>
  <c r="K13" i="1" a="1"/>
  <c r="K28" i="1" a="1"/>
  <c r="K27" i="1" a="1"/>
  <c r="K42" i="1" a="1"/>
  <c r="K43" i="1" a="1"/>
  <c r="L14" i="1" a="1"/>
  <c r="L17" i="1" a="1"/>
  <c r="L32" i="1" a="1"/>
  <c r="K30" i="1" a="1"/>
  <c r="K49" i="1" a="1"/>
  <c r="L48" i="1" a="1"/>
  <c r="K14" i="1" a="1"/>
  <c r="K17" i="1" a="1"/>
  <c r="K32" i="1" a="1"/>
  <c r="L30" i="1" a="1"/>
  <c r="L49" i="1" a="1"/>
  <c r="K48" i="1" a="1"/>
  <c r="L15" i="1" a="1"/>
  <c r="L16" i="1" a="1"/>
  <c r="L31" i="1" a="1"/>
  <c r="L33" i="1" a="1"/>
  <c r="L47" i="1" a="1"/>
  <c r="L46" i="1" a="1"/>
  <c r="K15" i="1" a="1"/>
  <c r="K16" i="1" a="1"/>
  <c r="K31" i="1" a="1"/>
  <c r="K33" i="1" a="1"/>
  <c r="K47" i="1" a="1"/>
  <c r="K46" i="1" a="1"/>
  <c r="L63" i="1" a="1"/>
  <c r="L59" i="1" a="1"/>
  <c r="L55" i="1" a="1"/>
  <c r="K63" i="1" a="1"/>
  <c r="K59" i="1" a="1"/>
  <c r="K55" i="1" a="1"/>
  <c r="L62" i="1" a="1"/>
  <c r="L58" i="1" a="1"/>
  <c r="L54" i="1" a="1"/>
  <c r="K62" i="1" a="1"/>
  <c r="K58" i="1" a="1"/>
  <c r="L65" i="1" a="1"/>
  <c r="L57" i="1" a="1"/>
  <c r="K65" i="1" a="1"/>
  <c r="L60" i="1" a="1"/>
  <c r="K64" i="1" a="1"/>
  <c r="K60" i="1" a="1"/>
  <c r="L52" i="1" a="1"/>
  <c r="L61" i="1" a="1"/>
  <c r="K61" i="1" a="1"/>
  <c r="K57" i="1" a="1"/>
  <c r="L64" i="1" a="1"/>
  <c r="K56" i="1" a="1"/>
  <c r="L56" i="1" a="1"/>
  <c r="K36" i="1" l="1"/>
  <c r="K20" i="1"/>
  <c r="L19" i="1"/>
  <c r="K19" i="1"/>
  <c r="L3" i="1"/>
  <c r="L2" i="1"/>
  <c r="K37" i="1"/>
  <c r="L20" i="1"/>
  <c r="K2" i="1"/>
  <c r="L36" i="1"/>
  <c r="K3" i="1"/>
  <c r="L37" i="1"/>
  <c r="K21" i="1"/>
  <c r="K18" i="1"/>
  <c r="L18" i="1"/>
  <c r="L5" i="1"/>
  <c r="L4" i="1"/>
  <c r="K34" i="1"/>
  <c r="K5" i="1"/>
  <c r="K4" i="1"/>
  <c r="L34" i="1"/>
  <c r="L35" i="1"/>
  <c r="K35" i="1"/>
  <c r="L21" i="1"/>
  <c r="K8" i="1"/>
  <c r="L9" i="1"/>
  <c r="K9" i="1"/>
  <c r="L41" i="1"/>
  <c r="K41" i="1"/>
  <c r="L40" i="1"/>
  <c r="K40" i="1"/>
  <c r="L25" i="1"/>
  <c r="K25" i="1"/>
  <c r="L23" i="1"/>
  <c r="K23" i="1"/>
  <c r="L8" i="1"/>
  <c r="L38" i="1"/>
  <c r="L39" i="1"/>
  <c r="K39" i="1"/>
  <c r="L22" i="1"/>
  <c r="K22" i="1"/>
  <c r="L24" i="1"/>
  <c r="K24" i="1"/>
  <c r="L7" i="1"/>
  <c r="K38" i="1"/>
  <c r="K7" i="1"/>
  <c r="L6" i="1"/>
  <c r="K6" i="1"/>
  <c r="L44" i="1"/>
  <c r="L45" i="1"/>
  <c r="L26" i="1"/>
  <c r="L29" i="1"/>
  <c r="L12" i="1"/>
  <c r="L11" i="1"/>
  <c r="K44" i="1"/>
  <c r="K45" i="1"/>
  <c r="K26" i="1"/>
  <c r="K29" i="1"/>
  <c r="K12" i="1"/>
  <c r="K11" i="1"/>
  <c r="L43" i="1"/>
  <c r="L42" i="1"/>
  <c r="L27" i="1"/>
  <c r="L28" i="1"/>
  <c r="L13" i="1"/>
  <c r="L10" i="1"/>
  <c r="K43" i="1"/>
  <c r="K42" i="1"/>
  <c r="K27" i="1"/>
  <c r="K28" i="1"/>
  <c r="K13" i="1"/>
  <c r="K10" i="1"/>
  <c r="L48" i="1"/>
  <c r="K49" i="1"/>
  <c r="K30" i="1"/>
  <c r="L32" i="1"/>
  <c r="L17" i="1"/>
  <c r="L14" i="1"/>
  <c r="K48" i="1"/>
  <c r="L49" i="1"/>
  <c r="L30" i="1"/>
  <c r="K32" i="1"/>
  <c r="K17" i="1"/>
  <c r="K14" i="1"/>
  <c r="L46" i="1"/>
  <c r="L47" i="1"/>
  <c r="L33" i="1"/>
  <c r="L31" i="1"/>
  <c r="L16" i="1"/>
  <c r="L15" i="1"/>
  <c r="K46" i="1"/>
  <c r="K47" i="1"/>
  <c r="K33" i="1"/>
  <c r="K31" i="1"/>
  <c r="K16" i="1"/>
  <c r="K15" i="1"/>
  <c r="L63" i="1"/>
  <c r="K63" i="1"/>
  <c r="L62" i="1"/>
  <c r="K62" i="1"/>
  <c r="L61" i="1"/>
  <c r="K61" i="1"/>
  <c r="L60" i="1"/>
  <c r="K60" i="1"/>
  <c r="L59" i="1"/>
  <c r="K59" i="1"/>
  <c r="L58" i="1"/>
  <c r="K58" i="1"/>
  <c r="L57" i="1"/>
  <c r="K57" i="1"/>
  <c r="L56" i="1"/>
  <c r="K56" i="1"/>
  <c r="L55" i="1"/>
  <c r="K55" i="1"/>
  <c r="L54" i="1"/>
  <c r="L65" i="1"/>
  <c r="K65" i="1"/>
  <c r="L64" i="1"/>
  <c r="K64" i="1"/>
  <c r="L52" i="1"/>
  <c r="K7" i="3"/>
  <c r="R8" i="19"/>
  <c r="K8" i="24"/>
  <c r="S7" i="33"/>
  <c r="S9" i="27"/>
  <c r="Z5" i="3"/>
  <c r="S9" i="20"/>
  <c r="R5" i="20"/>
  <c r="AG6" i="24"/>
  <c r="K8" i="27"/>
  <c r="L6" i="21"/>
  <c r="R7" i="22"/>
  <c r="S5" i="22"/>
  <c r="Y8" i="29"/>
  <c r="Z6" i="29"/>
  <c r="R9" i="30"/>
  <c r="Z6" i="31"/>
  <c r="K8" i="22"/>
  <c r="L8" i="3"/>
  <c r="AG6" i="33"/>
  <c r="S4" i="18"/>
  <c r="G5" i="17"/>
  <c r="S29" i="12"/>
  <c r="L6" i="29"/>
  <c r="K5" i="22"/>
  <c r="S6" i="21"/>
  <c r="L4" i="28"/>
  <c r="AG6" i="22"/>
  <c r="S4" i="22"/>
  <c r="R6" i="17"/>
  <c r="L4" i="19"/>
  <c r="R6" i="22"/>
  <c r="S6" i="17"/>
  <c r="AG6" i="17"/>
  <c r="AG4" i="17"/>
  <c r="Y4" i="17"/>
  <c r="Y9" i="20"/>
  <c r="AG8" i="30"/>
  <c r="AG4" i="20"/>
  <c r="S4" i="30"/>
  <c r="Y8" i="21"/>
  <c r="K7" i="21"/>
  <c r="AG4" i="21"/>
  <c r="S4" i="21"/>
  <c r="L4" i="21"/>
  <c r="Y5" i="22"/>
  <c r="R4" i="3"/>
  <c r="Z6" i="17"/>
  <c r="L4" i="17"/>
  <c r="AF6" i="19"/>
  <c r="Z4" i="19"/>
  <c r="AG9" i="20"/>
  <c r="R9" i="20"/>
  <c r="Z4" i="21"/>
  <c r="AF5" i="22"/>
  <c r="R4" i="22"/>
  <c r="S8" i="30"/>
  <c r="Z4" i="31"/>
  <c r="AF5" i="19"/>
  <c r="AF9" i="20"/>
  <c r="K9" i="20"/>
  <c r="Y5" i="20"/>
  <c r="Y9" i="21"/>
  <c r="AG4" i="28"/>
  <c r="AF6" i="29"/>
  <c r="Y4" i="29"/>
  <c r="L4" i="31"/>
  <c r="AG8" i="32"/>
  <c r="S4" i="17"/>
  <c r="Z8" i="18"/>
  <c r="Y4" i="22"/>
  <c r="Z6" i="30"/>
  <c r="AG4" i="31"/>
  <c r="AG4" i="18"/>
  <c r="S5" i="19"/>
  <c r="K4" i="19"/>
  <c r="Y8" i="20"/>
  <c r="R9" i="21"/>
  <c r="Y4" i="21"/>
  <c r="K4" i="21"/>
  <c r="Y7" i="22"/>
  <c r="L6" i="22"/>
  <c r="AG4" i="22"/>
  <c r="L4" i="22"/>
  <c r="Y4" i="28"/>
  <c r="AG6" i="29"/>
  <c r="K6" i="29"/>
  <c r="Y9" i="30"/>
  <c r="R8" i="30"/>
  <c r="AG4" i="30"/>
  <c r="S4" i="31"/>
  <c r="Z6" i="32"/>
  <c r="AG9" i="33"/>
  <c r="AG7" i="33"/>
  <c r="Z8" i="30"/>
  <c r="Y9" i="31"/>
  <c r="AF4" i="19"/>
  <c r="L6" i="20"/>
  <c r="AG7" i="21"/>
  <c r="AF4" i="21"/>
  <c r="Y6" i="22"/>
  <c r="AG4" i="23"/>
  <c r="K9" i="30"/>
  <c r="R9" i="31"/>
  <c r="R4" i="23"/>
  <c r="AF4" i="23"/>
  <c r="K4" i="23"/>
  <c r="Y8" i="27"/>
  <c r="AG7" i="3"/>
  <c r="L4" i="23"/>
  <c r="Y5" i="24"/>
  <c r="K9" i="24"/>
  <c r="AG9" i="23"/>
  <c r="AG9" i="27"/>
  <c r="Y9" i="27"/>
  <c r="AF5" i="23"/>
  <c r="S4" i="23"/>
  <c r="Z9" i="3"/>
  <c r="Y9" i="24"/>
  <c r="R9" i="24"/>
  <c r="AG9" i="24"/>
  <c r="AG8" i="3"/>
  <c r="AG8" i="24"/>
  <c r="S7" i="24"/>
  <c r="L6" i="3"/>
  <c r="AG6" i="3"/>
  <c r="AG4" i="24"/>
  <c r="Z4" i="24"/>
  <c r="S4" i="24"/>
  <c r="L4" i="24"/>
  <c r="AE6" i="17"/>
  <c r="H6" i="17"/>
  <c r="AC4" i="21"/>
  <c r="X4" i="21"/>
  <c r="K9" i="3"/>
  <c r="R8" i="3"/>
  <c r="AF6" i="17"/>
  <c r="Y5" i="17"/>
  <c r="Y4" i="18"/>
  <c r="K4" i="18"/>
  <c r="AG8" i="19"/>
  <c r="AF5" i="20"/>
  <c r="K5" i="20"/>
  <c r="Y4" i="20"/>
  <c r="K4" i="20"/>
  <c r="S9" i="21"/>
  <c r="AG8" i="21"/>
  <c r="L8" i="21"/>
  <c r="S5" i="21"/>
  <c r="AF8" i="22"/>
  <c r="K9" i="23"/>
  <c r="Y8" i="23"/>
  <c r="S7" i="23"/>
  <c r="Z4" i="23"/>
  <c r="S9" i="24"/>
  <c r="AF8" i="24"/>
  <c r="Y7" i="24"/>
  <c r="AF4" i="24"/>
  <c r="R4" i="24"/>
  <c r="AF9" i="27"/>
  <c r="S4" i="28"/>
  <c r="K9" i="29"/>
  <c r="Z4" i="29"/>
  <c r="K4" i="29"/>
  <c r="Y4" i="30"/>
  <c r="K4" i="30"/>
  <c r="AF8" i="31"/>
  <c r="AF4" i="31"/>
  <c r="R4" i="31"/>
  <c r="K9" i="33"/>
  <c r="K7" i="33"/>
  <c r="R5" i="21"/>
  <c r="S8" i="24"/>
  <c r="L8" i="27"/>
  <c r="AF4" i="18"/>
  <c r="R4" i="18"/>
  <c r="S5" i="20"/>
  <c r="AF4" i="20"/>
  <c r="R4" i="20"/>
  <c r="AG9" i="21"/>
  <c r="S8" i="21"/>
  <c r="AF9" i="22"/>
  <c r="Y8" i="22"/>
  <c r="S9" i="23"/>
  <c r="R8" i="24"/>
  <c r="Y4" i="24"/>
  <c r="Z8" i="27"/>
  <c r="Z4" i="28"/>
  <c r="Y7" i="29"/>
  <c r="AG4" i="29"/>
  <c r="S4" i="29"/>
  <c r="AF4" i="30"/>
  <c r="R4" i="30"/>
  <c r="Y4" i="31"/>
  <c r="AG4" i="33"/>
  <c r="Z4" i="18"/>
  <c r="Y7" i="19"/>
  <c r="AG5" i="20"/>
  <c r="Z4" i="20"/>
  <c r="AF4" i="29"/>
  <c r="Z4" i="30"/>
  <c r="J5" i="22"/>
  <c r="N5" i="22"/>
  <c r="P5" i="22" s="1"/>
  <c r="X5" i="22"/>
  <c r="H4" i="22"/>
  <c r="AB4" i="22"/>
  <c r="AD4" i="22" s="1"/>
  <c r="J4" i="22"/>
  <c r="O4" i="22"/>
  <c r="U4" i="22"/>
  <c r="W4" i="22" s="1"/>
  <c r="AE4" i="22"/>
  <c r="AC4" i="22"/>
  <c r="N4" i="22"/>
  <c r="P4" i="22" s="1"/>
  <c r="X4" i="22"/>
  <c r="O7" i="21"/>
  <c r="U7" i="21"/>
  <c r="W7" i="21" s="1"/>
  <c r="AB7" i="21"/>
  <c r="AD7" i="21" s="1"/>
  <c r="X7" i="21"/>
  <c r="J7" i="21"/>
  <c r="AC7" i="21"/>
  <c r="H8" i="21"/>
  <c r="AB8" i="21"/>
  <c r="AD8" i="21" s="1"/>
  <c r="J8" i="21"/>
  <c r="O8" i="21"/>
  <c r="U8" i="21"/>
  <c r="W8" i="21" s="1"/>
  <c r="AE8" i="21"/>
  <c r="AC8" i="21"/>
  <c r="X8" i="21"/>
  <c r="N8" i="21"/>
  <c r="P8" i="21" s="1"/>
  <c r="J9" i="21"/>
  <c r="N9" i="21"/>
  <c r="P9" i="21" s="1"/>
  <c r="U9" i="21"/>
  <c r="W9" i="21" s="1"/>
  <c r="AC9" i="21"/>
  <c r="AB9" i="21"/>
  <c r="AD9" i="21" s="1"/>
  <c r="O5" i="17"/>
  <c r="A7" i="27"/>
  <c r="AG7" i="27" s="1"/>
  <c r="I10" i="26"/>
  <c r="I10" i="25" s="1"/>
  <c r="P14" i="26"/>
  <c r="P14" i="25" s="1"/>
  <c r="A9" i="28"/>
  <c r="R9" i="28" s="1"/>
  <c r="A9" i="22"/>
  <c r="R9" i="22" s="1"/>
  <c r="A7" i="28"/>
  <c r="R7" i="28" s="1"/>
  <c r="P10" i="26"/>
  <c r="P10" i="25" s="1"/>
  <c r="E5" i="30"/>
  <c r="Q5" i="30" s="1"/>
  <c r="F20" i="26"/>
  <c r="F20" i="25" s="1"/>
  <c r="E9" i="31"/>
  <c r="M28" i="26"/>
  <c r="M28" i="25" s="1"/>
  <c r="E5" i="32"/>
  <c r="T20" i="26"/>
  <c r="T20" i="25" s="1"/>
  <c r="E5" i="18"/>
  <c r="J9" i="20"/>
  <c r="X9" i="20"/>
  <c r="N9" i="20"/>
  <c r="P9" i="20" s="1"/>
  <c r="U9" i="20"/>
  <c r="W9" i="20" s="1"/>
  <c r="AB9" i="20"/>
  <c r="AD9" i="20" s="1"/>
  <c r="K5" i="3"/>
  <c r="L4" i="3"/>
  <c r="F12" i="26"/>
  <c r="F12" i="25" s="1"/>
  <c r="E8" i="24"/>
  <c r="U8" i="24" s="1"/>
  <c r="W8" i="24" s="1"/>
  <c r="M14" i="26"/>
  <c r="M14" i="25" s="1"/>
  <c r="E9" i="27"/>
  <c r="E9" i="23"/>
  <c r="E7" i="27"/>
  <c r="M10" i="26"/>
  <c r="M10" i="25" s="1"/>
  <c r="T14" i="26"/>
  <c r="T14" i="25" s="1"/>
  <c r="E9" i="28"/>
  <c r="E9" i="22"/>
  <c r="V9" i="22" s="1"/>
  <c r="T10" i="26"/>
  <c r="T10" i="25" s="1"/>
  <c r="E7" i="28"/>
  <c r="E5" i="28"/>
  <c r="T6" i="26"/>
  <c r="T6" i="25" s="1"/>
  <c r="E9" i="29"/>
  <c r="H9" i="29" s="1"/>
  <c r="AA14" i="26"/>
  <c r="AA14" i="25" s="1"/>
  <c r="E7" i="29"/>
  <c r="AA10" i="26"/>
  <c r="AA10" i="25" s="1"/>
  <c r="E5" i="29"/>
  <c r="AA6" i="26"/>
  <c r="AA6" i="25" s="1"/>
  <c r="A8" i="30"/>
  <c r="K8" i="30" s="1"/>
  <c r="B26" i="26"/>
  <c r="B26" i="25" s="1"/>
  <c r="B22" i="26"/>
  <c r="B22" i="25" s="1"/>
  <c r="A6" i="30"/>
  <c r="Y6" i="30" s="1"/>
  <c r="A6" i="20"/>
  <c r="K6" i="20" s="1"/>
  <c r="A4" i="30"/>
  <c r="N4" i="30" s="1"/>
  <c r="P4" i="30" s="1"/>
  <c r="B18" i="26"/>
  <c r="B18" i="25" s="1"/>
  <c r="A8" i="31"/>
  <c r="S8" i="31" s="1"/>
  <c r="I26" i="26"/>
  <c r="I26" i="25" s="1"/>
  <c r="A6" i="31"/>
  <c r="N6" i="31" s="1"/>
  <c r="P6" i="31" s="1"/>
  <c r="I22" i="26"/>
  <c r="I22" i="25" s="1"/>
  <c r="A6" i="19"/>
  <c r="K6" i="19" s="1"/>
  <c r="A4" i="31"/>
  <c r="I18" i="26"/>
  <c r="I18" i="25" s="1"/>
  <c r="A4" i="19"/>
  <c r="A8" i="32"/>
  <c r="R8" i="32" s="1"/>
  <c r="P26" i="26"/>
  <c r="P26" i="25" s="1"/>
  <c r="A8" i="18"/>
  <c r="Y8" i="18" s="1"/>
  <c r="A6" i="32"/>
  <c r="S6" i="32" s="1"/>
  <c r="P22" i="26"/>
  <c r="P22" i="25" s="1"/>
  <c r="A6" i="18"/>
  <c r="R6" i="18" s="1"/>
  <c r="A4" i="32"/>
  <c r="P18" i="26"/>
  <c r="P18" i="25" s="1"/>
  <c r="A4" i="18"/>
  <c r="A8" i="33"/>
  <c r="L8" i="33" s="1"/>
  <c r="W26" i="26"/>
  <c r="W26" i="25" s="1"/>
  <c r="A6" i="33"/>
  <c r="W22" i="26"/>
  <c r="W22" i="25" s="1"/>
  <c r="A4" i="33"/>
  <c r="W18" i="26"/>
  <c r="W18" i="25" s="1"/>
  <c r="AF8" i="17"/>
  <c r="Z8" i="17"/>
  <c r="R8" i="17"/>
  <c r="A8" i="17"/>
  <c r="H8" i="17" s="1"/>
  <c r="G6" i="17"/>
  <c r="I6" i="17" s="1"/>
  <c r="X5" i="17"/>
  <c r="A4" i="17"/>
  <c r="G4" i="17" s="1"/>
  <c r="I4" i="17" s="1"/>
  <c r="S7" i="18"/>
  <c r="A8" i="19"/>
  <c r="V8" i="19" s="1"/>
  <c r="A8" i="20"/>
  <c r="G8" i="20" s="1"/>
  <c r="I8" i="20" s="1"/>
  <c r="E5" i="20"/>
  <c r="J5" i="20" s="1"/>
  <c r="N4" i="21"/>
  <c r="P4" i="21" s="1"/>
  <c r="G5" i="22"/>
  <c r="I5" i="22" s="1"/>
  <c r="E7" i="23"/>
  <c r="A7" i="23"/>
  <c r="H7" i="23" s="1"/>
  <c r="I14" i="26"/>
  <c r="I14" i="25" s="1"/>
  <c r="A9" i="27"/>
  <c r="K9" i="27" s="1"/>
  <c r="A9" i="23"/>
  <c r="R9" i="23" s="1"/>
  <c r="A5" i="27"/>
  <c r="AB5" i="27" s="1"/>
  <c r="AD5" i="27" s="1"/>
  <c r="I6" i="26"/>
  <c r="I6" i="25" s="1"/>
  <c r="F24" i="26"/>
  <c r="F24" i="25" s="1"/>
  <c r="E7" i="30"/>
  <c r="E7" i="20"/>
  <c r="E5" i="31"/>
  <c r="M20" i="26"/>
  <c r="M20" i="25" s="1"/>
  <c r="E5" i="19"/>
  <c r="E9" i="32"/>
  <c r="T28" i="26"/>
  <c r="T28" i="25" s="1"/>
  <c r="E9" i="18"/>
  <c r="V9" i="18" s="1"/>
  <c r="T24" i="26"/>
  <c r="T24" i="25" s="1"/>
  <c r="E7" i="32"/>
  <c r="E7" i="18"/>
  <c r="E9" i="33"/>
  <c r="AA28" i="26"/>
  <c r="AA28" i="25" s="1"/>
  <c r="E7" i="33"/>
  <c r="AA24" i="26"/>
  <c r="AA24" i="25" s="1"/>
  <c r="E5" i="33"/>
  <c r="AA20" i="26"/>
  <c r="AA20" i="25" s="1"/>
  <c r="S7" i="17"/>
  <c r="AF6" i="18"/>
  <c r="E9" i="19"/>
  <c r="Q9" i="19" s="1"/>
  <c r="Z7" i="3"/>
  <c r="R6" i="3"/>
  <c r="AG5" i="3"/>
  <c r="AG4" i="3"/>
  <c r="X4" i="3"/>
  <c r="F8" i="26"/>
  <c r="F8" i="25" s="1"/>
  <c r="E6" i="24"/>
  <c r="J6" i="24" s="1"/>
  <c r="M12" i="26"/>
  <c r="M12" i="25" s="1"/>
  <c r="E8" i="27"/>
  <c r="E8" i="23"/>
  <c r="E6" i="27"/>
  <c r="M8" i="26"/>
  <c r="M8" i="25" s="1"/>
  <c r="E6" i="23"/>
  <c r="E4" i="23"/>
  <c r="E4" i="27"/>
  <c r="M4" i="26"/>
  <c r="M4" i="25" s="1"/>
  <c r="T12" i="26"/>
  <c r="T12" i="25" s="1"/>
  <c r="E8" i="28"/>
  <c r="E8" i="22"/>
  <c r="E6" i="28"/>
  <c r="T8" i="26"/>
  <c r="T8" i="25" s="1"/>
  <c r="T4" i="26"/>
  <c r="T4" i="25" s="1"/>
  <c r="E4" i="28"/>
  <c r="E8" i="29"/>
  <c r="AC8" i="29" s="1"/>
  <c r="AA12" i="26"/>
  <c r="AA12" i="25" s="1"/>
  <c r="E6" i="29"/>
  <c r="G6" i="29" s="1"/>
  <c r="I6" i="29" s="1"/>
  <c r="AA8" i="26"/>
  <c r="AA8" i="25" s="1"/>
  <c r="E4" i="29"/>
  <c r="AA4" i="26"/>
  <c r="AA4" i="25" s="1"/>
  <c r="A9" i="30"/>
  <c r="AE9" i="30" s="1"/>
  <c r="B28" i="26"/>
  <c r="B28" i="25" s="1"/>
  <c r="A7" i="30"/>
  <c r="S7" i="30" s="1"/>
  <c r="B24" i="26"/>
  <c r="B24" i="25" s="1"/>
  <c r="A7" i="20"/>
  <c r="O7" i="20" s="1"/>
  <c r="A5" i="30"/>
  <c r="AF5" i="30" s="1"/>
  <c r="B20" i="26"/>
  <c r="B20" i="25" s="1"/>
  <c r="A9" i="31"/>
  <c r="G9" i="31" s="1"/>
  <c r="I9" i="31" s="1"/>
  <c r="I28" i="26"/>
  <c r="I28" i="25" s="1"/>
  <c r="A7" i="31"/>
  <c r="I24" i="26"/>
  <c r="I24" i="25" s="1"/>
  <c r="A7" i="19"/>
  <c r="R7" i="19" s="1"/>
  <c r="A5" i="31"/>
  <c r="AF5" i="31" s="1"/>
  <c r="I20" i="26"/>
  <c r="I20" i="25" s="1"/>
  <c r="A5" i="19"/>
  <c r="Q5" i="19" s="1"/>
  <c r="A9" i="32"/>
  <c r="X9" i="32" s="1"/>
  <c r="P28" i="26"/>
  <c r="P28" i="25" s="1"/>
  <c r="A9" i="18"/>
  <c r="R9" i="18" s="1"/>
  <c r="P24" i="26"/>
  <c r="P24" i="25" s="1"/>
  <c r="A7" i="32"/>
  <c r="J7" i="32" s="1"/>
  <c r="A7" i="18"/>
  <c r="AG7" i="18" s="1"/>
  <c r="A5" i="32"/>
  <c r="J5" i="32" s="1"/>
  <c r="P20" i="26"/>
  <c r="P20" i="25" s="1"/>
  <c r="A5" i="18"/>
  <c r="Q5" i="18" s="1"/>
  <c r="A9" i="33"/>
  <c r="Y9" i="33" s="1"/>
  <c r="W28" i="26"/>
  <c r="W28" i="25" s="1"/>
  <c r="A7" i="33"/>
  <c r="Y7" i="33" s="1"/>
  <c r="W24" i="26"/>
  <c r="W24" i="25" s="1"/>
  <c r="A5" i="33"/>
  <c r="AG5" i="33" s="1"/>
  <c r="W20" i="26"/>
  <c r="W20" i="25" s="1"/>
  <c r="AG9" i="17"/>
  <c r="E9" i="17"/>
  <c r="A9" i="17"/>
  <c r="N9" i="17" s="1"/>
  <c r="P9" i="17" s="1"/>
  <c r="O8" i="17"/>
  <c r="E7" i="17"/>
  <c r="A7" i="17"/>
  <c r="K7" i="17" s="1"/>
  <c r="AC6" i="17"/>
  <c r="V6" i="17"/>
  <c r="O6" i="17"/>
  <c r="AG5" i="17"/>
  <c r="AF4" i="17"/>
  <c r="Z4" i="17"/>
  <c r="K4" i="17"/>
  <c r="Y9" i="18"/>
  <c r="AF7" i="18"/>
  <c r="A4" i="20"/>
  <c r="E6" i="21"/>
  <c r="A6" i="21"/>
  <c r="AF6" i="21" s="1"/>
  <c r="E6" i="22"/>
  <c r="H6" i="22" s="1"/>
  <c r="W8" i="26"/>
  <c r="W8" i="25" s="1"/>
  <c r="M6" i="26"/>
  <c r="M6" i="25" s="1"/>
  <c r="K8" i="28"/>
  <c r="AG8" i="28"/>
  <c r="Q6" i="3"/>
  <c r="A5" i="28"/>
  <c r="U5" i="28" s="1"/>
  <c r="W5" i="28" s="1"/>
  <c r="P6" i="26"/>
  <c r="P6" i="25" s="1"/>
  <c r="A9" i="29"/>
  <c r="S9" i="29" s="1"/>
  <c r="W14" i="26"/>
  <c r="W14" i="25" s="1"/>
  <c r="A7" i="29"/>
  <c r="H7" i="29" s="1"/>
  <c r="W10" i="26"/>
  <c r="W10" i="25" s="1"/>
  <c r="A5" i="29"/>
  <c r="R5" i="29" s="1"/>
  <c r="W6" i="26"/>
  <c r="W6" i="25" s="1"/>
  <c r="E9" i="30"/>
  <c r="F28" i="26"/>
  <c r="F28" i="25" s="1"/>
  <c r="E7" i="31"/>
  <c r="Q7" i="31" s="1"/>
  <c r="M24" i="26"/>
  <c r="M24" i="25" s="1"/>
  <c r="E7" i="19"/>
  <c r="V7" i="19" s="1"/>
  <c r="X6" i="17"/>
  <c r="Q6" i="17"/>
  <c r="J6" i="17"/>
  <c r="G4" i="21"/>
  <c r="I4" i="21" s="1"/>
  <c r="Q4" i="21"/>
  <c r="V4" i="21"/>
  <c r="H4" i="21"/>
  <c r="AB4" i="21"/>
  <c r="AD4" i="21" s="1"/>
  <c r="J4" i="21"/>
  <c r="O4" i="21"/>
  <c r="U4" i="21"/>
  <c r="W4" i="21" s="1"/>
  <c r="AE4" i="21"/>
  <c r="AG8" i="33"/>
  <c r="E9" i="24"/>
  <c r="O9" i="24" s="1"/>
  <c r="F14" i="26"/>
  <c r="F14" i="25" s="1"/>
  <c r="I12" i="26"/>
  <c r="I12" i="25" s="1"/>
  <c r="A8" i="27"/>
  <c r="H8" i="27" s="1"/>
  <c r="A8" i="23"/>
  <c r="S8" i="23" s="1"/>
  <c r="A6" i="27"/>
  <c r="K6" i="27" s="1"/>
  <c r="I8" i="26"/>
  <c r="I8" i="25" s="1"/>
  <c r="A6" i="23"/>
  <c r="L6" i="23" s="1"/>
  <c r="I4" i="26"/>
  <c r="I4" i="25" s="1"/>
  <c r="A4" i="23"/>
  <c r="A4" i="27"/>
  <c r="J4" i="27" s="1"/>
  <c r="A8" i="28"/>
  <c r="P12" i="26"/>
  <c r="P12" i="25" s="1"/>
  <c r="A8" i="22"/>
  <c r="AG8" i="22" s="1"/>
  <c r="A6" i="28"/>
  <c r="AG6" i="28" s="1"/>
  <c r="P8" i="26"/>
  <c r="P8" i="25" s="1"/>
  <c r="P4" i="26"/>
  <c r="P4" i="25" s="1"/>
  <c r="A4" i="28"/>
  <c r="A8" i="29"/>
  <c r="W12" i="26"/>
  <c r="W12" i="25" s="1"/>
  <c r="A4" i="29"/>
  <c r="Q4" i="29" s="1"/>
  <c r="W4" i="26"/>
  <c r="W4" i="25" s="1"/>
  <c r="E8" i="30"/>
  <c r="F26" i="26"/>
  <c r="F26" i="25" s="1"/>
  <c r="F22" i="26"/>
  <c r="F22" i="25" s="1"/>
  <c r="E6" i="30"/>
  <c r="E6" i="20"/>
  <c r="N6" i="20" s="1"/>
  <c r="P6" i="20" s="1"/>
  <c r="E4" i="30"/>
  <c r="F18" i="26"/>
  <c r="F18" i="25" s="1"/>
  <c r="E8" i="31"/>
  <c r="M26" i="26"/>
  <c r="M26" i="25" s="1"/>
  <c r="E6" i="31"/>
  <c r="M22" i="26"/>
  <c r="M22" i="25" s="1"/>
  <c r="E6" i="19"/>
  <c r="AB6" i="19" s="1"/>
  <c r="AD6" i="19" s="1"/>
  <c r="E4" i="31"/>
  <c r="M18" i="26"/>
  <c r="M18" i="25" s="1"/>
  <c r="E4" i="19"/>
  <c r="N4" i="19" s="1"/>
  <c r="P4" i="19" s="1"/>
  <c r="E8" i="32"/>
  <c r="AB8" i="32" s="1"/>
  <c r="AD8" i="32" s="1"/>
  <c r="T26" i="26"/>
  <c r="T26" i="25" s="1"/>
  <c r="E8" i="18"/>
  <c r="E6" i="32"/>
  <c r="AB6" i="32" s="1"/>
  <c r="AD6" i="32" s="1"/>
  <c r="T22" i="26"/>
  <c r="T22" i="25" s="1"/>
  <c r="E6" i="18"/>
  <c r="E4" i="32"/>
  <c r="T18" i="26"/>
  <c r="T18" i="25" s="1"/>
  <c r="E4" i="18"/>
  <c r="E8" i="33"/>
  <c r="AA26" i="26"/>
  <c r="AA26" i="25" s="1"/>
  <c r="E6" i="33"/>
  <c r="AA22" i="26"/>
  <c r="AA22" i="25" s="1"/>
  <c r="E4" i="33"/>
  <c r="G4" i="33" s="1"/>
  <c r="AA18" i="26"/>
  <c r="AA18" i="25" s="1"/>
  <c r="AB6" i="17"/>
  <c r="AD6" i="17" s="1"/>
  <c r="N6" i="17"/>
  <c r="P6" i="17" s="1"/>
  <c r="J5" i="17"/>
  <c r="Y7" i="18"/>
  <c r="G8" i="21"/>
  <c r="I8" i="21" s="1"/>
  <c r="E5" i="21"/>
  <c r="A5" i="21"/>
  <c r="K5" i="21" s="1"/>
  <c r="E7" i="22"/>
  <c r="A7" i="22"/>
  <c r="O7" i="22" s="1"/>
  <c r="G4" i="22"/>
  <c r="I4" i="22" s="1"/>
  <c r="E5" i="23"/>
  <c r="A5" i="23"/>
  <c r="S5" i="23" s="1"/>
  <c r="S8" i="18"/>
  <c r="S7" i="19"/>
  <c r="AG6" i="19"/>
  <c r="R6" i="19"/>
  <c r="L6" i="19"/>
  <c r="AG5" i="19"/>
  <c r="AG4" i="19"/>
  <c r="R4" i="19"/>
  <c r="H9" i="20"/>
  <c r="AG6" i="20"/>
  <c r="R6" i="20"/>
  <c r="H5" i="20"/>
  <c r="H9" i="21"/>
  <c r="H7" i="21"/>
  <c r="L6" i="24"/>
  <c r="Z6" i="24"/>
  <c r="R6" i="24"/>
  <c r="AF6" i="24"/>
  <c r="K6" i="24"/>
  <c r="Y6" i="24"/>
  <c r="AG6" i="23"/>
  <c r="R5" i="24"/>
  <c r="AG5" i="24"/>
  <c r="S5" i="24"/>
  <c r="K5" i="24"/>
  <c r="AF5" i="24"/>
  <c r="F18" i="24"/>
  <c r="O18" i="24" s="1"/>
  <c r="R5" i="27"/>
  <c r="AG5" i="27"/>
  <c r="AE5" i="27"/>
  <c r="AF8" i="19"/>
  <c r="AB8" i="19"/>
  <c r="AD8" i="19" s="1"/>
  <c r="L8" i="19"/>
  <c r="AF7" i="19"/>
  <c r="U7" i="19"/>
  <c r="W7" i="19" s="1"/>
  <c r="X6" i="19"/>
  <c r="S6" i="19"/>
  <c r="Y4" i="19"/>
  <c r="S4" i="19"/>
  <c r="AC9" i="20"/>
  <c r="O9" i="20"/>
  <c r="G9" i="20"/>
  <c r="I9" i="20" s="1"/>
  <c r="AF8" i="20"/>
  <c r="Z8" i="20"/>
  <c r="Q8" i="20"/>
  <c r="K8" i="20"/>
  <c r="AF7" i="20"/>
  <c r="Y6" i="20"/>
  <c r="S6" i="20"/>
  <c r="AC5" i="20"/>
  <c r="AF9" i="21"/>
  <c r="X9" i="21"/>
  <c r="O9" i="21"/>
  <c r="G9" i="21"/>
  <c r="I9" i="21" s="1"/>
  <c r="AF8" i="21"/>
  <c r="Z8" i="21"/>
  <c r="V8" i="21"/>
  <c r="Q8" i="21"/>
  <c r="K8" i="21"/>
  <c r="AF7" i="21"/>
  <c r="Y7" i="21"/>
  <c r="S7" i="21"/>
  <c r="N7" i="21"/>
  <c r="P7" i="21" s="1"/>
  <c r="G7" i="21"/>
  <c r="I7" i="21" s="1"/>
  <c r="AF6" i="22"/>
  <c r="Z6" i="22"/>
  <c r="K6" i="22"/>
  <c r="AC5" i="22"/>
  <c r="R5" i="22"/>
  <c r="AF4" i="22"/>
  <c r="Z4" i="22"/>
  <c r="V4" i="22"/>
  <c r="Q4" i="22"/>
  <c r="K4" i="22"/>
  <c r="S6" i="24"/>
  <c r="O7" i="28"/>
  <c r="AG7" i="28"/>
  <c r="AB7" i="28"/>
  <c r="AD7" i="28" s="1"/>
  <c r="L7" i="28"/>
  <c r="G9" i="33"/>
  <c r="I9" i="33" s="1"/>
  <c r="AF9" i="24"/>
  <c r="Z8" i="24"/>
  <c r="L8" i="24"/>
  <c r="AG7" i="24"/>
  <c r="R7" i="24"/>
  <c r="AC9" i="27"/>
  <c r="AG8" i="27"/>
  <c r="R8" i="27"/>
  <c r="AF9" i="29"/>
  <c r="R9" i="29"/>
  <c r="Y9" i="29"/>
  <c r="AG9" i="29"/>
  <c r="Q6" i="33"/>
  <c r="L6" i="33"/>
  <c r="R6" i="33"/>
  <c r="Z6" i="33"/>
  <c r="AF6" i="33"/>
  <c r="S6" i="33"/>
  <c r="Y8" i="24"/>
  <c r="AF7" i="24"/>
  <c r="J4" i="24"/>
  <c r="L8" i="29"/>
  <c r="R8" i="29"/>
  <c r="AG8" i="29"/>
  <c r="S8" i="29"/>
  <c r="K8" i="29"/>
  <c r="Z8" i="29"/>
  <c r="AF8" i="29"/>
  <c r="R7" i="29"/>
  <c r="R6" i="29"/>
  <c r="Y6" i="31"/>
  <c r="L6" i="31"/>
  <c r="AF6" i="31"/>
  <c r="R7" i="30"/>
  <c r="R6" i="30"/>
  <c r="AF7" i="29"/>
  <c r="S7" i="29"/>
  <c r="Y6" i="29"/>
  <c r="S6" i="29"/>
  <c r="L4" i="29"/>
  <c r="AF6" i="30"/>
  <c r="L6" i="30"/>
  <c r="R7" i="31"/>
  <c r="K7" i="31"/>
  <c r="S7" i="31"/>
  <c r="AF7" i="31"/>
  <c r="Y7" i="31"/>
  <c r="K6" i="31"/>
  <c r="H6" i="32"/>
  <c r="Y5" i="30"/>
  <c r="S5" i="30"/>
  <c r="K5" i="30"/>
  <c r="R5" i="31"/>
  <c r="K5" i="31"/>
  <c r="AG9" i="32"/>
  <c r="R9" i="32"/>
  <c r="Y8" i="32"/>
  <c r="S8" i="32"/>
  <c r="AE9" i="33"/>
  <c r="X9" i="33"/>
  <c r="Q9" i="33"/>
  <c r="J9" i="33"/>
  <c r="X5" i="33"/>
  <c r="J5" i="33"/>
  <c r="AB5" i="31"/>
  <c r="AD5" i="31" s="1"/>
  <c r="AF8" i="32"/>
  <c r="L8" i="32"/>
  <c r="R7" i="32"/>
  <c r="AG6" i="32"/>
  <c r="R6" i="32"/>
  <c r="L6" i="32"/>
  <c r="AG5" i="32"/>
  <c r="Z9" i="33"/>
  <c r="U9" i="33"/>
  <c r="W9" i="33" s="1"/>
  <c r="L9" i="33"/>
  <c r="Z7" i="33"/>
  <c r="L7" i="33"/>
  <c r="Z5" i="33"/>
  <c r="L5" i="33"/>
  <c r="K8" i="31"/>
  <c r="E5" i="24"/>
  <c r="AB5" i="24" s="1"/>
  <c r="AD5" i="24" s="1"/>
  <c r="F6" i="26"/>
  <c r="F6" i="25" s="1"/>
  <c r="J5" i="3"/>
  <c r="X5" i="3"/>
  <c r="J6" i="3"/>
  <c r="E7" i="3"/>
  <c r="V7" i="3" s="1"/>
  <c r="F17" i="3"/>
  <c r="O9" i="3"/>
  <c r="U7" i="24"/>
  <c r="W7" i="24" s="1"/>
  <c r="X7" i="24"/>
  <c r="H7" i="24"/>
  <c r="O4" i="24"/>
  <c r="AE4" i="24"/>
  <c r="F10" i="26"/>
  <c r="F10" i="25" s="1"/>
  <c r="Q8" i="3"/>
  <c r="O5" i="3"/>
  <c r="F17" i="24"/>
  <c r="O7" i="24"/>
  <c r="J7" i="24"/>
  <c r="N7" i="24"/>
  <c r="P7" i="24" s="1"/>
  <c r="AB9" i="24"/>
  <c r="AD9" i="24" s="1"/>
  <c r="J9" i="3"/>
  <c r="AB6" i="3"/>
  <c r="AD6" i="3" s="1"/>
  <c r="O6" i="3"/>
  <c r="F16" i="24"/>
  <c r="U4" i="24"/>
  <c r="W4" i="24" s="1"/>
  <c r="X6" i="3"/>
  <c r="Q5" i="3"/>
  <c r="H5" i="3"/>
  <c r="V5" i="3"/>
  <c r="AC5" i="3"/>
  <c r="U5" i="3"/>
  <c r="W5" i="3" s="1"/>
  <c r="G5" i="24"/>
  <c r="I5" i="24" s="1"/>
  <c r="AB7" i="24"/>
  <c r="AD7" i="24" s="1"/>
  <c r="G7" i="24"/>
  <c r="I7" i="24" s="1"/>
  <c r="O8" i="3"/>
  <c r="X8" i="3"/>
  <c r="X9" i="3"/>
  <c r="V9" i="3"/>
  <c r="H9" i="3"/>
  <c r="Q9" i="3"/>
  <c r="Q4" i="3"/>
  <c r="AB4" i="3"/>
  <c r="AD4" i="3" s="1"/>
  <c r="O4" i="3"/>
  <c r="W26" i="4"/>
  <c r="J4" i="3"/>
  <c r="G4" i="24"/>
  <c r="I4" i="24" s="1"/>
  <c r="AC9" i="3"/>
  <c r="U9" i="3"/>
  <c r="W9" i="3" s="1"/>
  <c r="AE8" i="3"/>
  <c r="V8" i="3"/>
  <c r="AC8" i="3"/>
  <c r="J8" i="3"/>
  <c r="AB8" i="3"/>
  <c r="AD8" i="3" s="1"/>
  <c r="AC7" i="24"/>
  <c r="AE6" i="3"/>
  <c r="V6" i="3"/>
  <c r="AC6" i="3"/>
  <c r="L6" i="9"/>
  <c r="A6" i="9" s="1"/>
  <c r="L11" i="9"/>
  <c r="A11" i="9" s="1"/>
  <c r="L8" i="9"/>
  <c r="A8" i="9" s="1"/>
  <c r="E12" i="13"/>
  <c r="A12" i="13" s="1"/>
  <c r="U26" i="9"/>
  <c r="L10" i="9"/>
  <c r="A10" i="9" s="1"/>
  <c r="L7" i="9"/>
  <c r="A7" i="9" s="1"/>
  <c r="E16" i="15"/>
  <c r="A16" i="15" s="1"/>
  <c r="AE4" i="3"/>
  <c r="V4" i="3"/>
  <c r="S23" i="13"/>
  <c r="S24" i="13" s="1"/>
  <c r="AC4" i="24"/>
  <c r="X4" i="24"/>
  <c r="N4" i="24"/>
  <c r="P4" i="24" s="1"/>
  <c r="H4" i="24"/>
  <c r="AC4" i="3"/>
  <c r="V27" i="6"/>
  <c r="E20" i="13"/>
  <c r="A20" i="13" s="1"/>
  <c r="E12" i="14"/>
  <c r="A12" i="14" s="1"/>
  <c r="AB4" i="24"/>
  <c r="AD4" i="24" s="1"/>
  <c r="V4" i="24"/>
  <c r="Q4" i="24"/>
  <c r="R23" i="14"/>
  <c r="S24" i="14" s="1"/>
  <c r="U26" i="5"/>
  <c r="E16" i="13"/>
  <c r="A16" i="13" s="1"/>
  <c r="L8" i="5"/>
  <c r="A8" i="5" s="1"/>
  <c r="S27" i="15"/>
  <c r="S28" i="15" s="1"/>
  <c r="L9" i="5"/>
  <c r="A9" i="5" s="1"/>
  <c r="R9" i="17"/>
  <c r="AF9" i="17"/>
  <c r="L9" i="17"/>
  <c r="Z9" i="17"/>
  <c r="N9" i="3"/>
  <c r="P9" i="3" s="1"/>
  <c r="R9" i="3"/>
  <c r="AB9" i="3"/>
  <c r="AD9" i="3" s="1"/>
  <c r="AF9" i="3"/>
  <c r="G8" i="3"/>
  <c r="I8" i="3" s="1"/>
  <c r="K8" i="3"/>
  <c r="U8" i="3"/>
  <c r="W8" i="3" s="1"/>
  <c r="Y8" i="3"/>
  <c r="R7" i="3"/>
  <c r="AF7" i="3"/>
  <c r="G6" i="3"/>
  <c r="I6" i="3" s="1"/>
  <c r="K6" i="3"/>
  <c r="U6" i="3"/>
  <c r="W6" i="3" s="1"/>
  <c r="Y6" i="3"/>
  <c r="N5" i="3"/>
  <c r="P5" i="3" s="1"/>
  <c r="R5" i="3"/>
  <c r="AB5" i="3"/>
  <c r="AF5" i="3"/>
  <c r="G4" i="3"/>
  <c r="K4" i="3"/>
  <c r="U4" i="3"/>
  <c r="Y4" i="3"/>
  <c r="L11" i="5"/>
  <c r="A11" i="5" s="1"/>
  <c r="L7" i="5"/>
  <c r="A7" i="5" s="1"/>
  <c r="L11" i="8"/>
  <c r="A11" i="8" s="1"/>
  <c r="L10" i="8"/>
  <c r="A10" i="8" s="1"/>
  <c r="L9" i="8"/>
  <c r="A9" i="8" s="1"/>
  <c r="L8" i="8"/>
  <c r="A8" i="8" s="1"/>
  <c r="L7" i="8"/>
  <c r="A7" i="8" s="1"/>
  <c r="U26" i="10"/>
  <c r="U26" i="11"/>
  <c r="L11" i="11"/>
  <c r="A11" i="11" s="1"/>
  <c r="L10" i="11"/>
  <c r="A10" i="11" s="1"/>
  <c r="L9" i="11"/>
  <c r="A9" i="11" s="1"/>
  <c r="L8" i="11"/>
  <c r="A8" i="11" s="1"/>
  <c r="L7" i="11"/>
  <c r="A7" i="11" s="1"/>
  <c r="S9" i="17"/>
  <c r="R7" i="17"/>
  <c r="AF7" i="17"/>
  <c r="L7" i="17"/>
  <c r="Z7" i="17"/>
  <c r="AC5" i="17"/>
  <c r="S5" i="17"/>
  <c r="L9" i="19"/>
  <c r="Z9" i="19"/>
  <c r="AG9" i="19"/>
  <c r="S9" i="19"/>
  <c r="Y9" i="19"/>
  <c r="AF9" i="19"/>
  <c r="K9" i="19"/>
  <c r="I5" i="17"/>
  <c r="N5" i="17"/>
  <c r="R5" i="17"/>
  <c r="AB5" i="17"/>
  <c r="AF5" i="17"/>
  <c r="H5" i="17"/>
  <c r="L5" i="17"/>
  <c r="Q5" i="17"/>
  <c r="V5" i="17"/>
  <c r="Z5" i="17"/>
  <c r="AE5" i="17"/>
  <c r="AE9" i="3"/>
  <c r="Y9" i="3"/>
  <c r="S9" i="3"/>
  <c r="L9" i="3"/>
  <c r="G9" i="3"/>
  <c r="I9" i="3" s="1"/>
  <c r="AF8" i="3"/>
  <c r="Z8" i="3"/>
  <c r="S8" i="3"/>
  <c r="N8" i="3"/>
  <c r="P8" i="3" s="1"/>
  <c r="H8" i="3"/>
  <c r="Y7" i="3"/>
  <c r="S7" i="3"/>
  <c r="L7" i="3"/>
  <c r="AF6" i="3"/>
  <c r="Z6" i="3"/>
  <c r="S6" i="3"/>
  <c r="N6" i="3"/>
  <c r="P6" i="3" s="1"/>
  <c r="H6" i="3"/>
  <c r="AE5" i="3"/>
  <c r="Y5" i="3"/>
  <c r="S5" i="3"/>
  <c r="L5" i="3"/>
  <c r="G5" i="3"/>
  <c r="I5" i="3" s="1"/>
  <c r="AF4" i="3"/>
  <c r="Z4" i="3"/>
  <c r="S4" i="3"/>
  <c r="N4" i="3"/>
  <c r="H4" i="3"/>
  <c r="L11" i="4"/>
  <c r="A11" i="4" s="1"/>
  <c r="L10" i="4"/>
  <c r="A10" i="4" s="1"/>
  <c r="L9" i="4"/>
  <c r="A9" i="4" s="1"/>
  <c r="L8" i="4"/>
  <c r="A8" i="4" s="1"/>
  <c r="L7" i="4"/>
  <c r="A7" i="4" s="1"/>
  <c r="L10" i="5"/>
  <c r="A10" i="5" s="1"/>
  <c r="U27" i="7"/>
  <c r="L11" i="7"/>
  <c r="A11" i="7" s="1"/>
  <c r="L10" i="7"/>
  <c r="A10" i="7" s="1"/>
  <c r="L9" i="7"/>
  <c r="A9" i="7" s="1"/>
  <c r="L8" i="7"/>
  <c r="A8" i="7" s="1"/>
  <c r="L7" i="7"/>
  <c r="A7" i="7" s="1"/>
  <c r="V26" i="8"/>
  <c r="K9" i="17"/>
  <c r="Y7" i="17"/>
  <c r="U5" i="17"/>
  <c r="K5" i="17"/>
  <c r="R9" i="19"/>
  <c r="L11" i="6"/>
  <c r="A11" i="6" s="1"/>
  <c r="L10" i="6"/>
  <c r="A10" i="6" s="1"/>
  <c r="L9" i="6"/>
  <c r="A9" i="6" s="1"/>
  <c r="L8" i="6"/>
  <c r="A8" i="6" s="1"/>
  <c r="L7" i="6"/>
  <c r="A7" i="6" s="1"/>
  <c r="L11" i="10"/>
  <c r="A11" i="10" s="1"/>
  <c r="L10" i="10"/>
  <c r="A10" i="10" s="1"/>
  <c r="L9" i="10"/>
  <c r="A9" i="10" s="1"/>
  <c r="L8" i="10"/>
  <c r="A8" i="10" s="1"/>
  <c r="L7" i="10"/>
  <c r="A7" i="10" s="1"/>
  <c r="AF9" i="18"/>
  <c r="S9" i="18"/>
  <c r="R4" i="27"/>
  <c r="AF4" i="27"/>
  <c r="G4" i="27"/>
  <c r="I4" i="27" s="1"/>
  <c r="L4" i="27"/>
  <c r="S4" i="27"/>
  <c r="Y4" i="27"/>
  <c r="AG4" i="27"/>
  <c r="O4" i="27"/>
  <c r="Z4" i="27"/>
  <c r="K4" i="27"/>
  <c r="H9" i="18"/>
  <c r="L9" i="18"/>
  <c r="Z9" i="18"/>
  <c r="AG9" i="18"/>
  <c r="Y8" i="17"/>
  <c r="K8" i="17"/>
  <c r="Y6" i="17"/>
  <c r="U6" i="17"/>
  <c r="W6" i="17" s="1"/>
  <c r="K6" i="17"/>
  <c r="K9" i="18"/>
  <c r="L5" i="18"/>
  <c r="Z5" i="18"/>
  <c r="AE5" i="18"/>
  <c r="U5" i="18"/>
  <c r="AG5" i="18"/>
  <c r="R6" i="27"/>
  <c r="AF6" i="27"/>
  <c r="L6" i="27"/>
  <c r="S6" i="27"/>
  <c r="Y6" i="27"/>
  <c r="Z6" i="27"/>
  <c r="AG6" i="27"/>
  <c r="L7" i="18"/>
  <c r="Q7" i="18"/>
  <c r="Z7" i="18"/>
  <c r="L7" i="19"/>
  <c r="Z7" i="19"/>
  <c r="L9" i="22"/>
  <c r="Z9" i="22"/>
  <c r="H5" i="22"/>
  <c r="L5" i="22"/>
  <c r="Q5" i="22"/>
  <c r="V5" i="22"/>
  <c r="Z5" i="22"/>
  <c r="AE5" i="22"/>
  <c r="K5" i="27"/>
  <c r="U5" i="27"/>
  <c r="W5" i="27" s="1"/>
  <c r="Y5" i="27"/>
  <c r="N5" i="27"/>
  <c r="P5" i="27" s="1"/>
  <c r="S5" i="27"/>
  <c r="Z5" i="27"/>
  <c r="AF5" i="27"/>
  <c r="J5" i="27"/>
  <c r="K9" i="28"/>
  <c r="U9" i="28"/>
  <c r="W9" i="28" s="1"/>
  <c r="Y9" i="28"/>
  <c r="S9" i="28"/>
  <c r="Z9" i="28"/>
  <c r="AF9" i="28"/>
  <c r="L9" i="28"/>
  <c r="AG9" i="28"/>
  <c r="Z5" i="19"/>
  <c r="L5" i="19"/>
  <c r="AE9" i="20"/>
  <c r="Z9" i="20"/>
  <c r="V9" i="20"/>
  <c r="Q9" i="20"/>
  <c r="L9" i="20"/>
  <c r="AE7" i="20"/>
  <c r="Z7" i="20"/>
  <c r="L7" i="20"/>
  <c r="AE5" i="20"/>
  <c r="Z5" i="20"/>
  <c r="V5" i="20"/>
  <c r="Q5" i="20"/>
  <c r="L5" i="20"/>
  <c r="AE9" i="21"/>
  <c r="Z9" i="21"/>
  <c r="V9" i="21"/>
  <c r="Q9" i="21"/>
  <c r="L9" i="21"/>
  <c r="AE7" i="21"/>
  <c r="Z7" i="21"/>
  <c r="V7" i="21"/>
  <c r="Q7" i="21"/>
  <c r="L7" i="21"/>
  <c r="AE5" i="21"/>
  <c r="Z5" i="21"/>
  <c r="L5" i="21"/>
  <c r="AG9" i="22"/>
  <c r="L7" i="22"/>
  <c r="Z7" i="22"/>
  <c r="AG5" i="22"/>
  <c r="AB5" i="22"/>
  <c r="AD5" i="22" s="1"/>
  <c r="U5" i="22"/>
  <c r="W5" i="22" s="1"/>
  <c r="O5" i="22"/>
  <c r="AE7" i="27"/>
  <c r="X7" i="27"/>
  <c r="L5" i="27"/>
  <c r="R8" i="28"/>
  <c r="AF8" i="28"/>
  <c r="L8" i="28"/>
  <c r="S8" i="28"/>
  <c r="Y8" i="28"/>
  <c r="Z9" i="23"/>
  <c r="L9" i="23"/>
  <c r="Z7" i="23"/>
  <c r="L7" i="23"/>
  <c r="Z5" i="23"/>
  <c r="L5" i="23"/>
  <c r="AE9" i="24"/>
  <c r="Z9" i="24"/>
  <c r="V9" i="24"/>
  <c r="Q9" i="24"/>
  <c r="L9" i="24"/>
  <c r="AE7" i="24"/>
  <c r="Z7" i="24"/>
  <c r="V7" i="24"/>
  <c r="Q7" i="24"/>
  <c r="L7" i="24"/>
  <c r="AE5" i="24"/>
  <c r="Z5" i="24"/>
  <c r="L5" i="24"/>
  <c r="AE9" i="27"/>
  <c r="Z9" i="27"/>
  <c r="L9" i="27"/>
  <c r="Z8" i="28"/>
  <c r="K7" i="28"/>
  <c r="Y7" i="28"/>
  <c r="R6" i="28"/>
  <c r="AF6" i="28"/>
  <c r="R4" i="28"/>
  <c r="AB4" i="28"/>
  <c r="AF4" i="28"/>
  <c r="AF7" i="28"/>
  <c r="Z7" i="28"/>
  <c r="S7" i="28"/>
  <c r="H7" i="28"/>
  <c r="Y6" i="28"/>
  <c r="S6" i="28"/>
  <c r="L6" i="28"/>
  <c r="Z5" i="28"/>
  <c r="K4" i="32"/>
  <c r="Y4" i="32"/>
  <c r="AG4" i="32"/>
  <c r="L4" i="32"/>
  <c r="S4" i="32"/>
  <c r="R4" i="32"/>
  <c r="AF4" i="32"/>
  <c r="Z4" i="32"/>
  <c r="L7" i="29"/>
  <c r="Z7" i="29"/>
  <c r="L9" i="29"/>
  <c r="Z9" i="29"/>
  <c r="AG7" i="29"/>
  <c r="Z5" i="29"/>
  <c r="L7" i="32"/>
  <c r="Q7" i="32"/>
  <c r="V7" i="32"/>
  <c r="Z7" i="32"/>
  <c r="AC7" i="32"/>
  <c r="S7" i="32"/>
  <c r="Y7" i="32"/>
  <c r="AF7" i="32"/>
  <c r="U7" i="32"/>
  <c r="W7" i="32" s="1"/>
  <c r="AG7" i="32"/>
  <c r="L7" i="31"/>
  <c r="Z7" i="31"/>
  <c r="L5" i="32"/>
  <c r="Z5" i="32"/>
  <c r="S5" i="32"/>
  <c r="Y5" i="32"/>
  <c r="AF5" i="32"/>
  <c r="Z9" i="30"/>
  <c r="L9" i="30"/>
  <c r="Z7" i="30"/>
  <c r="L7" i="30"/>
  <c r="Z5" i="30"/>
  <c r="L5" i="30"/>
  <c r="L9" i="31"/>
  <c r="V9" i="31"/>
  <c r="Z9" i="31"/>
  <c r="AG7" i="31"/>
  <c r="L9" i="32"/>
  <c r="Z9" i="32"/>
  <c r="AE9" i="32"/>
  <c r="S9" i="32"/>
  <c r="Y9" i="32"/>
  <c r="AF9" i="32"/>
  <c r="AC9" i="32"/>
  <c r="K5" i="32"/>
  <c r="Z5" i="31"/>
  <c r="L5" i="31"/>
  <c r="N9" i="33"/>
  <c r="P9" i="33" s="1"/>
  <c r="R9" i="33"/>
  <c r="AB9" i="33"/>
  <c r="AD9" i="33" s="1"/>
  <c r="AF9" i="33"/>
  <c r="R7" i="33"/>
  <c r="AF7" i="33"/>
  <c r="K6" i="33"/>
  <c r="Y6" i="33"/>
  <c r="S4" i="33"/>
  <c r="K4" i="33"/>
  <c r="U4" i="33"/>
  <c r="W4" i="33" s="1"/>
  <c r="Y4" i="33"/>
  <c r="L4" i="33"/>
  <c r="Q4" i="33"/>
  <c r="V4" i="33"/>
  <c r="Z4" i="33"/>
  <c r="AF4" i="33"/>
  <c r="L5" i="29" l="1"/>
  <c r="AF5" i="28"/>
  <c r="S7" i="27"/>
  <c r="U5" i="33"/>
  <c r="W5" i="33" s="1"/>
  <c r="Q5" i="33"/>
  <c r="K7" i="18"/>
  <c r="AG7" i="17"/>
  <c r="AF9" i="31"/>
  <c r="AF10" i="31" s="1"/>
  <c r="K19" i="31" s="1"/>
  <c r="S7" i="22"/>
  <c r="S5" i="18"/>
  <c r="AG5" i="21"/>
  <c r="S9" i="31"/>
  <c r="AG5" i="29"/>
  <c r="K8" i="23"/>
  <c r="S9" i="22"/>
  <c r="Y5" i="23"/>
  <c r="Y9" i="23"/>
  <c r="AF7" i="27"/>
  <c r="Y8" i="30"/>
  <c r="Z6" i="21"/>
  <c r="L8" i="30"/>
  <c r="Y5" i="33"/>
  <c r="AF8" i="30"/>
  <c r="Y8" i="31"/>
  <c r="S5" i="29"/>
  <c r="AF9" i="30"/>
  <c r="K7" i="27"/>
  <c r="K9" i="22"/>
  <c r="K5" i="33"/>
  <c r="Y6" i="19"/>
  <c r="AE5" i="33"/>
  <c r="R6" i="23"/>
  <c r="AE8" i="33"/>
  <c r="S8" i="33"/>
  <c r="L6" i="18"/>
  <c r="AF8" i="27"/>
  <c r="K6" i="21"/>
  <c r="K5" i="18"/>
  <c r="Y7" i="23"/>
  <c r="R9" i="27"/>
  <c r="AG9" i="30"/>
  <c r="S9" i="30"/>
  <c r="K5" i="29"/>
  <c r="K8" i="19"/>
  <c r="L8" i="22"/>
  <c r="Y5" i="18"/>
  <c r="R8" i="18"/>
  <c r="AF5" i="29"/>
  <c r="AF10" i="29" s="1"/>
  <c r="K19" i="29" s="1"/>
  <c r="Y5" i="19"/>
  <c r="AG8" i="17"/>
  <c r="Y9" i="17"/>
  <c r="R5" i="32"/>
  <c r="R8" i="31"/>
  <c r="R5" i="28"/>
  <c r="R10" i="28" s="1"/>
  <c r="K17" i="28" s="1"/>
  <c r="S6" i="30"/>
  <c r="K7" i="20"/>
  <c r="K10" i="20" s="1"/>
  <c r="K16" i="20" s="1"/>
  <c r="S9" i="33"/>
  <c r="R5" i="18"/>
  <c r="Y5" i="28"/>
  <c r="L7" i="27"/>
  <c r="G5" i="33"/>
  <c r="I5" i="33" s="1"/>
  <c r="AF8" i="33"/>
  <c r="Y6" i="18"/>
  <c r="Z6" i="18"/>
  <c r="Z10" i="18" s="1"/>
  <c r="L18" i="18" s="1"/>
  <c r="AF6" i="32"/>
  <c r="AG5" i="30"/>
  <c r="AF5" i="21"/>
  <c r="AG7" i="20"/>
  <c r="Z8" i="32"/>
  <c r="R5" i="30"/>
  <c r="R10" i="30" s="1"/>
  <c r="K17" i="30" s="1"/>
  <c r="L5" i="28"/>
  <c r="L10" i="28" s="1"/>
  <c r="L16" i="28" s="1"/>
  <c r="AF9" i="23"/>
  <c r="Y6" i="21"/>
  <c r="Z6" i="20"/>
  <c r="Z10" i="20" s="1"/>
  <c r="L18" i="20" s="1"/>
  <c r="AF5" i="18"/>
  <c r="L8" i="23"/>
  <c r="Y5" i="29"/>
  <c r="L8" i="20"/>
  <c r="L10" i="20" s="1"/>
  <c r="L16" i="20" s="1"/>
  <c r="AF6" i="20"/>
  <c r="AF10" i="20" s="1"/>
  <c r="K19" i="20" s="1"/>
  <c r="Z8" i="22"/>
  <c r="Z10" i="22" s="1"/>
  <c r="L18" i="22" s="1"/>
  <c r="L8" i="31"/>
  <c r="Y9" i="22"/>
  <c r="Y6" i="32"/>
  <c r="S8" i="22"/>
  <c r="Z8" i="31"/>
  <c r="K6" i="18"/>
  <c r="Y5" i="31"/>
  <c r="K7" i="32"/>
  <c r="R5" i="19"/>
  <c r="K6" i="28"/>
  <c r="K6" i="32"/>
  <c r="R7" i="18"/>
  <c r="AG5" i="28"/>
  <c r="Z7" i="27"/>
  <c r="N5" i="33"/>
  <c r="P5" i="33" s="1"/>
  <c r="R5" i="33"/>
  <c r="Y8" i="33"/>
  <c r="K5" i="28"/>
  <c r="H7" i="27"/>
  <c r="S6" i="31"/>
  <c r="Z8" i="33"/>
  <c r="S6" i="18"/>
  <c r="S10" i="18" s="1"/>
  <c r="L17" i="18" s="1"/>
  <c r="L8" i="17"/>
  <c r="L10" i="17" s="1"/>
  <c r="L16" i="17" s="1"/>
  <c r="Y7" i="30"/>
  <c r="Y10" i="30" s="1"/>
  <c r="K18" i="30" s="1"/>
  <c r="R6" i="21"/>
  <c r="Z6" i="19"/>
  <c r="R7" i="23"/>
  <c r="K7" i="30"/>
  <c r="Y7" i="27"/>
  <c r="K7" i="22"/>
  <c r="K10" i="22" s="1"/>
  <c r="K16" i="22" s="1"/>
  <c r="S7" i="20"/>
  <c r="AF8" i="18"/>
  <c r="AF10" i="18" s="1"/>
  <c r="K19" i="18" s="1"/>
  <c r="Z8" i="23"/>
  <c r="K5" i="23"/>
  <c r="Z6" i="28"/>
  <c r="S8" i="20"/>
  <c r="AG5" i="31"/>
  <c r="Y5" i="21"/>
  <c r="Y10" i="21" s="1"/>
  <c r="K18" i="21" s="1"/>
  <c r="K8" i="18"/>
  <c r="AG8" i="20"/>
  <c r="AG10" i="20" s="1"/>
  <c r="L19" i="20" s="1"/>
  <c r="AG8" i="31"/>
  <c r="AG6" i="21"/>
  <c r="Z8" i="19"/>
  <c r="L8" i="18"/>
  <c r="L10" i="18" s="1"/>
  <c r="L16" i="18" s="1"/>
  <c r="K9" i="32"/>
  <c r="R5" i="23"/>
  <c r="K8" i="32"/>
  <c r="AB5" i="33"/>
  <c r="AD5" i="33" s="1"/>
  <c r="K8" i="33"/>
  <c r="AG6" i="31"/>
  <c r="R8" i="33"/>
  <c r="AG6" i="18"/>
  <c r="AF7" i="23"/>
  <c r="AG7" i="19"/>
  <c r="AG7" i="23"/>
  <c r="AG7" i="30"/>
  <c r="S8" i="27"/>
  <c r="AF7" i="22"/>
  <c r="AG8" i="23"/>
  <c r="Y8" i="19"/>
  <c r="AG9" i="31"/>
  <c r="AG8" i="18"/>
  <c r="K5" i="19"/>
  <c r="K6" i="30"/>
  <c r="K10" i="30" s="1"/>
  <c r="K16" i="30" s="1"/>
  <c r="Y7" i="20"/>
  <c r="K7" i="19"/>
  <c r="AG6" i="30"/>
  <c r="R8" i="23"/>
  <c r="S5" i="31"/>
  <c r="K7" i="29"/>
  <c r="K10" i="29" s="1"/>
  <c r="K16" i="29" s="1"/>
  <c r="R7" i="27"/>
  <c r="AF5" i="33"/>
  <c r="S5" i="28"/>
  <c r="R6" i="31"/>
  <c r="AG7" i="22"/>
  <c r="AF8" i="23"/>
  <c r="AG5" i="23"/>
  <c r="R8" i="22"/>
  <c r="R10" i="22" s="1"/>
  <c r="K17" i="22" s="1"/>
  <c r="S5" i="33"/>
  <c r="R7" i="20"/>
  <c r="S8" i="19"/>
  <c r="AF7" i="30"/>
  <c r="R8" i="20"/>
  <c r="S8" i="17"/>
  <c r="K9" i="31"/>
  <c r="K7" i="23"/>
  <c r="O6" i="23"/>
  <c r="AF6" i="23"/>
  <c r="AF10" i="23" s="1"/>
  <c r="K19" i="23" s="1"/>
  <c r="S6" i="23"/>
  <c r="Z6" i="23"/>
  <c r="Y6" i="23"/>
  <c r="K6" i="23"/>
  <c r="AE6" i="33"/>
  <c r="V4" i="17"/>
  <c r="X7" i="17"/>
  <c r="AC4" i="32"/>
  <c r="V7" i="18"/>
  <c r="AB9" i="18"/>
  <c r="AD9" i="18" s="1"/>
  <c r="AC9" i="18"/>
  <c r="N8" i="18"/>
  <c r="P8" i="18" s="1"/>
  <c r="O5" i="32"/>
  <c r="H6" i="31"/>
  <c r="J7" i="19"/>
  <c r="AE7" i="31"/>
  <c r="U5" i="31"/>
  <c r="W5" i="31" s="1"/>
  <c r="O9" i="31"/>
  <c r="Q9" i="31"/>
  <c r="J7" i="31"/>
  <c r="V7" i="20"/>
  <c r="G6" i="30"/>
  <c r="I6" i="30" s="1"/>
  <c r="AE7" i="29"/>
  <c r="AC7" i="29"/>
  <c r="O7" i="29"/>
  <c r="V7" i="29"/>
  <c r="U7" i="29"/>
  <c r="Q7" i="29"/>
  <c r="AB7" i="29"/>
  <c r="AD7" i="29" s="1"/>
  <c r="J7" i="29"/>
  <c r="Q5" i="29"/>
  <c r="V9" i="29"/>
  <c r="H6" i="29"/>
  <c r="O8" i="29"/>
  <c r="X9" i="28"/>
  <c r="G6" i="22"/>
  <c r="I6" i="22" s="1"/>
  <c r="Q6" i="22"/>
  <c r="V6" i="22"/>
  <c r="H8" i="28"/>
  <c r="V4" i="28"/>
  <c r="J6" i="27"/>
  <c r="Q5" i="23"/>
  <c r="V9" i="23"/>
  <c r="H4" i="27"/>
  <c r="AC4" i="27"/>
  <c r="N4" i="27"/>
  <c r="AE4" i="27"/>
  <c r="AB8" i="24"/>
  <c r="AD8" i="24" s="1"/>
  <c r="H7" i="3"/>
  <c r="H10" i="3" s="1"/>
  <c r="AC8" i="24"/>
  <c r="AB6" i="24"/>
  <c r="AD6" i="24" s="1"/>
  <c r="N6" i="24"/>
  <c r="P6" i="24" s="1"/>
  <c r="X6" i="24"/>
  <c r="AE8" i="24"/>
  <c r="V8" i="24"/>
  <c r="X8" i="24"/>
  <c r="V6" i="24"/>
  <c r="H6" i="24"/>
  <c r="U6" i="24"/>
  <c r="W6" i="24" s="1"/>
  <c r="AE6" i="24"/>
  <c r="G8" i="24"/>
  <c r="I8" i="24" s="1"/>
  <c r="AC6" i="24"/>
  <c r="J5" i="24"/>
  <c r="J8" i="24"/>
  <c r="N8" i="24"/>
  <c r="P8" i="24" s="1"/>
  <c r="Q6" i="24"/>
  <c r="O8" i="24"/>
  <c r="Q8" i="24"/>
  <c r="H8" i="24"/>
  <c r="Q5" i="24"/>
  <c r="AC5" i="24"/>
  <c r="V5" i="24"/>
  <c r="G6" i="24"/>
  <c r="I6" i="24" s="1"/>
  <c r="O6" i="24"/>
  <c r="N5" i="24"/>
  <c r="P5" i="24" s="1"/>
  <c r="G8" i="31"/>
  <c r="I8" i="31" s="1"/>
  <c r="AC6" i="28"/>
  <c r="H5" i="29"/>
  <c r="U7" i="18"/>
  <c r="W7" i="18" s="1"/>
  <c r="N5" i="32"/>
  <c r="P5" i="32" s="1"/>
  <c r="N7" i="32"/>
  <c r="P7" i="32" s="1"/>
  <c r="Q8" i="28"/>
  <c r="Q9" i="28"/>
  <c r="H7" i="18"/>
  <c r="AB6" i="27"/>
  <c r="AD6" i="27" s="1"/>
  <c r="AC9" i="19"/>
  <c r="H9" i="19"/>
  <c r="J7" i="20"/>
  <c r="H6" i="23"/>
  <c r="U7" i="20"/>
  <c r="W7" i="20" s="1"/>
  <c r="AE7" i="22"/>
  <c r="J9" i="28"/>
  <c r="AE4" i="32"/>
  <c r="Q5" i="31"/>
  <c r="V9" i="30"/>
  <c r="G7" i="32"/>
  <c r="I7" i="32" s="1"/>
  <c r="H7" i="32"/>
  <c r="Q7" i="3"/>
  <c r="Q10" i="3" s="1"/>
  <c r="J17" i="3" s="1"/>
  <c r="H5" i="31"/>
  <c r="O6" i="31"/>
  <c r="AC6" i="29"/>
  <c r="H7" i="20"/>
  <c r="U4" i="32"/>
  <c r="W4" i="32" s="1"/>
  <c r="Q6" i="29"/>
  <c r="N7" i="18"/>
  <c r="P7" i="18" s="1"/>
  <c r="AE9" i="18"/>
  <c r="Q6" i="18"/>
  <c r="Q7" i="27"/>
  <c r="V5" i="31"/>
  <c r="N4" i="33"/>
  <c r="P4" i="33" s="1"/>
  <c r="Q5" i="32"/>
  <c r="AB7" i="32"/>
  <c r="AD7" i="32" s="1"/>
  <c r="V5" i="29"/>
  <c r="Q7" i="20"/>
  <c r="AE7" i="18"/>
  <c r="AC6" i="27"/>
  <c r="O5" i="29"/>
  <c r="G5" i="31"/>
  <c r="I5" i="31" s="1"/>
  <c r="AC6" i="31"/>
  <c r="AC8" i="18"/>
  <c r="N6" i="30"/>
  <c r="P6" i="30" s="1"/>
  <c r="V7" i="31"/>
  <c r="Q9" i="29"/>
  <c r="AE5" i="30"/>
  <c r="X7" i="33"/>
  <c r="AE5" i="31"/>
  <c r="V7" i="22"/>
  <c r="J4" i="33"/>
  <c r="O5" i="31"/>
  <c r="X6" i="31"/>
  <c r="V5" i="19"/>
  <c r="H5" i="28"/>
  <c r="Q9" i="23"/>
  <c r="X7" i="28"/>
  <c r="X6" i="22"/>
  <c r="V5" i="32"/>
  <c r="X8" i="18"/>
  <c r="X7" i="32"/>
  <c r="O7" i="32"/>
  <c r="AE7" i="32"/>
  <c r="AC4" i="33"/>
  <c r="O7" i="31"/>
  <c r="N6" i="28"/>
  <c r="P6" i="28" s="1"/>
  <c r="Q7" i="22"/>
  <c r="AB9" i="19"/>
  <c r="AD9" i="19" s="1"/>
  <c r="H7" i="17"/>
  <c r="Q6" i="31"/>
  <c r="AC8" i="27"/>
  <c r="H5" i="23"/>
  <c r="V9" i="17"/>
  <c r="N7" i="19"/>
  <c r="P7" i="19" s="1"/>
  <c r="AC7" i="20"/>
  <c r="X6" i="20"/>
  <c r="U9" i="27"/>
  <c r="W9" i="27" s="1"/>
  <c r="AG10" i="31"/>
  <c r="L19" i="31" s="1"/>
  <c r="Y10" i="20"/>
  <c r="K18" i="20" s="1"/>
  <c r="Y10" i="22"/>
  <c r="K18" i="22" s="1"/>
  <c r="AG10" i="24"/>
  <c r="L19" i="24" s="1"/>
  <c r="S10" i="29"/>
  <c r="L17" i="29" s="1"/>
  <c r="AG10" i="3"/>
  <c r="L19" i="3" s="1"/>
  <c r="R10" i="21"/>
  <c r="K17" i="21" s="1"/>
  <c r="AF10" i="24"/>
  <c r="K19" i="24" s="1"/>
  <c r="R10" i="24"/>
  <c r="K17" i="24" s="1"/>
  <c r="K10" i="24"/>
  <c r="K16" i="24" s="1"/>
  <c r="V8" i="17"/>
  <c r="AE4" i="33"/>
  <c r="AC8" i="17"/>
  <c r="H4" i="33"/>
  <c r="U8" i="17"/>
  <c r="W8" i="17" s="1"/>
  <c r="G8" i="17"/>
  <c r="I8" i="17" s="1"/>
  <c r="AG10" i="33"/>
  <c r="L19" i="33" s="1"/>
  <c r="V7" i="17"/>
  <c r="AB7" i="33"/>
  <c r="AD7" i="33" s="1"/>
  <c r="N7" i="17"/>
  <c r="P7" i="17" s="1"/>
  <c r="U7" i="17"/>
  <c r="W7" i="17" s="1"/>
  <c r="Q7" i="33"/>
  <c r="G6" i="33"/>
  <c r="I6" i="33" s="1"/>
  <c r="O9" i="17"/>
  <c r="AB9" i="17"/>
  <c r="AD9" i="17" s="1"/>
  <c r="U9" i="17"/>
  <c r="W9" i="17" s="1"/>
  <c r="X9" i="17"/>
  <c r="AE9" i="17"/>
  <c r="AC9" i="17"/>
  <c r="Q9" i="17"/>
  <c r="AB6" i="33"/>
  <c r="AD6" i="33" s="1"/>
  <c r="G9" i="17"/>
  <c r="I9" i="17" s="1"/>
  <c r="J9" i="17"/>
  <c r="H9" i="17"/>
  <c r="O6" i="33"/>
  <c r="U8" i="33"/>
  <c r="W8" i="33" s="1"/>
  <c r="J7" i="17"/>
  <c r="G7" i="17"/>
  <c r="I7" i="17" s="1"/>
  <c r="Q7" i="17"/>
  <c r="AB7" i="17"/>
  <c r="AD7" i="17" s="1"/>
  <c r="Q8" i="33"/>
  <c r="O8" i="33"/>
  <c r="L10" i="33"/>
  <c r="L16" i="33" s="1"/>
  <c r="Z10" i="33"/>
  <c r="L18" i="33" s="1"/>
  <c r="G8" i="33"/>
  <c r="I8" i="33" s="1"/>
  <c r="AE7" i="17"/>
  <c r="AB8" i="33"/>
  <c r="AD8" i="33" s="1"/>
  <c r="O7" i="17"/>
  <c r="G4" i="32"/>
  <c r="I4" i="32" s="1"/>
  <c r="N4" i="32"/>
  <c r="P4" i="32" s="1"/>
  <c r="AB4" i="32"/>
  <c r="AD4" i="32" s="1"/>
  <c r="X4" i="32"/>
  <c r="J7" i="18"/>
  <c r="Q4" i="32"/>
  <c r="U9" i="18"/>
  <c r="W9" i="18" s="1"/>
  <c r="J9" i="18"/>
  <c r="Q9" i="18"/>
  <c r="G9" i="18"/>
  <c r="I9" i="18" s="1"/>
  <c r="N9" i="18"/>
  <c r="P9" i="18" s="1"/>
  <c r="O4" i="32"/>
  <c r="H4" i="32"/>
  <c r="J4" i="32"/>
  <c r="X9" i="18"/>
  <c r="O9" i="18"/>
  <c r="J9" i="32"/>
  <c r="N9" i="32"/>
  <c r="P9" i="32" s="1"/>
  <c r="V9" i="32"/>
  <c r="G5" i="32"/>
  <c r="I5" i="32" s="1"/>
  <c r="H9" i="32"/>
  <c r="R10" i="32"/>
  <c r="K17" i="32" s="1"/>
  <c r="G9" i="32"/>
  <c r="I9" i="32" s="1"/>
  <c r="Q9" i="32"/>
  <c r="H5" i="32"/>
  <c r="O5" i="18"/>
  <c r="H5" i="18"/>
  <c r="O8" i="32"/>
  <c r="N6" i="18"/>
  <c r="P6" i="18" s="1"/>
  <c r="AC5" i="18"/>
  <c r="V5" i="18"/>
  <c r="AB5" i="18"/>
  <c r="AD5" i="18" s="1"/>
  <c r="J5" i="18"/>
  <c r="X6" i="18"/>
  <c r="J8" i="32"/>
  <c r="AE6" i="31"/>
  <c r="AB6" i="31"/>
  <c r="AD6" i="31" s="1"/>
  <c r="G6" i="31"/>
  <c r="I6" i="31" s="1"/>
  <c r="J6" i="31"/>
  <c r="G8" i="19"/>
  <c r="I8" i="19" s="1"/>
  <c r="V6" i="31"/>
  <c r="U7" i="31"/>
  <c r="W7" i="31" s="1"/>
  <c r="H7" i="31"/>
  <c r="X9" i="19"/>
  <c r="G7" i="31"/>
  <c r="I7" i="31" s="1"/>
  <c r="AC7" i="31"/>
  <c r="U5" i="19"/>
  <c r="W5" i="19" s="1"/>
  <c r="AB7" i="31"/>
  <c r="AD7" i="31" s="1"/>
  <c r="AG10" i="19"/>
  <c r="L19" i="19" s="1"/>
  <c r="U9" i="31"/>
  <c r="W9" i="31" s="1"/>
  <c r="N6" i="19"/>
  <c r="P6" i="19" s="1"/>
  <c r="AC4" i="19"/>
  <c r="AE9" i="31"/>
  <c r="H9" i="31"/>
  <c r="R10" i="31"/>
  <c r="K17" i="31" s="1"/>
  <c r="Q7" i="19"/>
  <c r="Q8" i="31"/>
  <c r="AB7" i="19"/>
  <c r="AD7" i="19" s="1"/>
  <c r="AE7" i="19"/>
  <c r="AC7" i="19"/>
  <c r="H7" i="19"/>
  <c r="R10" i="19"/>
  <c r="K17" i="19" s="1"/>
  <c r="S10" i="19"/>
  <c r="L17" i="19" s="1"/>
  <c r="J7" i="30"/>
  <c r="X7" i="20"/>
  <c r="V5" i="30"/>
  <c r="H6" i="30"/>
  <c r="G5" i="30"/>
  <c r="I5" i="30" s="1"/>
  <c r="X7" i="30"/>
  <c r="Q7" i="30"/>
  <c r="AC7" i="30"/>
  <c r="V8" i="20"/>
  <c r="AE7" i="30"/>
  <c r="H7" i="30"/>
  <c r="J6" i="20"/>
  <c r="V8" i="29"/>
  <c r="H5" i="21"/>
  <c r="AE8" i="29"/>
  <c r="N6" i="29"/>
  <c r="P6" i="29" s="1"/>
  <c r="AE6" i="29"/>
  <c r="AB5" i="29"/>
  <c r="AD5" i="29" s="1"/>
  <c r="Y10" i="29"/>
  <c r="K18" i="29" s="1"/>
  <c r="Q5" i="21"/>
  <c r="O6" i="29"/>
  <c r="V6" i="29"/>
  <c r="U6" i="29"/>
  <c r="W6" i="29" s="1"/>
  <c r="J6" i="29"/>
  <c r="AB6" i="29"/>
  <c r="AD6" i="29" s="1"/>
  <c r="V5" i="21"/>
  <c r="X6" i="29"/>
  <c r="X9" i="29"/>
  <c r="G9" i="29"/>
  <c r="I9" i="29" s="1"/>
  <c r="J9" i="29"/>
  <c r="R10" i="29"/>
  <c r="K17" i="29" s="1"/>
  <c r="L10" i="29"/>
  <c r="L16" i="29" s="1"/>
  <c r="K10" i="21"/>
  <c r="K16" i="21" s="1"/>
  <c r="AG10" i="29"/>
  <c r="L19" i="29" s="1"/>
  <c r="S10" i="21"/>
  <c r="L17" i="21" s="1"/>
  <c r="AG10" i="21"/>
  <c r="L19" i="21" s="1"/>
  <c r="G5" i="28"/>
  <c r="I5" i="28" s="1"/>
  <c r="AB8" i="28"/>
  <c r="AD8" i="28" s="1"/>
  <c r="AF10" i="22"/>
  <c r="K19" i="22" s="1"/>
  <c r="V6" i="28"/>
  <c r="AE8" i="28"/>
  <c r="G8" i="28"/>
  <c r="I8" i="28" s="1"/>
  <c r="N8" i="28"/>
  <c r="P8" i="28" s="1"/>
  <c r="J8" i="28"/>
  <c r="O8" i="28"/>
  <c r="N5" i="28"/>
  <c r="P5" i="28" s="1"/>
  <c r="H9" i="22"/>
  <c r="AC9" i="28"/>
  <c r="AB9" i="28"/>
  <c r="AD9" i="28" s="1"/>
  <c r="AE9" i="22"/>
  <c r="O9" i="22"/>
  <c r="N9" i="28"/>
  <c r="P9" i="28" s="1"/>
  <c r="G9" i="28"/>
  <c r="I9" i="28" s="1"/>
  <c r="H9" i="28"/>
  <c r="G4" i="28"/>
  <c r="U9" i="22"/>
  <c r="W9" i="22" s="1"/>
  <c r="Q9" i="22"/>
  <c r="J6" i="22"/>
  <c r="AE9" i="28"/>
  <c r="AB9" i="22"/>
  <c r="AD9" i="22" s="1"/>
  <c r="V9" i="28"/>
  <c r="N7" i="28"/>
  <c r="P7" i="28" s="1"/>
  <c r="G7" i="28"/>
  <c r="I7" i="28" s="1"/>
  <c r="AE7" i="28"/>
  <c r="Q7" i="28"/>
  <c r="J7" i="28"/>
  <c r="V7" i="28"/>
  <c r="U7" i="28"/>
  <c r="W7" i="28" s="1"/>
  <c r="AG10" i="22"/>
  <c r="L19" i="22" s="1"/>
  <c r="V5" i="23"/>
  <c r="V6" i="23"/>
  <c r="X6" i="23"/>
  <c r="AB6" i="23"/>
  <c r="AD6" i="23" s="1"/>
  <c r="H5" i="27"/>
  <c r="O5" i="27"/>
  <c r="V5" i="27"/>
  <c r="AE5" i="23"/>
  <c r="AC5" i="27"/>
  <c r="G5" i="27"/>
  <c r="I5" i="27" s="1"/>
  <c r="X5" i="27"/>
  <c r="Q5" i="27"/>
  <c r="U6" i="27"/>
  <c r="W6" i="27" s="1"/>
  <c r="Q6" i="27"/>
  <c r="H6" i="27"/>
  <c r="AE6" i="27"/>
  <c r="G6" i="27"/>
  <c r="I6" i="27" s="1"/>
  <c r="N6" i="27"/>
  <c r="P6" i="27" s="1"/>
  <c r="V6" i="27"/>
  <c r="X6" i="27"/>
  <c r="Q9" i="27"/>
  <c r="O7" i="27"/>
  <c r="V7" i="27"/>
  <c r="G7" i="27"/>
  <c r="I7" i="27" s="1"/>
  <c r="V4" i="27"/>
  <c r="AB4" i="27"/>
  <c r="AD4" i="27" s="1"/>
  <c r="O9" i="27"/>
  <c r="H9" i="27"/>
  <c r="AE7" i="23"/>
  <c r="V9" i="27"/>
  <c r="V7" i="23"/>
  <c r="AC7" i="27"/>
  <c r="J7" i="27"/>
  <c r="X4" i="27"/>
  <c r="Q4" i="27"/>
  <c r="U4" i="27"/>
  <c r="W4" i="27" s="1"/>
  <c r="X7" i="23"/>
  <c r="Z10" i="17"/>
  <c r="L18" i="17" s="1"/>
  <c r="AF10" i="21"/>
  <c r="K19" i="21" s="1"/>
  <c r="S10" i="24"/>
  <c r="L17" i="24" s="1"/>
  <c r="L10" i="23"/>
  <c r="L16" i="23" s="1"/>
  <c r="Z10" i="28"/>
  <c r="L18" i="28" s="1"/>
  <c r="K10" i="31"/>
  <c r="K16" i="31" s="1"/>
  <c r="Y10" i="24"/>
  <c r="K18" i="24" s="1"/>
  <c r="S10" i="23"/>
  <c r="L17" i="23" s="1"/>
  <c r="K10" i="28"/>
  <c r="K16" i="28" s="1"/>
  <c r="AG10" i="28"/>
  <c r="L19" i="28" s="1"/>
  <c r="Y10" i="28"/>
  <c r="K18" i="28" s="1"/>
  <c r="L10" i="22"/>
  <c r="L16" i="22" s="1"/>
  <c r="Y10" i="33"/>
  <c r="K18" i="33" s="1"/>
  <c r="S10" i="28"/>
  <c r="L17" i="28" s="1"/>
  <c r="L10" i="21"/>
  <c r="L16" i="21" s="1"/>
  <c r="Y10" i="27"/>
  <c r="K18" i="27" s="1"/>
  <c r="AF10" i="27"/>
  <c r="K19" i="27" s="1"/>
  <c r="R10" i="17"/>
  <c r="K17" i="17" s="1"/>
  <c r="J9" i="19"/>
  <c r="Y10" i="19"/>
  <c r="K18" i="19" s="1"/>
  <c r="AE9" i="19"/>
  <c r="N9" i="24"/>
  <c r="P9" i="24" s="1"/>
  <c r="V8" i="32"/>
  <c r="O5" i="30"/>
  <c r="H5" i="30"/>
  <c r="AB6" i="30"/>
  <c r="AD6" i="30" s="1"/>
  <c r="AC4" i="28"/>
  <c r="J5" i="29"/>
  <c r="G8" i="29"/>
  <c r="I8" i="29" s="1"/>
  <c r="N8" i="29"/>
  <c r="P8" i="29" s="1"/>
  <c r="N6" i="33"/>
  <c r="P6" i="33" s="1"/>
  <c r="V6" i="33"/>
  <c r="X6" i="33"/>
  <c r="G5" i="29"/>
  <c r="I5" i="29" s="1"/>
  <c r="N9" i="29"/>
  <c r="P9" i="29" s="1"/>
  <c r="O9" i="29"/>
  <c r="X8" i="27"/>
  <c r="H4" i="28"/>
  <c r="Q6" i="23"/>
  <c r="O7" i="23"/>
  <c r="H4" i="19"/>
  <c r="AB5" i="19"/>
  <c r="AD5" i="19" s="1"/>
  <c r="U8" i="23"/>
  <c r="W8" i="23" s="1"/>
  <c r="AE8" i="23"/>
  <c r="G8" i="23"/>
  <c r="I8" i="23" s="1"/>
  <c r="Q8" i="23"/>
  <c r="V8" i="23"/>
  <c r="AB8" i="23"/>
  <c r="AD8" i="23" s="1"/>
  <c r="J8" i="23"/>
  <c r="O8" i="23"/>
  <c r="H8" i="23"/>
  <c r="X8" i="23"/>
  <c r="AC8" i="23"/>
  <c r="N8" i="23"/>
  <c r="P8" i="23" s="1"/>
  <c r="N8" i="33"/>
  <c r="P8" i="33" s="1"/>
  <c r="V8" i="33"/>
  <c r="X8" i="33"/>
  <c r="AC5" i="29"/>
  <c r="N5" i="29"/>
  <c r="P5" i="29" s="1"/>
  <c r="X5" i="29"/>
  <c r="AB9" i="29"/>
  <c r="AD9" i="29" s="1"/>
  <c r="U8" i="28"/>
  <c r="W8" i="28" s="1"/>
  <c r="AC8" i="28"/>
  <c r="U6" i="18"/>
  <c r="W6" i="18" s="1"/>
  <c r="O9" i="33"/>
  <c r="AC9" i="33"/>
  <c r="H9" i="33"/>
  <c r="V9" i="33"/>
  <c r="AB5" i="32"/>
  <c r="AD5" i="32" s="1"/>
  <c r="U9" i="32"/>
  <c r="W9" i="32" s="1"/>
  <c r="O9" i="32"/>
  <c r="AB9" i="32"/>
  <c r="AD9" i="32" s="1"/>
  <c r="N5" i="31"/>
  <c r="P5" i="31" s="1"/>
  <c r="X5" i="31"/>
  <c r="J5" i="31"/>
  <c r="AC5" i="31"/>
  <c r="N7" i="31"/>
  <c r="P7" i="31" s="1"/>
  <c r="X7" i="31"/>
  <c r="N7" i="20"/>
  <c r="P7" i="20" s="1"/>
  <c r="AB7" i="20"/>
  <c r="AD7" i="20" s="1"/>
  <c r="G7" i="20"/>
  <c r="I7" i="20" s="1"/>
  <c r="V6" i="18"/>
  <c r="J6" i="18"/>
  <c r="AC7" i="18"/>
  <c r="J4" i="17"/>
  <c r="O4" i="17"/>
  <c r="U4" i="17"/>
  <c r="W4" i="17" s="1"/>
  <c r="AE4" i="17"/>
  <c r="AB4" i="17"/>
  <c r="AD4" i="17" s="1"/>
  <c r="X4" i="17"/>
  <c r="AC4" i="17"/>
  <c r="H4" i="17"/>
  <c r="G6" i="32"/>
  <c r="I6" i="32" s="1"/>
  <c r="Q6" i="32"/>
  <c r="V6" i="32"/>
  <c r="J6" i="32"/>
  <c r="O6" i="32"/>
  <c r="U6" i="32"/>
  <c r="W6" i="32" s="1"/>
  <c r="AE6" i="32"/>
  <c r="AC6" i="32"/>
  <c r="X6" i="32"/>
  <c r="N6" i="32"/>
  <c r="P6" i="32" s="1"/>
  <c r="U6" i="31"/>
  <c r="W6" i="31" s="1"/>
  <c r="V8" i="31"/>
  <c r="H8" i="31"/>
  <c r="AB8" i="31"/>
  <c r="AD8" i="31" s="1"/>
  <c r="J8" i="31"/>
  <c r="O8" i="31"/>
  <c r="U8" i="31"/>
  <c r="W8" i="31" s="1"/>
  <c r="AE8" i="31"/>
  <c r="AC8" i="31"/>
  <c r="N8" i="31"/>
  <c r="P8" i="31" s="1"/>
  <c r="X8" i="31"/>
  <c r="U6" i="20"/>
  <c r="W6" i="20" s="1"/>
  <c r="AE6" i="20"/>
  <c r="AB6" i="20"/>
  <c r="AD6" i="20" s="1"/>
  <c r="Q6" i="20"/>
  <c r="G6" i="20"/>
  <c r="I6" i="20" s="1"/>
  <c r="V6" i="20"/>
  <c r="N9" i="22"/>
  <c r="P9" i="22" s="1"/>
  <c r="X9" i="22"/>
  <c r="G9" i="22"/>
  <c r="AC9" i="22"/>
  <c r="J9" i="22"/>
  <c r="AB7" i="27"/>
  <c r="AD7" i="27" s="1"/>
  <c r="U7" i="27"/>
  <c r="W7" i="27" s="1"/>
  <c r="N7" i="27"/>
  <c r="P7" i="27" s="1"/>
  <c r="U5" i="20"/>
  <c r="W5" i="20" s="1"/>
  <c r="N6" i="22"/>
  <c r="P6" i="22" s="1"/>
  <c r="O6" i="22"/>
  <c r="J7" i="22"/>
  <c r="X7" i="22"/>
  <c r="N7" i="22"/>
  <c r="P7" i="22" s="1"/>
  <c r="U7" i="22"/>
  <c r="W7" i="22" s="1"/>
  <c r="AB7" i="22"/>
  <c r="AD7" i="22" s="1"/>
  <c r="V4" i="29"/>
  <c r="AB4" i="29"/>
  <c r="AD4" i="29" s="1"/>
  <c r="X4" i="29"/>
  <c r="AC4" i="29"/>
  <c r="U4" i="29"/>
  <c r="W4" i="29" s="1"/>
  <c r="AE4" i="29"/>
  <c r="O4" i="29"/>
  <c r="J4" i="29"/>
  <c r="O6" i="28"/>
  <c r="X6" i="28"/>
  <c r="Q6" i="28"/>
  <c r="H6" i="28"/>
  <c r="N6" i="23"/>
  <c r="P6" i="23" s="1"/>
  <c r="G6" i="23"/>
  <c r="I6" i="23" s="1"/>
  <c r="U6" i="23"/>
  <c r="W6" i="23" s="1"/>
  <c r="G8" i="27"/>
  <c r="I8" i="27" s="1"/>
  <c r="Q8" i="27"/>
  <c r="V8" i="27"/>
  <c r="AB8" i="27"/>
  <c r="AD8" i="27" s="1"/>
  <c r="U8" i="27"/>
  <c r="W8" i="27" s="1"/>
  <c r="AE8" i="27"/>
  <c r="O8" i="27"/>
  <c r="J8" i="27"/>
  <c r="G6" i="21"/>
  <c r="I6" i="21" s="1"/>
  <c r="Q6" i="21"/>
  <c r="V6" i="21"/>
  <c r="AB6" i="21"/>
  <c r="AD6" i="21" s="1"/>
  <c r="H6" i="21"/>
  <c r="N6" i="21"/>
  <c r="P6" i="21" s="1"/>
  <c r="X6" i="21"/>
  <c r="AC6" i="21"/>
  <c r="U6" i="21"/>
  <c r="W6" i="21" s="1"/>
  <c r="AE6" i="21"/>
  <c r="AE10" i="21" s="1"/>
  <c r="J19" i="21" s="1"/>
  <c r="O6" i="21"/>
  <c r="J6" i="21"/>
  <c r="O7" i="33"/>
  <c r="AC7" i="33"/>
  <c r="H7" i="33"/>
  <c r="V7" i="33"/>
  <c r="N9" i="30"/>
  <c r="P9" i="30" s="1"/>
  <c r="U9" i="30"/>
  <c r="W9" i="30" s="1"/>
  <c r="AB9" i="30"/>
  <c r="AD9" i="30" s="1"/>
  <c r="G9" i="30"/>
  <c r="I9" i="30" s="1"/>
  <c r="O9" i="30"/>
  <c r="AC9" i="30"/>
  <c r="J9" i="30"/>
  <c r="X9" i="30"/>
  <c r="G9" i="23"/>
  <c r="I9" i="23" s="1"/>
  <c r="N9" i="23"/>
  <c r="P9" i="23" s="1"/>
  <c r="AB9" i="23"/>
  <c r="AD9" i="23" s="1"/>
  <c r="J9" i="23"/>
  <c r="X9" i="23"/>
  <c r="U9" i="23"/>
  <c r="W9" i="23" s="1"/>
  <c r="AC9" i="23"/>
  <c r="O9" i="23"/>
  <c r="J7" i="23"/>
  <c r="N7" i="23"/>
  <c r="P7" i="23" s="1"/>
  <c r="U7" i="23"/>
  <c r="W7" i="23" s="1"/>
  <c r="AC7" i="23"/>
  <c r="AB7" i="23"/>
  <c r="AD7" i="23" s="1"/>
  <c r="H8" i="19"/>
  <c r="N8" i="19"/>
  <c r="P8" i="19" s="1"/>
  <c r="X8" i="19"/>
  <c r="AC8" i="19"/>
  <c r="U8" i="19"/>
  <c r="W8" i="19" s="1"/>
  <c r="AE8" i="19"/>
  <c r="J8" i="19"/>
  <c r="O8" i="19"/>
  <c r="J4" i="18"/>
  <c r="O4" i="18"/>
  <c r="U4" i="18"/>
  <c r="W4" i="18" s="1"/>
  <c r="AE4" i="18"/>
  <c r="G4" i="18"/>
  <c r="I4" i="18" s="1"/>
  <c r="Q4" i="18"/>
  <c r="V4" i="18"/>
  <c r="N4" i="18"/>
  <c r="X4" i="18"/>
  <c r="AC4" i="18"/>
  <c r="H4" i="18"/>
  <c r="AB4" i="18"/>
  <c r="AD4" i="18" s="1"/>
  <c r="U8" i="32"/>
  <c r="W8" i="32" s="1"/>
  <c r="AE8" i="32"/>
  <c r="H8" i="32"/>
  <c r="X8" i="32"/>
  <c r="N8" i="32"/>
  <c r="P8" i="32" s="1"/>
  <c r="AC8" i="32"/>
  <c r="U4" i="19"/>
  <c r="AE4" i="19"/>
  <c r="Q4" i="19"/>
  <c r="G4" i="19"/>
  <c r="I4" i="19" s="1"/>
  <c r="V4" i="19"/>
  <c r="AB4" i="19"/>
  <c r="J4" i="30"/>
  <c r="O4" i="30"/>
  <c r="U4" i="30"/>
  <c r="AE4" i="30"/>
  <c r="G4" i="30"/>
  <c r="Q4" i="30"/>
  <c r="V4" i="30"/>
  <c r="X4" i="30"/>
  <c r="AC4" i="30"/>
  <c r="H4" i="30"/>
  <c r="AB4" i="30"/>
  <c r="X6" i="30"/>
  <c r="AC6" i="30"/>
  <c r="U6" i="30"/>
  <c r="W6" i="30" s="1"/>
  <c r="AE6" i="30"/>
  <c r="J6" i="30"/>
  <c r="O6" i="30"/>
  <c r="N5" i="20"/>
  <c r="P5" i="20" s="1"/>
  <c r="U6" i="33"/>
  <c r="W6" i="33" s="1"/>
  <c r="N7" i="33"/>
  <c r="P7" i="33" s="1"/>
  <c r="X5" i="32"/>
  <c r="V7" i="30"/>
  <c r="Q9" i="30"/>
  <c r="AC5" i="32"/>
  <c r="AE5" i="32"/>
  <c r="AE5" i="29"/>
  <c r="AE9" i="29"/>
  <c r="G6" i="28"/>
  <c r="I6" i="28" s="1"/>
  <c r="AE6" i="28"/>
  <c r="AF10" i="28"/>
  <c r="K19" i="28" s="1"/>
  <c r="N4" i="28"/>
  <c r="P4" i="28" s="1"/>
  <c r="AB6" i="28"/>
  <c r="AD6" i="28" s="1"/>
  <c r="Q7" i="23"/>
  <c r="AE9" i="23"/>
  <c r="O9" i="28"/>
  <c r="H7" i="22"/>
  <c r="L10" i="19"/>
  <c r="L16" i="19" s="1"/>
  <c r="AE5" i="19"/>
  <c r="O6" i="27"/>
  <c r="AF10" i="17"/>
  <c r="K19" i="17" s="1"/>
  <c r="N9" i="19"/>
  <c r="U9" i="19"/>
  <c r="W9" i="19" s="1"/>
  <c r="V9" i="19"/>
  <c r="AC9" i="24"/>
  <c r="X5" i="24"/>
  <c r="H9" i="24"/>
  <c r="X9" i="24"/>
  <c r="U7" i="33"/>
  <c r="W7" i="33" s="1"/>
  <c r="AC5" i="30"/>
  <c r="AE7" i="33"/>
  <c r="G8" i="32"/>
  <c r="I8" i="32" s="1"/>
  <c r="S10" i="31"/>
  <c r="L17" i="31" s="1"/>
  <c r="Q6" i="30"/>
  <c r="G7" i="30"/>
  <c r="I7" i="30" s="1"/>
  <c r="H9" i="30"/>
  <c r="U5" i="29"/>
  <c r="W5" i="29" s="1"/>
  <c r="O4" i="28"/>
  <c r="H4" i="29"/>
  <c r="J4" i="28"/>
  <c r="J6" i="28"/>
  <c r="Q8" i="29"/>
  <c r="X8" i="29"/>
  <c r="H6" i="33"/>
  <c r="J6" i="33"/>
  <c r="AC9" i="29"/>
  <c r="N8" i="27"/>
  <c r="P8" i="27" s="1"/>
  <c r="AE6" i="23"/>
  <c r="AC7" i="22"/>
  <c r="G5" i="20"/>
  <c r="I5" i="20" s="1"/>
  <c r="O6" i="20"/>
  <c r="AC5" i="19"/>
  <c r="AC6" i="19"/>
  <c r="AC6" i="23"/>
  <c r="H6" i="20"/>
  <c r="AC6" i="20"/>
  <c r="O5" i="19"/>
  <c r="H6" i="19"/>
  <c r="G5" i="23"/>
  <c r="I5" i="23" s="1"/>
  <c r="N5" i="23"/>
  <c r="P5" i="23" s="1"/>
  <c r="AB5" i="23"/>
  <c r="AD5" i="23" s="1"/>
  <c r="O5" i="23"/>
  <c r="U5" i="23"/>
  <c r="W5" i="23" s="1"/>
  <c r="AC5" i="23"/>
  <c r="X5" i="23"/>
  <c r="J5" i="23"/>
  <c r="Q4" i="28"/>
  <c r="X4" i="28"/>
  <c r="AE4" i="28"/>
  <c r="U4" i="28"/>
  <c r="J8" i="22"/>
  <c r="O8" i="22"/>
  <c r="U8" i="22"/>
  <c r="W8" i="22" s="1"/>
  <c r="AE8" i="22"/>
  <c r="G8" i="22"/>
  <c r="I8" i="22" s="1"/>
  <c r="Q8" i="22"/>
  <c r="V8" i="22"/>
  <c r="N8" i="22"/>
  <c r="P8" i="22" s="1"/>
  <c r="X8" i="22"/>
  <c r="AC8" i="22"/>
  <c r="H8" i="22"/>
  <c r="AB8" i="22"/>
  <c r="AD8" i="22" s="1"/>
  <c r="G7" i="33"/>
  <c r="I7" i="33" s="1"/>
  <c r="H8" i="33"/>
  <c r="J8" i="33"/>
  <c r="N7" i="29"/>
  <c r="P7" i="29" s="1"/>
  <c r="X7" i="29"/>
  <c r="G7" i="29"/>
  <c r="I7" i="29" s="1"/>
  <c r="Q5" i="28"/>
  <c r="AB5" i="28"/>
  <c r="AD5" i="28" s="1"/>
  <c r="J5" i="28"/>
  <c r="AC5" i="28"/>
  <c r="O5" i="28"/>
  <c r="X5" i="28"/>
  <c r="V5" i="28"/>
  <c r="AE5" i="28"/>
  <c r="V8" i="28"/>
  <c r="X8" i="28"/>
  <c r="Q4" i="17"/>
  <c r="AC7" i="17"/>
  <c r="O5" i="33"/>
  <c r="AC5" i="33"/>
  <c r="H5" i="33"/>
  <c r="V5" i="33"/>
  <c r="G5" i="18"/>
  <c r="N5" i="18"/>
  <c r="P5" i="18" s="1"/>
  <c r="X5" i="18"/>
  <c r="X7" i="18"/>
  <c r="X5" i="19"/>
  <c r="G5" i="19"/>
  <c r="I5" i="19" s="1"/>
  <c r="N5" i="19"/>
  <c r="P5" i="19" s="1"/>
  <c r="O7" i="19"/>
  <c r="X7" i="19"/>
  <c r="G7" i="19"/>
  <c r="I7" i="19" s="1"/>
  <c r="U5" i="30"/>
  <c r="W5" i="30" s="1"/>
  <c r="J5" i="30"/>
  <c r="X5" i="30"/>
  <c r="AB5" i="30"/>
  <c r="AD5" i="30" s="1"/>
  <c r="N5" i="30"/>
  <c r="P5" i="30" s="1"/>
  <c r="N7" i="30"/>
  <c r="P7" i="30" s="1"/>
  <c r="U7" i="30"/>
  <c r="W7" i="30" s="1"/>
  <c r="AB7" i="30"/>
  <c r="AD7" i="30" s="1"/>
  <c r="AC6" i="18"/>
  <c r="H6" i="18"/>
  <c r="G9" i="27"/>
  <c r="I9" i="27" s="1"/>
  <c r="N9" i="27"/>
  <c r="P9" i="27" s="1"/>
  <c r="AB9" i="27"/>
  <c r="AD9" i="27" s="1"/>
  <c r="J9" i="27"/>
  <c r="X9" i="27"/>
  <c r="H8" i="20"/>
  <c r="AB8" i="20"/>
  <c r="AD8" i="20" s="1"/>
  <c r="J8" i="20"/>
  <c r="O8" i="20"/>
  <c r="U8" i="20"/>
  <c r="W8" i="20" s="1"/>
  <c r="AE8" i="20"/>
  <c r="AC8" i="20"/>
  <c r="X8" i="20"/>
  <c r="N8" i="20"/>
  <c r="P8" i="20" s="1"/>
  <c r="AE6" i="18"/>
  <c r="G7" i="18"/>
  <c r="I7" i="18" s="1"/>
  <c r="O7" i="18"/>
  <c r="N4" i="17"/>
  <c r="P4" i="17" s="1"/>
  <c r="X4" i="33"/>
  <c r="AB4" i="33"/>
  <c r="AD4" i="33" s="1"/>
  <c r="O4" i="33"/>
  <c r="J6" i="19"/>
  <c r="O6" i="19"/>
  <c r="U6" i="19"/>
  <c r="W6" i="19" s="1"/>
  <c r="AE6" i="19"/>
  <c r="G6" i="19"/>
  <c r="I6" i="19" s="1"/>
  <c r="V6" i="19"/>
  <c r="Q6" i="19"/>
  <c r="U8" i="30"/>
  <c r="W8" i="30" s="1"/>
  <c r="AE8" i="30"/>
  <c r="G8" i="30"/>
  <c r="I8" i="30" s="1"/>
  <c r="Q8" i="30"/>
  <c r="V8" i="30"/>
  <c r="AB8" i="30"/>
  <c r="AD8" i="30" s="1"/>
  <c r="J8" i="30"/>
  <c r="O8" i="30"/>
  <c r="H8" i="30"/>
  <c r="AC8" i="30"/>
  <c r="N8" i="30"/>
  <c r="P8" i="30" s="1"/>
  <c r="X8" i="30"/>
  <c r="X5" i="20"/>
  <c r="AE6" i="22"/>
  <c r="AB6" i="22"/>
  <c r="AD6" i="22" s="1"/>
  <c r="Z10" i="31"/>
  <c r="L18" i="31" s="1"/>
  <c r="L10" i="30"/>
  <c r="L16" i="30" s="1"/>
  <c r="Z10" i="23"/>
  <c r="L18" i="23" s="1"/>
  <c r="Y10" i="17"/>
  <c r="K18" i="17" s="1"/>
  <c r="AF10" i="19"/>
  <c r="K19" i="19" s="1"/>
  <c r="G9" i="19"/>
  <c r="I9" i="19" s="1"/>
  <c r="O9" i="19"/>
  <c r="S10" i="17"/>
  <c r="L17" i="17" s="1"/>
  <c r="G9" i="24"/>
  <c r="I9" i="24" s="1"/>
  <c r="J9" i="24"/>
  <c r="U9" i="24"/>
  <c r="W9" i="24" s="1"/>
  <c r="Q8" i="32"/>
  <c r="J7" i="33"/>
  <c r="U5" i="32"/>
  <c r="W5" i="32" s="1"/>
  <c r="V6" i="30"/>
  <c r="O7" i="30"/>
  <c r="N4" i="29"/>
  <c r="U6" i="28"/>
  <c r="W6" i="28" s="1"/>
  <c r="AB8" i="29"/>
  <c r="AD8" i="29" s="1"/>
  <c r="H8" i="29"/>
  <c r="AC6" i="33"/>
  <c r="G4" i="29"/>
  <c r="U9" i="29"/>
  <c r="W9" i="29" s="1"/>
  <c r="U8" i="29"/>
  <c r="W8" i="29" s="1"/>
  <c r="J8" i="29"/>
  <c r="J6" i="23"/>
  <c r="G7" i="23"/>
  <c r="I7" i="23" s="1"/>
  <c r="H9" i="23"/>
  <c r="O5" i="20"/>
  <c r="O4" i="19"/>
  <c r="J5" i="19"/>
  <c r="Q8" i="19"/>
  <c r="H5" i="19"/>
  <c r="X4" i="19"/>
  <c r="G5" i="21"/>
  <c r="O5" i="21"/>
  <c r="X5" i="21"/>
  <c r="J5" i="21"/>
  <c r="N5" i="21"/>
  <c r="U5" i="21"/>
  <c r="AC5" i="21"/>
  <c r="AB5" i="21"/>
  <c r="J4" i="19"/>
  <c r="J4" i="23"/>
  <c r="U4" i="23"/>
  <c r="AE4" i="23"/>
  <c r="G4" i="23"/>
  <c r="N4" i="23"/>
  <c r="H4" i="23"/>
  <c r="O4" i="23"/>
  <c r="V4" i="23"/>
  <c r="AB4" i="23"/>
  <c r="X4" i="23"/>
  <c r="AC4" i="23"/>
  <c r="Q4" i="23"/>
  <c r="AC8" i="33"/>
  <c r="G7" i="22"/>
  <c r="I7" i="22" s="1"/>
  <c r="G4" i="20"/>
  <c r="Q4" i="20"/>
  <c r="V4" i="20"/>
  <c r="H4" i="20"/>
  <c r="AB4" i="20"/>
  <c r="J4" i="20"/>
  <c r="O4" i="20"/>
  <c r="U4" i="20"/>
  <c r="AE4" i="20"/>
  <c r="AC4" i="20"/>
  <c r="X4" i="20"/>
  <c r="N4" i="20"/>
  <c r="AB9" i="31"/>
  <c r="AD9" i="31" s="1"/>
  <c r="J9" i="31"/>
  <c r="AC9" i="31"/>
  <c r="N9" i="31"/>
  <c r="P9" i="31" s="1"/>
  <c r="X9" i="31"/>
  <c r="AB6" i="18"/>
  <c r="AD6" i="18" s="1"/>
  <c r="G6" i="18"/>
  <c r="I6" i="18" s="1"/>
  <c r="O6" i="18"/>
  <c r="AB7" i="18"/>
  <c r="AD7" i="18" s="1"/>
  <c r="N8" i="17"/>
  <c r="P8" i="17" s="1"/>
  <c r="AB8" i="17"/>
  <c r="AD8" i="17" s="1"/>
  <c r="J8" i="17"/>
  <c r="Q8" i="17"/>
  <c r="AE8" i="17"/>
  <c r="X8" i="17"/>
  <c r="V4" i="32"/>
  <c r="J8" i="18"/>
  <c r="O8" i="18"/>
  <c r="H8" i="18"/>
  <c r="U8" i="18"/>
  <c r="W8" i="18" s="1"/>
  <c r="V8" i="18"/>
  <c r="G8" i="18"/>
  <c r="I8" i="18" s="1"/>
  <c r="Q8" i="18"/>
  <c r="AE8" i="18"/>
  <c r="AB8" i="18"/>
  <c r="AD8" i="18" s="1"/>
  <c r="U4" i="31"/>
  <c r="W4" i="31" s="1"/>
  <c r="AE4" i="31"/>
  <c r="G4" i="31"/>
  <c r="Q4" i="31"/>
  <c r="V4" i="31"/>
  <c r="AB4" i="31"/>
  <c r="AD4" i="31" s="1"/>
  <c r="J4" i="31"/>
  <c r="O4" i="31"/>
  <c r="H4" i="31"/>
  <c r="AC4" i="31"/>
  <c r="N4" i="31"/>
  <c r="X4" i="31"/>
  <c r="AC7" i="28"/>
  <c r="AB5" i="20"/>
  <c r="AD5" i="20" s="1"/>
  <c r="AC6" i="22"/>
  <c r="U6" i="22"/>
  <c r="W6" i="22" s="1"/>
  <c r="H5" i="24"/>
  <c r="O5" i="24"/>
  <c r="U5" i="24"/>
  <c r="W5" i="24" s="1"/>
  <c r="N7" i="3"/>
  <c r="P7" i="3" s="1"/>
  <c r="G7" i="3"/>
  <c r="I7" i="3" s="1"/>
  <c r="AE7" i="3"/>
  <c r="AE10" i="3" s="1"/>
  <c r="J19" i="3" s="1"/>
  <c r="J7" i="3"/>
  <c r="J10" i="3" s="1"/>
  <c r="J16" i="3" s="1"/>
  <c r="AB7" i="3"/>
  <c r="AD7" i="3" s="1"/>
  <c r="AC7" i="3"/>
  <c r="AC10" i="3" s="1"/>
  <c r="H19" i="3" s="1"/>
  <c r="O7" i="3"/>
  <c r="O10" i="3" s="1"/>
  <c r="H17" i="3" s="1"/>
  <c r="U7" i="3"/>
  <c r="W7" i="3" s="1"/>
  <c r="X7" i="3"/>
  <c r="X10" i="3" s="1"/>
  <c r="J18" i="3" s="1"/>
  <c r="K10" i="3"/>
  <c r="K16" i="3" s="1"/>
  <c r="V10" i="3"/>
  <c r="H18" i="3" s="1"/>
  <c r="L10" i="3"/>
  <c r="L16" i="3" s="1"/>
  <c r="R10" i="3"/>
  <c r="K17" i="3" s="1"/>
  <c r="Z10" i="3"/>
  <c r="L18" i="3" s="1"/>
  <c r="S10" i="3"/>
  <c r="L17" i="3" s="1"/>
  <c r="AF10" i="32"/>
  <c r="K19" i="32" s="1"/>
  <c r="L10" i="32"/>
  <c r="L16" i="32" s="1"/>
  <c r="L10" i="24"/>
  <c r="L16" i="24" s="1"/>
  <c r="K10" i="27"/>
  <c r="K16" i="27" s="1"/>
  <c r="AG10" i="27"/>
  <c r="L19" i="27" s="1"/>
  <c r="Z10" i="30"/>
  <c r="L18" i="30" s="1"/>
  <c r="Z10" i="29"/>
  <c r="L18" i="29" s="1"/>
  <c r="W7" i="29"/>
  <c r="AG10" i="32"/>
  <c r="L19" i="32" s="1"/>
  <c r="Z10" i="19"/>
  <c r="L18" i="19" s="1"/>
  <c r="P4" i="27"/>
  <c r="S10" i="27"/>
  <c r="L17" i="27" s="1"/>
  <c r="AD5" i="17"/>
  <c r="P5" i="17"/>
  <c r="Y10" i="3"/>
  <c r="K18" i="3" s="1"/>
  <c r="I4" i="3"/>
  <c r="I4" i="33"/>
  <c r="Z10" i="32"/>
  <c r="L18" i="32" s="1"/>
  <c r="Y10" i="32"/>
  <c r="K18" i="32" s="1"/>
  <c r="W5" i="18"/>
  <c r="Z10" i="27"/>
  <c r="L18" i="27" s="1"/>
  <c r="L10" i="27"/>
  <c r="L16" i="27" s="1"/>
  <c r="AF10" i="3"/>
  <c r="K19" i="3" s="1"/>
  <c r="W4" i="3"/>
  <c r="L10" i="31"/>
  <c r="L16" i="31" s="1"/>
  <c r="S10" i="32"/>
  <c r="L17" i="32" s="1"/>
  <c r="AD4" i="28"/>
  <c r="Z10" i="24"/>
  <c r="L18" i="24" s="1"/>
  <c r="Z10" i="21"/>
  <c r="L18" i="21" s="1"/>
  <c r="K10" i="17"/>
  <c r="K16" i="17" s="1"/>
  <c r="W5" i="17"/>
  <c r="P4" i="3"/>
  <c r="AD5" i="3"/>
  <c r="R10" i="20" l="1"/>
  <c r="K17" i="20" s="1"/>
  <c r="AG10" i="30"/>
  <c r="L19" i="30" s="1"/>
  <c r="K10" i="23"/>
  <c r="K16" i="23" s="1"/>
  <c r="S10" i="20"/>
  <c r="L17" i="20" s="1"/>
  <c r="R10" i="33"/>
  <c r="K17" i="33" s="1"/>
  <c r="AG10" i="17"/>
  <c r="L19" i="17" s="1"/>
  <c r="AG10" i="23"/>
  <c r="L19" i="23" s="1"/>
  <c r="AG10" i="18"/>
  <c r="L19" i="18" s="1"/>
  <c r="S10" i="30"/>
  <c r="L17" i="30" s="1"/>
  <c r="AF10" i="30"/>
  <c r="K19" i="30" s="1"/>
  <c r="K10" i="19"/>
  <c r="K16" i="19" s="1"/>
  <c r="K10" i="18"/>
  <c r="K16" i="18" s="1"/>
  <c r="Y10" i="18"/>
  <c r="K18" i="18" s="1"/>
  <c r="R10" i="18"/>
  <c r="K17" i="18" s="1"/>
  <c r="K10" i="33"/>
  <c r="K16" i="33" s="1"/>
  <c r="S10" i="33"/>
  <c r="L17" i="33" s="1"/>
  <c r="AF10" i="33"/>
  <c r="K19" i="33" s="1"/>
  <c r="K10" i="32"/>
  <c r="K16" i="32" s="1"/>
  <c r="R10" i="23"/>
  <c r="K17" i="23" s="1"/>
  <c r="Y10" i="23"/>
  <c r="K18" i="23" s="1"/>
  <c r="S10" i="22"/>
  <c r="L17" i="22" s="1"/>
  <c r="Y10" i="31"/>
  <c r="K18" i="31" s="1"/>
  <c r="R10" i="27"/>
  <c r="K17" i="27" s="1"/>
  <c r="V10" i="31"/>
  <c r="J10" i="21"/>
  <c r="J16" i="21" s="1"/>
  <c r="AD10" i="24"/>
  <c r="I19" i="24" s="1"/>
  <c r="AB10" i="24"/>
  <c r="G19" i="24" s="1"/>
  <c r="AE10" i="24"/>
  <c r="J19" i="24" s="1"/>
  <c r="V10" i="24"/>
  <c r="H18" i="24" s="1"/>
  <c r="O10" i="24"/>
  <c r="H17" i="24" s="1"/>
  <c r="I10" i="24"/>
  <c r="I16" i="24" s="1"/>
  <c r="P10" i="24"/>
  <c r="I17" i="24" s="1"/>
  <c r="N10" i="24"/>
  <c r="G17" i="24" s="1"/>
  <c r="Q10" i="24"/>
  <c r="J17" i="24" s="1"/>
  <c r="J10" i="24"/>
  <c r="J16" i="24" s="1"/>
  <c r="AC10" i="24"/>
  <c r="H19" i="24" s="1"/>
  <c r="Q10" i="29"/>
  <c r="J17" i="29" s="1"/>
  <c r="H10" i="24"/>
  <c r="H16" i="24" s="1"/>
  <c r="AE10" i="33"/>
  <c r="J19" i="33" s="1"/>
  <c r="V10" i="22"/>
  <c r="Q10" i="33"/>
  <c r="J17" i="33" s="1"/>
  <c r="V10" i="32"/>
  <c r="H18" i="32" s="1"/>
  <c r="N10" i="32"/>
  <c r="G17" i="32" s="1"/>
  <c r="O10" i="31"/>
  <c r="H17" i="31" s="1"/>
  <c r="O10" i="29"/>
  <c r="H17" i="29" s="1"/>
  <c r="V10" i="29"/>
  <c r="H18" i="29" s="1"/>
  <c r="H10" i="21"/>
  <c r="H16" i="21" s="1"/>
  <c r="AE10" i="32"/>
  <c r="J19" i="32" s="1"/>
  <c r="AB10" i="33"/>
  <c r="G19" i="33" s="1"/>
  <c r="X10" i="33"/>
  <c r="J18" i="33" s="1"/>
  <c r="AC10" i="27"/>
  <c r="H19" i="27" s="1"/>
  <c r="O10" i="27"/>
  <c r="H17" i="27" s="1"/>
  <c r="G10" i="24"/>
  <c r="G16" i="24" s="1"/>
  <c r="AC10" i="21"/>
  <c r="H19" i="21" s="1"/>
  <c r="V10" i="21"/>
  <c r="H18" i="21" s="1"/>
  <c r="J10" i="27"/>
  <c r="J16" i="27" s="1"/>
  <c r="W10" i="27"/>
  <c r="I18" i="27" s="1"/>
  <c r="N10" i="27"/>
  <c r="G17" i="27" s="1"/>
  <c r="P10" i="27"/>
  <c r="I17" i="27" s="1"/>
  <c r="X10" i="27"/>
  <c r="J18" i="27" s="1"/>
  <c r="V10" i="27"/>
  <c r="I10" i="27"/>
  <c r="I16" i="27" s="1"/>
  <c r="Q10" i="23"/>
  <c r="J17" i="23" s="1"/>
  <c r="V10" i="23"/>
  <c r="H18" i="23" s="1"/>
  <c r="W10" i="24"/>
  <c r="I18" i="24" s="1"/>
  <c r="AB10" i="3"/>
  <c r="G19" i="3" s="1"/>
  <c r="X10" i="24"/>
  <c r="J18" i="24" s="1"/>
  <c r="V10" i="17"/>
  <c r="H18" i="17" s="1"/>
  <c r="V10" i="20"/>
  <c r="H18" i="20" s="1"/>
  <c r="Q10" i="22"/>
  <c r="J17" i="22" s="1"/>
  <c r="O10" i="17"/>
  <c r="H17" i="17" s="1"/>
  <c r="AE10" i="17"/>
  <c r="J19" i="17" s="1"/>
  <c r="I10" i="17"/>
  <c r="I16" i="17" s="1"/>
  <c r="AC10" i="33"/>
  <c r="H19" i="33" s="1"/>
  <c r="O10" i="33"/>
  <c r="H17" i="33" s="1"/>
  <c r="W10" i="33"/>
  <c r="I18" i="33" s="1"/>
  <c r="P10" i="17"/>
  <c r="I17" i="17" s="1"/>
  <c r="U10" i="17"/>
  <c r="G18" i="17" s="1"/>
  <c r="G10" i="17"/>
  <c r="G16" i="17" s="1"/>
  <c r="Q10" i="17"/>
  <c r="J17" i="17" s="1"/>
  <c r="W10" i="17"/>
  <c r="I18" i="17" s="1"/>
  <c r="AD10" i="33"/>
  <c r="I19" i="33" s="1"/>
  <c r="H10" i="17"/>
  <c r="H16" i="17" s="1"/>
  <c r="V10" i="33"/>
  <c r="H18" i="33" s="1"/>
  <c r="AD10" i="17"/>
  <c r="I19" i="17" s="1"/>
  <c r="G10" i="33"/>
  <c r="G16" i="33" s="1"/>
  <c r="J10" i="33"/>
  <c r="J16" i="33" s="1"/>
  <c r="U10" i="33"/>
  <c r="G18" i="33" s="1"/>
  <c r="I10" i="33"/>
  <c r="I16" i="33" s="1"/>
  <c r="P10" i="33"/>
  <c r="I17" i="33" s="1"/>
  <c r="AE10" i="18"/>
  <c r="J19" i="18" s="1"/>
  <c r="AC10" i="32"/>
  <c r="H19" i="32" s="1"/>
  <c r="Q10" i="32"/>
  <c r="J17" i="32" s="1"/>
  <c r="Q10" i="18"/>
  <c r="J17" i="18" s="1"/>
  <c r="P10" i="32"/>
  <c r="I17" i="32" s="1"/>
  <c r="H10" i="32"/>
  <c r="H16" i="32" s="1"/>
  <c r="W10" i="32"/>
  <c r="I18" i="32" s="1"/>
  <c r="O10" i="32"/>
  <c r="J10" i="32"/>
  <c r="J16" i="32" s="1"/>
  <c r="AC10" i="18"/>
  <c r="H19" i="18" s="1"/>
  <c r="O10" i="18"/>
  <c r="H17" i="18" s="1"/>
  <c r="I10" i="32"/>
  <c r="I16" i="32" s="1"/>
  <c r="G10" i="32"/>
  <c r="G16" i="32" s="1"/>
  <c r="J10" i="18"/>
  <c r="J16" i="18" s="1"/>
  <c r="U10" i="32"/>
  <c r="G18" i="32" s="1"/>
  <c r="X10" i="32"/>
  <c r="J18" i="32" s="1"/>
  <c r="AD10" i="32"/>
  <c r="I19" i="32" s="1"/>
  <c r="X10" i="19"/>
  <c r="J18" i="19" s="1"/>
  <c r="AC10" i="31"/>
  <c r="H19" i="31" s="1"/>
  <c r="AD10" i="31"/>
  <c r="I19" i="31" s="1"/>
  <c r="H10" i="31"/>
  <c r="H16" i="31" s="1"/>
  <c r="W10" i="31"/>
  <c r="I18" i="31" s="1"/>
  <c r="Q10" i="19"/>
  <c r="J17" i="19" s="1"/>
  <c r="AE10" i="31"/>
  <c r="J19" i="31" s="1"/>
  <c r="U10" i="31"/>
  <c r="G18" i="31" s="1"/>
  <c r="Q10" i="31"/>
  <c r="J17" i="31" s="1"/>
  <c r="X10" i="31"/>
  <c r="J18" i="31" s="1"/>
  <c r="I10" i="19"/>
  <c r="I16" i="19" s="1"/>
  <c r="G10" i="19"/>
  <c r="G16" i="19" s="1"/>
  <c r="O10" i="20"/>
  <c r="H17" i="20" s="1"/>
  <c r="AC10" i="20"/>
  <c r="H19" i="20" s="1"/>
  <c r="J10" i="20"/>
  <c r="J16" i="20" s="1"/>
  <c r="AE10" i="20"/>
  <c r="J19" i="20" s="1"/>
  <c r="Q10" i="20"/>
  <c r="J17" i="20" s="1"/>
  <c r="AE10" i="30"/>
  <c r="J19" i="30" s="1"/>
  <c r="H10" i="20"/>
  <c r="H16" i="20" s="1"/>
  <c r="Q10" i="30"/>
  <c r="J17" i="30" s="1"/>
  <c r="Q10" i="21"/>
  <c r="J17" i="21" s="1"/>
  <c r="AB10" i="29"/>
  <c r="G19" i="29" s="1"/>
  <c r="X10" i="21"/>
  <c r="J18" i="21" s="1"/>
  <c r="AE10" i="29"/>
  <c r="J19" i="29" s="1"/>
  <c r="O10" i="21"/>
  <c r="H17" i="21" s="1"/>
  <c r="J10" i="22"/>
  <c r="J16" i="22" s="1"/>
  <c r="AE10" i="22"/>
  <c r="J19" i="22" s="1"/>
  <c r="G10" i="28"/>
  <c r="G16" i="28" s="1"/>
  <c r="V10" i="28"/>
  <c r="H18" i="28" s="1"/>
  <c r="P10" i="28"/>
  <c r="I17" i="28" s="1"/>
  <c r="U10" i="22"/>
  <c r="G18" i="22" s="1"/>
  <c r="AD10" i="22"/>
  <c r="I19" i="22" s="1"/>
  <c r="I4" i="28"/>
  <c r="I10" i="28" s="1"/>
  <c r="I16" i="28" s="1"/>
  <c r="AB10" i="28"/>
  <c r="G19" i="28" s="1"/>
  <c r="O10" i="22"/>
  <c r="H17" i="22" s="1"/>
  <c r="H10" i="28"/>
  <c r="H16" i="28" s="1"/>
  <c r="N10" i="28"/>
  <c r="G17" i="28" s="1"/>
  <c r="W10" i="22"/>
  <c r="I18" i="22" s="1"/>
  <c r="AC10" i="22"/>
  <c r="H19" i="22" s="1"/>
  <c r="Q10" i="28"/>
  <c r="J17" i="28" s="1"/>
  <c r="AB10" i="22"/>
  <c r="G19" i="22" s="1"/>
  <c r="U10" i="27"/>
  <c r="G18" i="27" s="1"/>
  <c r="H10" i="27"/>
  <c r="H16" i="27" s="1"/>
  <c r="AE10" i="27"/>
  <c r="J19" i="27" s="1"/>
  <c r="Q10" i="27"/>
  <c r="J17" i="27" s="1"/>
  <c r="J10" i="23"/>
  <c r="J16" i="23" s="1"/>
  <c r="AD10" i="27"/>
  <c r="I19" i="27" s="1"/>
  <c r="AB10" i="27"/>
  <c r="G19" i="27" s="1"/>
  <c r="O10" i="23"/>
  <c r="H17" i="23" s="1"/>
  <c r="AE10" i="23"/>
  <c r="J19" i="23" s="1"/>
  <c r="G10" i="27"/>
  <c r="G16" i="27" s="1"/>
  <c r="H10" i="18"/>
  <c r="H16" i="18" s="1"/>
  <c r="X10" i="18"/>
  <c r="J18" i="18" s="1"/>
  <c r="AC10" i="28"/>
  <c r="H19" i="28" s="1"/>
  <c r="X10" i="28"/>
  <c r="J18" i="28" s="1"/>
  <c r="AC10" i="19"/>
  <c r="H19" i="19" s="1"/>
  <c r="H10" i="33"/>
  <c r="H16" i="33" s="1"/>
  <c r="J10" i="28"/>
  <c r="J16" i="28" s="1"/>
  <c r="P10" i="22"/>
  <c r="I17" i="22" s="1"/>
  <c r="J10" i="17"/>
  <c r="J16" i="17" s="1"/>
  <c r="AD10" i="29"/>
  <c r="I19" i="29" s="1"/>
  <c r="H10" i="19"/>
  <c r="H16" i="19" s="1"/>
  <c r="P10" i="30"/>
  <c r="I17" i="30" s="1"/>
  <c r="H10" i="22"/>
  <c r="H16" i="22" s="1"/>
  <c r="V10" i="30"/>
  <c r="H18" i="30" s="1"/>
  <c r="V10" i="19"/>
  <c r="H18" i="19" s="1"/>
  <c r="V10" i="18"/>
  <c r="H18" i="18" s="1"/>
  <c r="X10" i="29"/>
  <c r="J18" i="29" s="1"/>
  <c r="X10" i="17"/>
  <c r="J18" i="17" s="1"/>
  <c r="H18" i="22"/>
  <c r="W10" i="29"/>
  <c r="I18" i="29" s="1"/>
  <c r="H10" i="23"/>
  <c r="W4" i="23"/>
  <c r="W10" i="23" s="1"/>
  <c r="I18" i="23" s="1"/>
  <c r="U10" i="23"/>
  <c r="G18" i="23" s="1"/>
  <c r="P4" i="29"/>
  <c r="P10" i="29" s="1"/>
  <c r="I17" i="29" s="1"/>
  <c r="N10" i="29"/>
  <c r="G17" i="29" s="1"/>
  <c r="X10" i="20"/>
  <c r="J18" i="20" s="1"/>
  <c r="X10" i="30"/>
  <c r="J18" i="30" s="1"/>
  <c r="G10" i="18"/>
  <c r="G16" i="18" s="1"/>
  <c r="I5" i="18"/>
  <c r="I10" i="18" s="1"/>
  <c r="I16" i="18" s="1"/>
  <c r="AE10" i="28"/>
  <c r="J19" i="28" s="1"/>
  <c r="X10" i="23"/>
  <c r="J18" i="23" s="1"/>
  <c r="AE10" i="19"/>
  <c r="J19" i="19" s="1"/>
  <c r="N10" i="33"/>
  <c r="G17" i="33" s="1"/>
  <c r="AD4" i="19"/>
  <c r="AD10" i="19" s="1"/>
  <c r="I19" i="19" s="1"/>
  <c r="AB10" i="19"/>
  <c r="G19" i="19" s="1"/>
  <c r="AD10" i="18"/>
  <c r="I19" i="18" s="1"/>
  <c r="P4" i="18"/>
  <c r="P10" i="18" s="1"/>
  <c r="I17" i="18" s="1"/>
  <c r="N10" i="18"/>
  <c r="G17" i="18" s="1"/>
  <c r="G10" i="22"/>
  <c r="G16" i="22" s="1"/>
  <c r="I9" i="22"/>
  <c r="I10" i="22" s="1"/>
  <c r="AC10" i="29"/>
  <c r="AB10" i="32"/>
  <c r="G19" i="32" s="1"/>
  <c r="N10" i="30"/>
  <c r="G17" i="30" s="1"/>
  <c r="AD4" i="23"/>
  <c r="AD10" i="23" s="1"/>
  <c r="I19" i="23" s="1"/>
  <c r="AB10" i="23"/>
  <c r="G19" i="23" s="1"/>
  <c r="P4" i="23"/>
  <c r="P10" i="23" s="1"/>
  <c r="I17" i="23" s="1"/>
  <c r="N10" i="23"/>
  <c r="G17" i="23" s="1"/>
  <c r="W5" i="21"/>
  <c r="W10" i="21" s="1"/>
  <c r="U10" i="21"/>
  <c r="G18" i="21" s="1"/>
  <c r="AB10" i="30"/>
  <c r="G19" i="30" s="1"/>
  <c r="AD4" i="30"/>
  <c r="AD10" i="30" s="1"/>
  <c r="I19" i="30" s="1"/>
  <c r="W4" i="30"/>
  <c r="W10" i="30" s="1"/>
  <c r="I18" i="30" s="1"/>
  <c r="U10" i="30"/>
  <c r="G18" i="30" s="1"/>
  <c r="W4" i="19"/>
  <c r="W10" i="19" s="1"/>
  <c r="I18" i="19" s="1"/>
  <c r="U10" i="19"/>
  <c r="G18" i="19" s="1"/>
  <c r="AD10" i="3"/>
  <c r="AH10" i="3" s="1"/>
  <c r="M19" i="3" s="1"/>
  <c r="AD10" i="28"/>
  <c r="I19" i="28" s="1"/>
  <c r="W10" i="18"/>
  <c r="I18" i="18" s="1"/>
  <c r="N10" i="17"/>
  <c r="G17" i="17" s="1"/>
  <c r="AB10" i="18"/>
  <c r="G19" i="18" s="1"/>
  <c r="P4" i="31"/>
  <c r="P10" i="31" s="1"/>
  <c r="I17" i="31" s="1"/>
  <c r="N10" i="31"/>
  <c r="G17" i="31" s="1"/>
  <c r="J10" i="31"/>
  <c r="J16" i="31" s="1"/>
  <c r="I4" i="31"/>
  <c r="I10" i="31" s="1"/>
  <c r="G10" i="31"/>
  <c r="G16" i="31" s="1"/>
  <c r="AB10" i="20"/>
  <c r="G19" i="20" s="1"/>
  <c r="AD4" i="20"/>
  <c r="AD10" i="20" s="1"/>
  <c r="I19" i="20" s="1"/>
  <c r="I4" i="20"/>
  <c r="I10" i="20" s="1"/>
  <c r="G10" i="20"/>
  <c r="G16" i="20" s="1"/>
  <c r="I4" i="23"/>
  <c r="I10" i="23" s="1"/>
  <c r="I16" i="23" s="1"/>
  <c r="G10" i="23"/>
  <c r="G16" i="23" s="1"/>
  <c r="J10" i="19"/>
  <c r="J16" i="19" s="1"/>
  <c r="P5" i="21"/>
  <c r="P10" i="21" s="1"/>
  <c r="I17" i="21" s="1"/>
  <c r="N10" i="21"/>
  <c r="G17" i="21" s="1"/>
  <c r="G10" i="21"/>
  <c r="G16" i="21" s="1"/>
  <c r="I5" i="21"/>
  <c r="I10" i="21" s="1"/>
  <c r="I16" i="21" s="1"/>
  <c r="O10" i="19"/>
  <c r="AB10" i="17"/>
  <c r="G19" i="17" s="1"/>
  <c r="H10" i="29"/>
  <c r="U10" i="18"/>
  <c r="G18" i="18" s="1"/>
  <c r="O10" i="28"/>
  <c r="H17" i="28" s="1"/>
  <c r="H10" i="30"/>
  <c r="O10" i="30"/>
  <c r="U10" i="29"/>
  <c r="G18" i="29" s="1"/>
  <c r="AB10" i="31"/>
  <c r="G19" i="31" s="1"/>
  <c r="N10" i="20"/>
  <c r="G17" i="20" s="1"/>
  <c r="P4" i="20"/>
  <c r="P10" i="20" s="1"/>
  <c r="I17" i="20" s="1"/>
  <c r="W4" i="20"/>
  <c r="W10" i="20" s="1"/>
  <c r="U10" i="20"/>
  <c r="G18" i="20" s="1"/>
  <c r="AC10" i="23"/>
  <c r="AD5" i="21"/>
  <c r="AD10" i="21" s="1"/>
  <c r="I19" i="21" s="1"/>
  <c r="AB10" i="21"/>
  <c r="G19" i="21" s="1"/>
  <c r="I4" i="29"/>
  <c r="I10" i="29" s="1"/>
  <c r="I16" i="29" s="1"/>
  <c r="G10" i="29"/>
  <c r="G16" i="29" s="1"/>
  <c r="W4" i="28"/>
  <c r="W10" i="28" s="1"/>
  <c r="I18" i="28" s="1"/>
  <c r="U10" i="28"/>
  <c r="G18" i="28" s="1"/>
  <c r="N10" i="19"/>
  <c r="G17" i="19" s="1"/>
  <c r="P9" i="19"/>
  <c r="P10" i="19" s="1"/>
  <c r="I17" i="19" s="1"/>
  <c r="N10" i="22"/>
  <c r="G17" i="22" s="1"/>
  <c r="AC10" i="30"/>
  <c r="I4" i="30"/>
  <c r="I10" i="30" s="1"/>
  <c r="I16" i="30" s="1"/>
  <c r="G10" i="30"/>
  <c r="G16" i="30" s="1"/>
  <c r="J10" i="30"/>
  <c r="J16" i="30" s="1"/>
  <c r="X10" i="22"/>
  <c r="J18" i="22" s="1"/>
  <c r="AC10" i="17"/>
  <c r="H19" i="17" s="1"/>
  <c r="J10" i="29"/>
  <c r="J16" i="29" s="1"/>
  <c r="U10" i="24"/>
  <c r="G18" i="24" s="1"/>
  <c r="G10" i="3"/>
  <c r="G16" i="3" s="1"/>
  <c r="P10" i="3"/>
  <c r="I17" i="3" s="1"/>
  <c r="N10" i="3"/>
  <c r="G17" i="3" s="1"/>
  <c r="I10" i="3"/>
  <c r="I16" i="3" s="1"/>
  <c r="U10" i="3"/>
  <c r="G18" i="3" s="1"/>
  <c r="W10" i="3"/>
  <c r="AA10" i="3" s="1"/>
  <c r="M18" i="3" s="1"/>
  <c r="H16" i="3"/>
  <c r="H18" i="31"/>
  <c r="AA10" i="27" l="1"/>
  <c r="M18" i="27" s="1"/>
  <c r="P18" i="27" s="1"/>
  <c r="T10" i="24"/>
  <c r="M17" i="24" s="1"/>
  <c r="AH10" i="24"/>
  <c r="M19" i="24" s="1"/>
  <c r="M10" i="24"/>
  <c r="M16" i="24" s="1"/>
  <c r="AA10" i="17"/>
  <c r="M18" i="17" s="1"/>
  <c r="P18" i="17" s="1"/>
  <c r="AA10" i="32"/>
  <c r="M18" i="32" s="1"/>
  <c r="P18" i="32" s="1"/>
  <c r="AH10" i="31"/>
  <c r="M19" i="31" s="1"/>
  <c r="P19" i="31" s="1"/>
  <c r="M10" i="27"/>
  <c r="M16" i="27" s="1"/>
  <c r="I19" i="3"/>
  <c r="AA10" i="24"/>
  <c r="M18" i="24" s="1"/>
  <c r="M10" i="19"/>
  <c r="M16" i="19" s="1"/>
  <c r="AA10" i="33"/>
  <c r="M18" i="33" s="1"/>
  <c r="P18" i="33" s="1"/>
  <c r="T10" i="32"/>
  <c r="M17" i="32" s="1"/>
  <c r="AH10" i="18"/>
  <c r="M19" i="18" s="1"/>
  <c r="P19" i="18" s="1"/>
  <c r="T10" i="27"/>
  <c r="M17" i="27" s="1"/>
  <c r="H18" i="27"/>
  <c r="M10" i="3"/>
  <c r="M16" i="3" s="1"/>
  <c r="P18" i="3" s="1"/>
  <c r="I18" i="3"/>
  <c r="M10" i="17"/>
  <c r="M16" i="17" s="1"/>
  <c r="T10" i="17"/>
  <c r="M17" i="17" s="1"/>
  <c r="AH10" i="33"/>
  <c r="M19" i="33" s="1"/>
  <c r="P19" i="33" s="1"/>
  <c r="M10" i="33"/>
  <c r="M16" i="33" s="1"/>
  <c r="T10" i="33"/>
  <c r="M17" i="33" s="1"/>
  <c r="AH10" i="32"/>
  <c r="M19" i="32" s="1"/>
  <c r="P19" i="32" s="1"/>
  <c r="H17" i="32"/>
  <c r="M10" i="32"/>
  <c r="M16" i="32" s="1"/>
  <c r="AA10" i="31"/>
  <c r="M18" i="31" s="1"/>
  <c r="P18" i="31" s="1"/>
  <c r="AA10" i="19"/>
  <c r="M18" i="19" s="1"/>
  <c r="P18" i="19" s="1"/>
  <c r="T10" i="22"/>
  <c r="M17" i="22" s="1"/>
  <c r="AH10" i="22"/>
  <c r="M19" i="22" s="1"/>
  <c r="P19" i="22" s="1"/>
  <c r="T10" i="28"/>
  <c r="M17" i="28" s="1"/>
  <c r="AA10" i="22"/>
  <c r="M18" i="22" s="1"/>
  <c r="P18" i="22" s="1"/>
  <c r="M10" i="28"/>
  <c r="M16" i="28" s="1"/>
  <c r="T10" i="23"/>
  <c r="M17" i="23" s="1"/>
  <c r="AA10" i="23"/>
  <c r="M18" i="23" s="1"/>
  <c r="P18" i="23" s="1"/>
  <c r="AH10" i="27"/>
  <c r="M19" i="27" s="1"/>
  <c r="P19" i="27" s="1"/>
  <c r="AA10" i="28"/>
  <c r="M18" i="28" s="1"/>
  <c r="P18" i="28" s="1"/>
  <c r="AH10" i="28"/>
  <c r="M19" i="28" s="1"/>
  <c r="P19" i="28" s="1"/>
  <c r="I18" i="20"/>
  <c r="AA10" i="20"/>
  <c r="M18" i="20" s="1"/>
  <c r="P18" i="20" s="1"/>
  <c r="I16" i="22"/>
  <c r="M10" i="22"/>
  <c r="M16" i="22" s="1"/>
  <c r="I16" i="20"/>
  <c r="M10" i="20"/>
  <c r="M16" i="20" s="1"/>
  <c r="H16" i="29"/>
  <c r="M10" i="29"/>
  <c r="M16" i="29" s="1"/>
  <c r="I16" i="31"/>
  <c r="M10" i="31"/>
  <c r="M16" i="31" s="1"/>
  <c r="M10" i="21"/>
  <c r="M16" i="21" s="1"/>
  <c r="H17" i="19"/>
  <c r="T10" i="19"/>
  <c r="M17" i="19" s="1"/>
  <c r="O16" i="19" s="1"/>
  <c r="P16" i="19" s="1"/>
  <c r="T10" i="29"/>
  <c r="M17" i="29" s="1"/>
  <c r="AA10" i="30"/>
  <c r="M18" i="30" s="1"/>
  <c r="P18" i="30" s="1"/>
  <c r="AA10" i="29"/>
  <c r="M18" i="29" s="1"/>
  <c r="P18" i="29" s="1"/>
  <c r="T10" i="31"/>
  <c r="M17" i="31" s="1"/>
  <c r="T10" i="18"/>
  <c r="M17" i="18" s="1"/>
  <c r="H19" i="30"/>
  <c r="AH10" i="30"/>
  <c r="M19" i="30" s="1"/>
  <c r="P19" i="30" s="1"/>
  <c r="H19" i="23"/>
  <c r="AH10" i="23"/>
  <c r="M19" i="23" s="1"/>
  <c r="P19" i="23" s="1"/>
  <c r="M10" i="30"/>
  <c r="M16" i="30" s="1"/>
  <c r="H16" i="30"/>
  <c r="AH10" i="21"/>
  <c r="M19" i="21" s="1"/>
  <c r="P19" i="21" s="1"/>
  <c r="AH10" i="20"/>
  <c r="M19" i="20" s="1"/>
  <c r="P19" i="20" s="1"/>
  <c r="H19" i="29"/>
  <c r="AH10" i="29"/>
  <c r="M19" i="29" s="1"/>
  <c r="P19" i="29" s="1"/>
  <c r="AA10" i="18"/>
  <c r="M18" i="18" s="1"/>
  <c r="P18" i="18" s="1"/>
  <c r="AH10" i="19"/>
  <c r="M19" i="19" s="1"/>
  <c r="P19" i="19" s="1"/>
  <c r="T10" i="21"/>
  <c r="M17" i="21" s="1"/>
  <c r="H17" i="30"/>
  <c r="T10" i="30"/>
  <c r="M17" i="30" s="1"/>
  <c r="I18" i="21"/>
  <c r="AA10" i="21"/>
  <c r="M18" i="21" s="1"/>
  <c r="P18" i="21" s="1"/>
  <c r="T10" i="20"/>
  <c r="M17" i="20" s="1"/>
  <c r="AH10" i="17"/>
  <c r="M19" i="17" s="1"/>
  <c r="P19" i="17" s="1"/>
  <c r="M10" i="23"/>
  <c r="M16" i="23" s="1"/>
  <c r="H16" i="23"/>
  <c r="M10" i="18"/>
  <c r="M16" i="18" s="1"/>
  <c r="T10" i="3"/>
  <c r="M17" i="3" s="1"/>
  <c r="O17" i="24" l="1"/>
  <c r="P17" i="24" s="1"/>
  <c r="O16" i="24"/>
  <c r="P16" i="24" s="1"/>
  <c r="P19" i="3"/>
  <c r="P19" i="24"/>
  <c r="P18" i="24"/>
  <c r="O16" i="32"/>
  <c r="P16" i="32" s="1"/>
  <c r="S16" i="32" s="1"/>
  <c r="S16" i="19"/>
  <c r="T16" i="19" s="1"/>
  <c r="O16" i="27"/>
  <c r="P16" i="27" s="1"/>
  <c r="S16" i="27" s="1"/>
  <c r="O16" i="28"/>
  <c r="P16" i="28" s="1"/>
  <c r="O16" i="3"/>
  <c r="P16" i="3" s="1"/>
  <c r="S16" i="3" s="1"/>
  <c r="O17" i="27"/>
  <c r="P17" i="27" s="1"/>
  <c r="O17" i="17"/>
  <c r="P17" i="17" s="1"/>
  <c r="O17" i="22"/>
  <c r="S17" i="22" s="1"/>
  <c r="O16" i="17"/>
  <c r="P16" i="17" s="1"/>
  <c r="S16" i="17" s="1"/>
  <c r="T16" i="17" s="1"/>
  <c r="O17" i="33"/>
  <c r="S17" i="33" s="1"/>
  <c r="O16" i="33"/>
  <c r="P16" i="33" s="1"/>
  <c r="S16" i="33" s="1"/>
  <c r="T16" i="33" s="1"/>
  <c r="O17" i="32"/>
  <c r="O17" i="19"/>
  <c r="T19" i="19" s="1"/>
  <c r="O16" i="29"/>
  <c r="P16" i="29" s="1"/>
  <c r="S16" i="29" s="1"/>
  <c r="O17" i="28"/>
  <c r="P17" i="28" s="1"/>
  <c r="O16" i="22"/>
  <c r="P16" i="22" s="1"/>
  <c r="S16" i="22" s="1"/>
  <c r="T16" i="22" s="1"/>
  <c r="O16" i="23"/>
  <c r="P16" i="23" s="1"/>
  <c r="S16" i="23" s="1"/>
  <c r="T16" i="23" s="1"/>
  <c r="O17" i="20"/>
  <c r="S17" i="20" s="1"/>
  <c r="O17" i="31"/>
  <c r="P17" i="31" s="1"/>
  <c r="O16" i="30"/>
  <c r="P16" i="30" s="1"/>
  <c r="O17" i="18"/>
  <c r="O16" i="21"/>
  <c r="P16" i="21" s="1"/>
  <c r="S16" i="21" s="1"/>
  <c r="T16" i="21" s="1"/>
  <c r="O17" i="21"/>
  <c r="O17" i="23"/>
  <c r="O17" i="30"/>
  <c r="O17" i="29"/>
  <c r="O16" i="31"/>
  <c r="O16" i="20"/>
  <c r="O16" i="18"/>
  <c r="O17" i="3"/>
  <c r="P17" i="3" s="1"/>
  <c r="S18" i="19"/>
  <c r="T19" i="32" l="1"/>
  <c r="T16" i="32"/>
  <c r="T16" i="29"/>
  <c r="T16" i="27"/>
  <c r="T16" i="3"/>
  <c r="W19" i="19"/>
  <c r="AA19" i="19" s="1"/>
  <c r="S18" i="32"/>
  <c r="W18" i="32" s="1"/>
  <c r="S17" i="24"/>
  <c r="T17" i="24" s="1"/>
  <c r="T19" i="24"/>
  <c r="S18" i="24"/>
  <c r="T18" i="24" s="1"/>
  <c r="S16" i="24"/>
  <c r="T16" i="24" s="1"/>
  <c r="T19" i="3"/>
  <c r="P17" i="33"/>
  <c r="S17" i="17"/>
  <c r="W17" i="17" s="1"/>
  <c r="S18" i="27"/>
  <c r="W18" i="27" s="1"/>
  <c r="T19" i="30"/>
  <c r="S17" i="28"/>
  <c r="W17" i="28" s="1"/>
  <c r="S18" i="3"/>
  <c r="T18" i="3" s="1"/>
  <c r="T19" i="27"/>
  <c r="S17" i="27"/>
  <c r="T17" i="27" s="1"/>
  <c r="S17" i="3"/>
  <c r="T17" i="3" s="1"/>
  <c r="W17" i="22"/>
  <c r="P17" i="22"/>
  <c r="T17" i="22" s="1"/>
  <c r="S18" i="17"/>
  <c r="W18" i="17" s="1"/>
  <c r="T19" i="17"/>
  <c r="W19" i="17" s="1"/>
  <c r="AA19" i="17" s="1"/>
  <c r="S18" i="33"/>
  <c r="T18" i="33" s="1"/>
  <c r="T19" i="33"/>
  <c r="W19" i="33" s="1"/>
  <c r="AA19" i="33" s="1"/>
  <c r="S17" i="32"/>
  <c r="P17" i="32"/>
  <c r="S17" i="19"/>
  <c r="W17" i="19" s="1"/>
  <c r="P17" i="19"/>
  <c r="S17" i="31"/>
  <c r="T17" i="31" s="1"/>
  <c r="P17" i="20"/>
  <c r="T17" i="20" s="1"/>
  <c r="S18" i="22"/>
  <c r="T18" i="22" s="1"/>
  <c r="T19" i="28"/>
  <c r="T19" i="22"/>
  <c r="W16" i="22" s="1"/>
  <c r="X16" i="22" s="1"/>
  <c r="S18" i="23"/>
  <c r="W18" i="23" s="1"/>
  <c r="P17" i="18"/>
  <c r="S17" i="18"/>
  <c r="W17" i="18" s="1"/>
  <c r="P16" i="18"/>
  <c r="T19" i="18"/>
  <c r="P17" i="29"/>
  <c r="S17" i="29"/>
  <c r="S16" i="30"/>
  <c r="T16" i="30" s="1"/>
  <c r="S18" i="30"/>
  <c r="T19" i="20"/>
  <c r="P16" i="20"/>
  <c r="P17" i="23"/>
  <c r="S17" i="23"/>
  <c r="T19" i="23"/>
  <c r="T19" i="29"/>
  <c r="W19" i="29" s="1"/>
  <c r="P17" i="21"/>
  <c r="S17" i="21"/>
  <c r="P17" i="30"/>
  <c r="S17" i="30"/>
  <c r="W17" i="20"/>
  <c r="T19" i="31"/>
  <c r="P16" i="31"/>
  <c r="T19" i="21"/>
  <c r="W19" i="21" s="1"/>
  <c r="S18" i="29"/>
  <c r="S18" i="21"/>
  <c r="T18" i="19"/>
  <c r="W18" i="19"/>
  <c r="S16" i="28"/>
  <c r="T16" i="28" s="1"/>
  <c r="S18" i="28"/>
  <c r="W16" i="19"/>
  <c r="T17" i="33"/>
  <c r="W17" i="33"/>
  <c r="W19" i="27" l="1"/>
  <c r="X19" i="27" s="1"/>
  <c r="W16" i="32"/>
  <c r="X16" i="32" s="1"/>
  <c r="W19" i="32"/>
  <c r="AA19" i="32" s="1"/>
  <c r="W16" i="3"/>
  <c r="T18" i="32"/>
  <c r="X18" i="32" s="1"/>
  <c r="T18" i="27"/>
  <c r="W19" i="24"/>
  <c r="X19" i="24" s="1"/>
  <c r="W17" i="24"/>
  <c r="X17" i="24" s="1"/>
  <c r="W16" i="24"/>
  <c r="X16" i="24" s="1"/>
  <c r="W18" i="24"/>
  <c r="X18" i="24" s="1"/>
  <c r="W19" i="3"/>
  <c r="AA19" i="3" s="1"/>
  <c r="T17" i="17"/>
  <c r="X17" i="17" s="1"/>
  <c r="W16" i="30"/>
  <c r="AA16" i="30" s="1"/>
  <c r="T17" i="28"/>
  <c r="X17" i="28" s="1"/>
  <c r="X18" i="27"/>
  <c r="W16" i="27"/>
  <c r="AA16" i="27" s="1"/>
  <c r="AE16" i="27" s="1"/>
  <c r="W17" i="27"/>
  <c r="X17" i="27" s="1"/>
  <c r="W18" i="3"/>
  <c r="X18" i="3" s="1"/>
  <c r="W17" i="31"/>
  <c r="W16" i="17"/>
  <c r="AA16" i="17" s="1"/>
  <c r="AE16" i="17" s="1"/>
  <c r="W17" i="3"/>
  <c r="X17" i="3" s="1"/>
  <c r="W16" i="28"/>
  <c r="X16" i="28" s="1"/>
  <c r="X17" i="22"/>
  <c r="T18" i="17"/>
  <c r="X18" i="17" s="1"/>
  <c r="T17" i="19"/>
  <c r="X17" i="19" s="1"/>
  <c r="W19" i="22"/>
  <c r="AA19" i="22" s="1"/>
  <c r="T18" i="23"/>
  <c r="X18" i="23" s="1"/>
  <c r="X19" i="17"/>
  <c r="W16" i="33"/>
  <c r="AA16" i="33" s="1"/>
  <c r="AE16" i="33" s="1"/>
  <c r="X19" i="33"/>
  <c r="W18" i="33"/>
  <c r="X18" i="33" s="1"/>
  <c r="X17" i="33"/>
  <c r="X19" i="32"/>
  <c r="W17" i="32"/>
  <c r="T17" i="32"/>
  <c r="T17" i="18"/>
  <c r="X19" i="19"/>
  <c r="AB19" i="19" s="1"/>
  <c r="AA16" i="22"/>
  <c r="AE16" i="22" s="1"/>
  <c r="W18" i="22"/>
  <c r="X18" i="22" s="1"/>
  <c r="T18" i="21"/>
  <c r="W18" i="21"/>
  <c r="W19" i="28"/>
  <c r="X19" i="28" s="1"/>
  <c r="S16" i="31"/>
  <c r="T16" i="31" s="1"/>
  <c r="W16" i="31" s="1"/>
  <c r="S18" i="31"/>
  <c r="W18" i="30"/>
  <c r="T18" i="30"/>
  <c r="T17" i="29"/>
  <c r="W17" i="29"/>
  <c r="AA19" i="29"/>
  <c r="X19" i="29"/>
  <c r="S16" i="20"/>
  <c r="T16" i="20" s="1"/>
  <c r="W16" i="20" s="1"/>
  <c r="S18" i="20"/>
  <c r="W18" i="29"/>
  <c r="T18" i="29"/>
  <c r="W19" i="23"/>
  <c r="W16" i="23"/>
  <c r="W16" i="29"/>
  <c r="T17" i="30"/>
  <c r="W17" i="30"/>
  <c r="X19" i="21"/>
  <c r="AA19" i="21"/>
  <c r="T17" i="21"/>
  <c r="W17" i="21"/>
  <c r="W17" i="23"/>
  <c r="T17" i="23"/>
  <c r="W16" i="21"/>
  <c r="S16" i="18"/>
  <c r="S18" i="18"/>
  <c r="W19" i="30"/>
  <c r="X16" i="19"/>
  <c r="AA16" i="19"/>
  <c r="W18" i="28"/>
  <c r="T18" i="28"/>
  <c r="X18" i="19"/>
  <c r="AA16" i="3"/>
  <c r="X16" i="3"/>
  <c r="AA19" i="27" l="1"/>
  <c r="AB19" i="27" s="1"/>
  <c r="AA16" i="32"/>
  <c r="AE16" i="32" s="1"/>
  <c r="X16" i="27"/>
  <c r="AB16" i="27" s="1"/>
  <c r="AF16" i="27" s="1"/>
  <c r="AA19" i="24"/>
  <c r="AB19" i="24" s="1"/>
  <c r="AA16" i="24"/>
  <c r="AE16" i="24" s="1"/>
  <c r="AI16" i="24" s="1"/>
  <c r="AA18" i="24"/>
  <c r="AB18" i="24" s="1"/>
  <c r="X19" i="3"/>
  <c r="AB16" i="32"/>
  <c r="AF16" i="32" s="1"/>
  <c r="X16" i="17"/>
  <c r="AB16" i="17" s="1"/>
  <c r="AF16" i="17" s="1"/>
  <c r="AB19" i="17"/>
  <c r="X16" i="30"/>
  <c r="AB16" i="30" s="1"/>
  <c r="AA17" i="22"/>
  <c r="AB17" i="22" s="1"/>
  <c r="AA17" i="27"/>
  <c r="AB17" i="27" s="1"/>
  <c r="AA19" i="28"/>
  <c r="AB19" i="28" s="1"/>
  <c r="X18" i="30"/>
  <c r="AA18" i="33"/>
  <c r="AB18" i="33" s="1"/>
  <c r="AA16" i="28"/>
  <c r="AE16" i="28" s="1"/>
  <c r="X16" i="33"/>
  <c r="AB16" i="33" s="1"/>
  <c r="AF16" i="33" s="1"/>
  <c r="AA17" i="3"/>
  <c r="AB17" i="3" s="1"/>
  <c r="X18" i="21"/>
  <c r="X19" i="22"/>
  <c r="AB19" i="22" s="1"/>
  <c r="AB19" i="33"/>
  <c r="AA17" i="33"/>
  <c r="AB17" i="33" s="1"/>
  <c r="AA17" i="17"/>
  <c r="AB17" i="17" s="1"/>
  <c r="AB19" i="32"/>
  <c r="X17" i="32"/>
  <c r="AA17" i="32" s="1"/>
  <c r="AB17" i="32" s="1"/>
  <c r="X17" i="31"/>
  <c r="AA17" i="19"/>
  <c r="AB17" i="19" s="1"/>
  <c r="AE19" i="19" s="1"/>
  <c r="X17" i="20"/>
  <c r="AB16" i="22"/>
  <c r="AF16" i="22" s="1"/>
  <c r="AA18" i="27"/>
  <c r="X17" i="23"/>
  <c r="AA17" i="23" s="1"/>
  <c r="AB17" i="23" s="1"/>
  <c r="W19" i="31"/>
  <c r="X19" i="31" s="1"/>
  <c r="X17" i="29"/>
  <c r="X17" i="21"/>
  <c r="X17" i="30"/>
  <c r="W18" i="18"/>
  <c r="T18" i="18"/>
  <c r="AA19" i="23"/>
  <c r="X19" i="23"/>
  <c r="W18" i="20"/>
  <c r="T18" i="20"/>
  <c r="AA16" i="20"/>
  <c r="X16" i="20"/>
  <c r="X16" i="21"/>
  <c r="AA16" i="21"/>
  <c r="W19" i="20"/>
  <c r="AA16" i="31"/>
  <c r="X16" i="31"/>
  <c r="T16" i="18"/>
  <c r="X17" i="18"/>
  <c r="AE16" i="30"/>
  <c r="X16" i="29"/>
  <c r="AA16" i="29"/>
  <c r="T18" i="31"/>
  <c r="W18" i="31"/>
  <c r="AA18" i="22"/>
  <c r="AE18" i="22" s="1"/>
  <c r="X19" i="30"/>
  <c r="AA19" i="30"/>
  <c r="AB19" i="21"/>
  <c r="X16" i="23"/>
  <c r="AA16" i="23"/>
  <c r="X18" i="29"/>
  <c r="AB19" i="29"/>
  <c r="AB19" i="3"/>
  <c r="AA18" i="3"/>
  <c r="AB18" i="3" s="1"/>
  <c r="AA17" i="24"/>
  <c r="AB17" i="24" s="1"/>
  <c r="AI16" i="17"/>
  <c r="AI16" i="27"/>
  <c r="AI16" i="22"/>
  <c r="AB16" i="3"/>
  <c r="AE16" i="3"/>
  <c r="AA18" i="19"/>
  <c r="AI16" i="32"/>
  <c r="AB16" i="19"/>
  <c r="AE16" i="19"/>
  <c r="AI16" i="33"/>
  <c r="AA18" i="17"/>
  <c r="X18" i="28"/>
  <c r="AA18" i="28" s="1"/>
  <c r="AE17" i="17" l="1"/>
  <c r="AF17" i="17" s="1"/>
  <c r="AE18" i="33"/>
  <c r="AB16" i="28"/>
  <c r="AB16" i="24"/>
  <c r="AF16" i="24" s="1"/>
  <c r="AJ16" i="24" s="1"/>
  <c r="J28" i="24" s="1"/>
  <c r="AE18" i="24"/>
  <c r="AF18" i="24" s="1"/>
  <c r="AE19" i="17"/>
  <c r="AF19" i="17" s="1"/>
  <c r="AI17" i="17"/>
  <c r="F29" i="17" s="1"/>
  <c r="AA17" i="30"/>
  <c r="AB17" i="30" s="1"/>
  <c r="AE19" i="22"/>
  <c r="AF19" i="22" s="1"/>
  <c r="AE17" i="27"/>
  <c r="AF17" i="27" s="1"/>
  <c r="AE19" i="27"/>
  <c r="AF19" i="27" s="1"/>
  <c r="AE17" i="3"/>
  <c r="AF17" i="3" s="1"/>
  <c r="AA17" i="21"/>
  <c r="AB17" i="21" s="1"/>
  <c r="AE19" i="21" s="1"/>
  <c r="AE17" i="22"/>
  <c r="AF17" i="22" s="1"/>
  <c r="AA18" i="23"/>
  <c r="AE18" i="23" s="1"/>
  <c r="AE17" i="33"/>
  <c r="AI17" i="33" s="1"/>
  <c r="K29" i="33" s="1"/>
  <c r="AE19" i="33"/>
  <c r="AF19" i="33" s="1"/>
  <c r="AF18" i="33"/>
  <c r="AE17" i="32"/>
  <c r="AI17" i="32" s="1"/>
  <c r="AE19" i="32"/>
  <c r="AA18" i="32"/>
  <c r="AB18" i="32" s="1"/>
  <c r="X18" i="18"/>
  <c r="AA17" i="18" s="1"/>
  <c r="AF19" i="19"/>
  <c r="AE17" i="19"/>
  <c r="AI17" i="19" s="1"/>
  <c r="AA19" i="31"/>
  <c r="AB19" i="31" s="1"/>
  <c r="X18" i="20"/>
  <c r="AA17" i="20" s="1"/>
  <c r="AB17" i="20" s="1"/>
  <c r="AA18" i="30"/>
  <c r="AB18" i="30" s="1"/>
  <c r="AA18" i="21"/>
  <c r="AE18" i="21" s="1"/>
  <c r="AA18" i="29"/>
  <c r="AE18" i="29" s="1"/>
  <c r="AE18" i="27"/>
  <c r="AB18" i="27"/>
  <c r="AA17" i="28"/>
  <c r="AB17" i="28" s="1"/>
  <c r="AE17" i="28" s="1"/>
  <c r="AI17" i="28" s="1"/>
  <c r="AB18" i="22"/>
  <c r="AF18" i="22" s="1"/>
  <c r="AE16" i="23"/>
  <c r="AB16" i="23"/>
  <c r="AA17" i="29"/>
  <c r="AB17" i="29" s="1"/>
  <c r="AE17" i="29" s="1"/>
  <c r="AE16" i="21"/>
  <c r="AB16" i="21"/>
  <c r="AE16" i="29"/>
  <c r="AB16" i="29"/>
  <c r="X18" i="31"/>
  <c r="W16" i="18"/>
  <c r="W19" i="18"/>
  <c r="AB16" i="31"/>
  <c r="AE16" i="31"/>
  <c r="AB19" i="23"/>
  <c r="AB19" i="30"/>
  <c r="AF16" i="30"/>
  <c r="AI16" i="30"/>
  <c r="AA19" i="20"/>
  <c r="X19" i="20"/>
  <c r="AE16" i="20"/>
  <c r="AB16" i="20"/>
  <c r="AE19" i="3"/>
  <c r="AF19" i="3" s="1"/>
  <c r="AE17" i="24"/>
  <c r="AI17" i="24" s="1"/>
  <c r="AE18" i="3"/>
  <c r="AF18" i="3" s="1"/>
  <c r="AE19" i="24"/>
  <c r="AE18" i="17"/>
  <c r="AB18" i="17"/>
  <c r="AF16" i="28"/>
  <c r="AI16" i="28"/>
  <c r="L28" i="32"/>
  <c r="K28" i="32"/>
  <c r="AJ16" i="32"/>
  <c r="J28" i="32" s="1"/>
  <c r="F28" i="32"/>
  <c r="AF16" i="19"/>
  <c r="AI16" i="19"/>
  <c r="AJ16" i="22"/>
  <c r="J28" i="22" s="1"/>
  <c r="L28" i="22"/>
  <c r="F28" i="22"/>
  <c r="K28" i="22"/>
  <c r="AI16" i="3"/>
  <c r="AF16" i="3"/>
  <c r="AJ16" i="27"/>
  <c r="J28" i="27" s="1"/>
  <c r="L28" i="27"/>
  <c r="F28" i="27"/>
  <c r="K28" i="27"/>
  <c r="L28" i="24"/>
  <c r="F28" i="24"/>
  <c r="K28" i="24"/>
  <c r="K28" i="17"/>
  <c r="AJ16" i="17"/>
  <c r="J28" i="17" s="1"/>
  <c r="F28" i="17"/>
  <c r="L28" i="17"/>
  <c r="AE18" i="28"/>
  <c r="AB18" i="28"/>
  <c r="K28" i="33"/>
  <c r="AJ16" i="33"/>
  <c r="J28" i="33" s="1"/>
  <c r="L28" i="33"/>
  <c r="F28" i="33"/>
  <c r="AE18" i="19"/>
  <c r="AB18" i="19"/>
  <c r="AF17" i="32" l="1"/>
  <c r="AJ17" i="32" s="1"/>
  <c r="J29" i="32" s="1"/>
  <c r="AI17" i="27"/>
  <c r="F29" i="27" s="1"/>
  <c r="AF19" i="24"/>
  <c r="AI18" i="24" s="1"/>
  <c r="L30" i="24" s="1"/>
  <c r="AI17" i="3"/>
  <c r="L29" i="3" s="1"/>
  <c r="AF17" i="19"/>
  <c r="K29" i="17"/>
  <c r="AJ17" i="17"/>
  <c r="J29" i="17" s="1"/>
  <c r="L29" i="17"/>
  <c r="L29" i="33"/>
  <c r="M29" i="33" s="1"/>
  <c r="AE18" i="30"/>
  <c r="AF18" i="30" s="1"/>
  <c r="AB18" i="29"/>
  <c r="AF18" i="29" s="1"/>
  <c r="AF17" i="28"/>
  <c r="AJ17" i="28" s="1"/>
  <c r="J29" i="28" s="1"/>
  <c r="AE18" i="32"/>
  <c r="AF18" i="32" s="1"/>
  <c r="AB18" i="23"/>
  <c r="AF18" i="23" s="1"/>
  <c r="AF19" i="21"/>
  <c r="AE17" i="21"/>
  <c r="AF17" i="21" s="1"/>
  <c r="AB18" i="21"/>
  <c r="AF18" i="21" s="1"/>
  <c r="AI17" i="22"/>
  <c r="K29" i="22" s="1"/>
  <c r="F29" i="33"/>
  <c r="AF17" i="33"/>
  <c r="AJ17" i="33" s="1"/>
  <c r="J29" i="33" s="1"/>
  <c r="AI18" i="33"/>
  <c r="L30" i="33" s="1"/>
  <c r="AI19" i="33"/>
  <c r="AJ19" i="33" s="1"/>
  <c r="J31" i="33" s="1"/>
  <c r="AF19" i="32"/>
  <c r="AA18" i="18"/>
  <c r="AB18" i="18" s="1"/>
  <c r="AB17" i="18"/>
  <c r="AF18" i="19"/>
  <c r="AI18" i="19" s="1"/>
  <c r="L30" i="19" s="1"/>
  <c r="AA18" i="20"/>
  <c r="AB18" i="20" s="1"/>
  <c r="AE19" i="28"/>
  <c r="AF19" i="28" s="1"/>
  <c r="AF18" i="27"/>
  <c r="AI18" i="27" s="1"/>
  <c r="M28" i="27"/>
  <c r="AB19" i="20"/>
  <c r="AE17" i="20" s="1"/>
  <c r="AI19" i="22"/>
  <c r="AI18" i="22"/>
  <c r="K30" i="22" s="1"/>
  <c r="AF16" i="20"/>
  <c r="AI16" i="20"/>
  <c r="L28" i="30"/>
  <c r="F28" i="30"/>
  <c r="K28" i="30"/>
  <c r="AJ16" i="30"/>
  <c r="J28" i="30" s="1"/>
  <c r="X19" i="18"/>
  <c r="AA19" i="18"/>
  <c r="AE19" i="29"/>
  <c r="AF19" i="29" s="1"/>
  <c r="AA16" i="18"/>
  <c r="X16" i="18"/>
  <c r="AF17" i="29"/>
  <c r="AI17" i="29"/>
  <c r="AE17" i="30"/>
  <c r="AE19" i="30"/>
  <c r="AF19" i="30" s="1"/>
  <c r="AF16" i="31"/>
  <c r="AI16" i="31"/>
  <c r="AA18" i="31"/>
  <c r="AA17" i="31"/>
  <c r="AB17" i="31" s="1"/>
  <c r="AE17" i="31" s="1"/>
  <c r="AI16" i="21"/>
  <c r="AF16" i="21"/>
  <c r="AF16" i="29"/>
  <c r="AI16" i="29"/>
  <c r="AE19" i="23"/>
  <c r="AF19" i="23" s="1"/>
  <c r="AE17" i="23"/>
  <c r="AF16" i="23"/>
  <c r="AI16" i="23"/>
  <c r="AF17" i="24"/>
  <c r="AJ17" i="24" s="1"/>
  <c r="J29" i="24" s="1"/>
  <c r="F28" i="28"/>
  <c r="AJ16" i="28"/>
  <c r="J28" i="28" s="1"/>
  <c r="K28" i="28"/>
  <c r="L28" i="28"/>
  <c r="AI18" i="3"/>
  <c r="AI19" i="3"/>
  <c r="AF18" i="28"/>
  <c r="M28" i="17"/>
  <c r="K29" i="24"/>
  <c r="F29" i="24"/>
  <c r="L29" i="24"/>
  <c r="AJ17" i="27"/>
  <c r="J29" i="27" s="1"/>
  <c r="K28" i="3"/>
  <c r="F28" i="3"/>
  <c r="L28" i="3"/>
  <c r="AJ16" i="3"/>
  <c r="J28" i="3" s="1"/>
  <c r="K29" i="32"/>
  <c r="F29" i="32"/>
  <c r="L29" i="32"/>
  <c r="M28" i="33"/>
  <c r="M28" i="24"/>
  <c r="K29" i="19"/>
  <c r="AJ17" i="19"/>
  <c r="J29" i="19" s="1"/>
  <c r="F29" i="19"/>
  <c r="L29" i="19"/>
  <c r="M28" i="22"/>
  <c r="AJ16" i="19"/>
  <c r="J28" i="19" s="1"/>
  <c r="L28" i="19"/>
  <c r="K28" i="19"/>
  <c r="F28" i="19"/>
  <c r="M28" i="32"/>
  <c r="L29" i="28"/>
  <c r="F29" i="28"/>
  <c r="K29" i="28"/>
  <c r="AF18" i="17"/>
  <c r="AI18" i="17" s="1"/>
  <c r="L29" i="27" l="1"/>
  <c r="K29" i="27"/>
  <c r="M29" i="27" s="1"/>
  <c r="O29" i="27" s="1"/>
  <c r="AI19" i="24"/>
  <c r="K31" i="24" s="1"/>
  <c r="K29" i="3"/>
  <c r="M29" i="3" s="1"/>
  <c r="F29" i="3"/>
  <c r="AJ17" i="3"/>
  <c r="J29" i="3" s="1"/>
  <c r="AI17" i="21"/>
  <c r="L29" i="21" s="1"/>
  <c r="M29" i="17"/>
  <c r="O28" i="17" s="1"/>
  <c r="P28" i="17" s="1"/>
  <c r="AJ18" i="33"/>
  <c r="J30" i="33" s="1"/>
  <c r="AE19" i="20"/>
  <c r="AF19" i="20" s="1"/>
  <c r="AI19" i="29"/>
  <c r="L31" i="29" s="1"/>
  <c r="AI19" i="32"/>
  <c r="K31" i="32" s="1"/>
  <c r="F30" i="33"/>
  <c r="O30" i="33" s="1"/>
  <c r="AE18" i="18"/>
  <c r="AF18" i="18" s="1"/>
  <c r="AI18" i="21"/>
  <c r="F30" i="21" s="1"/>
  <c r="O30" i="21" s="1"/>
  <c r="F29" i="22"/>
  <c r="L29" i="22"/>
  <c r="M29" i="22" s="1"/>
  <c r="AJ17" i="22"/>
  <c r="J29" i="22" s="1"/>
  <c r="K30" i="33"/>
  <c r="M30" i="33" s="1"/>
  <c r="F31" i="33"/>
  <c r="O31" i="33" s="1"/>
  <c r="S31" i="33" s="1"/>
  <c r="K31" i="33"/>
  <c r="L31" i="33"/>
  <c r="AI18" i="32"/>
  <c r="AJ18" i="32" s="1"/>
  <c r="J30" i="32" s="1"/>
  <c r="F30" i="19"/>
  <c r="O30" i="19" s="1"/>
  <c r="K30" i="19"/>
  <c r="M30" i="19" s="1"/>
  <c r="AJ18" i="19"/>
  <c r="J30" i="19" s="1"/>
  <c r="AI19" i="19"/>
  <c r="AJ19" i="19" s="1"/>
  <c r="J31" i="19" s="1"/>
  <c r="AE18" i="20"/>
  <c r="AF18" i="20" s="1"/>
  <c r="AI18" i="30"/>
  <c r="F30" i="30" s="1"/>
  <c r="O30" i="30" s="1"/>
  <c r="AJ18" i="22"/>
  <c r="J30" i="22" s="1"/>
  <c r="M28" i="28"/>
  <c r="AI18" i="28"/>
  <c r="F30" i="28" s="1"/>
  <c r="O30" i="28" s="1"/>
  <c r="F30" i="22"/>
  <c r="O30" i="22" s="1"/>
  <c r="M29" i="28"/>
  <c r="L30" i="22"/>
  <c r="M30" i="22" s="1"/>
  <c r="AI19" i="27"/>
  <c r="AI19" i="23"/>
  <c r="L31" i="23" s="1"/>
  <c r="K30" i="27"/>
  <c r="L30" i="27"/>
  <c r="F30" i="27"/>
  <c r="O30" i="27" s="1"/>
  <c r="AJ18" i="27"/>
  <c r="J30" i="27" s="1"/>
  <c r="AF17" i="20"/>
  <c r="AI17" i="20"/>
  <c r="AE19" i="31"/>
  <c r="AF19" i="31" s="1"/>
  <c r="O28" i="33"/>
  <c r="P28" i="33" s="1"/>
  <c r="M28" i="30"/>
  <c r="AJ16" i="23"/>
  <c r="J28" i="23" s="1"/>
  <c r="L28" i="23"/>
  <c r="F28" i="23"/>
  <c r="K28" i="23"/>
  <c r="AI17" i="23"/>
  <c r="AF17" i="23"/>
  <c r="K28" i="21"/>
  <c r="F28" i="21"/>
  <c r="AJ16" i="21"/>
  <c r="J28" i="21" s="1"/>
  <c r="L28" i="21"/>
  <c r="AB18" i="31"/>
  <c r="AE18" i="31"/>
  <c r="AF17" i="30"/>
  <c r="AI17" i="30"/>
  <c r="AJ16" i="20"/>
  <c r="J28" i="20" s="1"/>
  <c r="L28" i="20"/>
  <c r="K28" i="20"/>
  <c r="F28" i="20"/>
  <c r="L28" i="29"/>
  <c r="F28" i="29"/>
  <c r="AJ16" i="29"/>
  <c r="J28" i="29" s="1"/>
  <c r="K28" i="29"/>
  <c r="AJ16" i="31"/>
  <c r="J28" i="31" s="1"/>
  <c r="L28" i="31"/>
  <c r="F28" i="31"/>
  <c r="K28" i="31"/>
  <c r="AI18" i="23"/>
  <c r="AB16" i="18"/>
  <c r="AE16" i="18"/>
  <c r="F31" i="29"/>
  <c r="O31" i="29" s="1"/>
  <c r="AI18" i="29"/>
  <c r="M29" i="32"/>
  <c r="O29" i="32" s="1"/>
  <c r="P29" i="32" s="1"/>
  <c r="M28" i="19"/>
  <c r="AI19" i="17"/>
  <c r="F31" i="17" s="1"/>
  <c r="O31" i="17" s="1"/>
  <c r="M29" i="19"/>
  <c r="O29" i="33"/>
  <c r="P29" i="33" s="1"/>
  <c r="AI19" i="28"/>
  <c r="F31" i="28" s="1"/>
  <c r="O31" i="28" s="1"/>
  <c r="AI19" i="21"/>
  <c r="AF17" i="31"/>
  <c r="AI17" i="31"/>
  <c r="AI19" i="30"/>
  <c r="AJ17" i="29"/>
  <c r="J29" i="29" s="1"/>
  <c r="K29" i="29"/>
  <c r="F29" i="29"/>
  <c r="L29" i="29"/>
  <c r="AB19" i="18"/>
  <c r="F31" i="22"/>
  <c r="O31" i="22" s="1"/>
  <c r="K31" i="22"/>
  <c r="L31" i="22"/>
  <c r="AJ19" i="22"/>
  <c r="J31" i="22" s="1"/>
  <c r="K30" i="24"/>
  <c r="M30" i="24" s="1"/>
  <c r="AJ18" i="24"/>
  <c r="J30" i="24" s="1"/>
  <c r="M28" i="3"/>
  <c r="F30" i="24"/>
  <c r="O30" i="24" s="1"/>
  <c r="F31" i="24"/>
  <c r="O31" i="24" s="1"/>
  <c r="M29" i="24"/>
  <c r="O28" i="24" s="1"/>
  <c r="Q28" i="24" s="1"/>
  <c r="F31" i="3"/>
  <c r="O31" i="3" s="1"/>
  <c r="K31" i="3"/>
  <c r="L31" i="3"/>
  <c r="AJ19" i="3"/>
  <c r="J31" i="3" s="1"/>
  <c r="F30" i="17"/>
  <c r="O30" i="17" s="1"/>
  <c r="L30" i="17"/>
  <c r="AJ18" i="17"/>
  <c r="J30" i="17" s="1"/>
  <c r="K30" i="17"/>
  <c r="F30" i="3"/>
  <c r="O30" i="3" s="1"/>
  <c r="K30" i="3"/>
  <c r="AJ18" i="3"/>
  <c r="J30" i="3" s="1"/>
  <c r="L30" i="3"/>
  <c r="O29" i="17" l="1"/>
  <c r="Q29" i="17" s="1"/>
  <c r="P30" i="33"/>
  <c r="K29" i="21"/>
  <c r="M29" i="21" s="1"/>
  <c r="AJ17" i="21"/>
  <c r="J29" i="21" s="1"/>
  <c r="F29" i="21"/>
  <c r="AJ19" i="24"/>
  <c r="J31" i="24" s="1"/>
  <c r="P31" i="24" s="1"/>
  <c r="L31" i="24"/>
  <c r="M31" i="24" s="1"/>
  <c r="Q31" i="24" s="1"/>
  <c r="Q28" i="17"/>
  <c r="Q30" i="33"/>
  <c r="Q29" i="32"/>
  <c r="F31" i="32"/>
  <c r="O31" i="32" s="1"/>
  <c r="S31" i="32" s="1"/>
  <c r="AJ19" i="32"/>
  <c r="J31" i="32" s="1"/>
  <c r="L31" i="32"/>
  <c r="M31" i="32" s="1"/>
  <c r="AI18" i="20"/>
  <c r="AJ18" i="20" s="1"/>
  <c r="J30" i="20" s="1"/>
  <c r="AJ19" i="29"/>
  <c r="J31" i="29" s="1"/>
  <c r="K31" i="29"/>
  <c r="M31" i="29" s="1"/>
  <c r="O29" i="28"/>
  <c r="P29" i="28" s="1"/>
  <c r="AJ19" i="28"/>
  <c r="J31" i="28" s="1"/>
  <c r="P31" i="28" s="1"/>
  <c r="AJ18" i="28"/>
  <c r="J30" i="28" s="1"/>
  <c r="P30" i="28" s="1"/>
  <c r="P30" i="19"/>
  <c r="K30" i="21"/>
  <c r="AJ18" i="30"/>
  <c r="J30" i="30" s="1"/>
  <c r="L30" i="21"/>
  <c r="AJ18" i="21"/>
  <c r="J30" i="21" s="1"/>
  <c r="P30" i="21" s="1"/>
  <c r="O28" i="22"/>
  <c r="O29" i="22"/>
  <c r="P29" i="22" s="1"/>
  <c r="K31" i="23"/>
  <c r="M31" i="23" s="1"/>
  <c r="AJ19" i="23"/>
  <c r="J31" i="23" s="1"/>
  <c r="F31" i="23"/>
  <c r="O31" i="23" s="1"/>
  <c r="S31" i="23" s="1"/>
  <c r="O29" i="19"/>
  <c r="Q29" i="19" s="1"/>
  <c r="P30" i="22"/>
  <c r="L31" i="17"/>
  <c r="AJ19" i="17"/>
  <c r="J31" i="17" s="1"/>
  <c r="P31" i="17" s="1"/>
  <c r="M31" i="33"/>
  <c r="Q31" i="33" s="1"/>
  <c r="U31" i="33" s="1"/>
  <c r="K31" i="17"/>
  <c r="P31" i="33"/>
  <c r="T31" i="33" s="1"/>
  <c r="Q28" i="33"/>
  <c r="Q29" i="33"/>
  <c r="S29" i="33"/>
  <c r="W29" i="33" s="1"/>
  <c r="S29" i="32"/>
  <c r="F30" i="32"/>
  <c r="O30" i="32" s="1"/>
  <c r="P30" i="32" s="1"/>
  <c r="L30" i="32"/>
  <c r="K30" i="32"/>
  <c r="K31" i="19"/>
  <c r="L31" i="19"/>
  <c r="Q30" i="19"/>
  <c r="F31" i="19"/>
  <c r="O31" i="19" s="1"/>
  <c r="S31" i="19" s="1"/>
  <c r="AF18" i="31"/>
  <c r="AI18" i="31" s="1"/>
  <c r="AJ18" i="31" s="1"/>
  <c r="J30" i="31" s="1"/>
  <c r="AI19" i="20"/>
  <c r="F31" i="20" s="1"/>
  <c r="O31" i="20" s="1"/>
  <c r="K30" i="30"/>
  <c r="L30" i="30"/>
  <c r="M28" i="29"/>
  <c r="Q30" i="22"/>
  <c r="L30" i="28"/>
  <c r="O28" i="28"/>
  <c r="P28" i="28" s="1"/>
  <c r="K30" i="28"/>
  <c r="K31" i="28"/>
  <c r="L31" i="28"/>
  <c r="F31" i="27"/>
  <c r="O31" i="27" s="1"/>
  <c r="S31" i="27" s="1"/>
  <c r="L31" i="27"/>
  <c r="AJ19" i="27"/>
  <c r="J31" i="27" s="1"/>
  <c r="K31" i="27"/>
  <c r="P30" i="27"/>
  <c r="M30" i="27"/>
  <c r="Q30" i="27" s="1"/>
  <c r="M30" i="17"/>
  <c r="Q30" i="17" s="1"/>
  <c r="M31" i="22"/>
  <c r="Q31" i="22" s="1"/>
  <c r="M29" i="29"/>
  <c r="M28" i="20"/>
  <c r="O28" i="32"/>
  <c r="P28" i="32" s="1"/>
  <c r="AJ17" i="20"/>
  <c r="J29" i="20" s="1"/>
  <c r="L29" i="20"/>
  <c r="K29" i="20"/>
  <c r="F29" i="20"/>
  <c r="O28" i="19"/>
  <c r="P28" i="19" s="1"/>
  <c r="P31" i="22"/>
  <c r="S31" i="22"/>
  <c r="K30" i="29"/>
  <c r="F30" i="29"/>
  <c r="O30" i="29" s="1"/>
  <c r="L30" i="29"/>
  <c r="AJ18" i="29"/>
  <c r="J30" i="29" s="1"/>
  <c r="S31" i="29"/>
  <c r="M28" i="21"/>
  <c r="AE19" i="18"/>
  <c r="AF19" i="18" s="1"/>
  <c r="AI19" i="18" s="1"/>
  <c r="AE17" i="18"/>
  <c r="AF16" i="18"/>
  <c r="AI16" i="18"/>
  <c r="AJ17" i="30"/>
  <c r="J29" i="30" s="1"/>
  <c r="F29" i="30"/>
  <c r="K29" i="30"/>
  <c r="L29" i="30"/>
  <c r="AJ19" i="30"/>
  <c r="J31" i="30" s="1"/>
  <c r="K31" i="30"/>
  <c r="F31" i="30"/>
  <c r="O31" i="30" s="1"/>
  <c r="L31" i="30"/>
  <c r="L31" i="21"/>
  <c r="AJ19" i="21"/>
  <c r="J31" i="21" s="1"/>
  <c r="F31" i="21"/>
  <c r="O31" i="21" s="1"/>
  <c r="K31" i="21"/>
  <c r="M28" i="31"/>
  <c r="L29" i="23"/>
  <c r="AJ17" i="23"/>
  <c r="J29" i="23" s="1"/>
  <c r="K29" i="23"/>
  <c r="F29" i="23"/>
  <c r="O28" i="27"/>
  <c r="P28" i="27" s="1"/>
  <c r="K29" i="31"/>
  <c r="F29" i="31"/>
  <c r="AJ17" i="31"/>
  <c r="J29" i="31" s="1"/>
  <c r="L29" i="31"/>
  <c r="L30" i="23"/>
  <c r="AJ18" i="23"/>
  <c r="J30" i="23" s="1"/>
  <c r="F30" i="23"/>
  <c r="O30" i="23" s="1"/>
  <c r="K30" i="23"/>
  <c r="M28" i="23"/>
  <c r="O28" i="3"/>
  <c r="P28" i="3" s="1"/>
  <c r="P30" i="24"/>
  <c r="Q30" i="24"/>
  <c r="O29" i="24"/>
  <c r="S29" i="24" s="1"/>
  <c r="M31" i="3"/>
  <c r="Q31" i="3" s="1"/>
  <c r="P28" i="24"/>
  <c r="M30" i="3"/>
  <c r="Q30" i="3" s="1"/>
  <c r="S31" i="24"/>
  <c r="P29" i="27"/>
  <c r="S29" i="27"/>
  <c r="Q29" i="27"/>
  <c r="S31" i="17"/>
  <c r="P30" i="3"/>
  <c r="O29" i="3"/>
  <c r="P31" i="3"/>
  <c r="S31" i="3"/>
  <c r="S31" i="28"/>
  <c r="P30" i="17"/>
  <c r="P29" i="17" l="1"/>
  <c r="S29" i="17"/>
  <c r="W29" i="17" s="1"/>
  <c r="S30" i="33"/>
  <c r="U30" i="33" s="1"/>
  <c r="O29" i="21"/>
  <c r="P29" i="21" s="1"/>
  <c r="Q29" i="28"/>
  <c r="K30" i="20"/>
  <c r="M31" i="17"/>
  <c r="Q31" i="17" s="1"/>
  <c r="U31" i="17" s="1"/>
  <c r="S28" i="33"/>
  <c r="U28" i="33" s="1"/>
  <c r="P29" i="19"/>
  <c r="L30" i="20"/>
  <c r="F30" i="20"/>
  <c r="O30" i="20" s="1"/>
  <c r="P30" i="20" s="1"/>
  <c r="P31" i="29"/>
  <c r="M30" i="21"/>
  <c r="Q30" i="21" s="1"/>
  <c r="O28" i="29"/>
  <c r="Q28" i="29" s="1"/>
  <c r="S29" i="28"/>
  <c r="T29" i="28" s="1"/>
  <c r="Q28" i="28"/>
  <c r="O29" i="29"/>
  <c r="P29" i="29" s="1"/>
  <c r="Q31" i="32"/>
  <c r="U31" i="32" s="1"/>
  <c r="P31" i="32"/>
  <c r="T31" i="32" s="1"/>
  <c r="U29" i="32"/>
  <c r="S29" i="19"/>
  <c r="W29" i="19" s="1"/>
  <c r="M30" i="28"/>
  <c r="Q30" i="28" s="1"/>
  <c r="M30" i="32"/>
  <c r="Q30" i="32" s="1"/>
  <c r="Q31" i="29"/>
  <c r="Q29" i="22"/>
  <c r="S29" i="22"/>
  <c r="Q28" i="22"/>
  <c r="P28" i="22"/>
  <c r="M31" i="27"/>
  <c r="Q31" i="27" s="1"/>
  <c r="U31" i="27" s="1"/>
  <c r="P31" i="19"/>
  <c r="T31" i="19" s="1"/>
  <c r="U29" i="17"/>
  <c r="T29" i="33"/>
  <c r="X29" i="33" s="1"/>
  <c r="U29" i="33"/>
  <c r="W29" i="32"/>
  <c r="T29" i="32"/>
  <c r="K30" i="31"/>
  <c r="M31" i="19"/>
  <c r="Q31" i="19" s="1"/>
  <c r="U31" i="19" s="1"/>
  <c r="L30" i="31"/>
  <c r="F30" i="31"/>
  <c r="O30" i="31" s="1"/>
  <c r="P30" i="31" s="1"/>
  <c r="AI19" i="31"/>
  <c r="F31" i="31" s="1"/>
  <c r="O31" i="31" s="1"/>
  <c r="AJ19" i="20"/>
  <c r="J31" i="20" s="1"/>
  <c r="M30" i="30"/>
  <c r="Q30" i="30" s="1"/>
  <c r="L31" i="20"/>
  <c r="K31" i="20"/>
  <c r="M29" i="30"/>
  <c r="O29" i="30" s="1"/>
  <c r="O28" i="21"/>
  <c r="P28" i="21" s="1"/>
  <c r="M31" i="28"/>
  <c r="Q31" i="28" s="1"/>
  <c r="U31" i="28" s="1"/>
  <c r="M30" i="23"/>
  <c r="Q30" i="23" s="1"/>
  <c r="P31" i="27"/>
  <c r="T31" i="27" s="1"/>
  <c r="S28" i="17"/>
  <c r="T28" i="17" s="1"/>
  <c r="P30" i="23"/>
  <c r="M31" i="21"/>
  <c r="Q31" i="21" s="1"/>
  <c r="Q28" i="32"/>
  <c r="M29" i="20"/>
  <c r="S31" i="21"/>
  <c r="S30" i="17"/>
  <c r="W30" i="17" s="1"/>
  <c r="Q28" i="19"/>
  <c r="S28" i="19" s="1"/>
  <c r="P31" i="21"/>
  <c r="M29" i="31"/>
  <c r="O28" i="31" s="1"/>
  <c r="P31" i="23"/>
  <c r="AF17" i="18"/>
  <c r="AI17" i="18"/>
  <c r="M30" i="29"/>
  <c r="Q30" i="29" s="1"/>
  <c r="S31" i="20"/>
  <c r="AJ19" i="18"/>
  <c r="J31" i="18" s="1"/>
  <c r="F31" i="18"/>
  <c r="O31" i="18" s="1"/>
  <c r="K31" i="18"/>
  <c r="L31" i="18"/>
  <c r="Q28" i="27"/>
  <c r="S28" i="27" s="1"/>
  <c r="P30" i="30"/>
  <c r="L28" i="18"/>
  <c r="K28" i="18"/>
  <c r="AJ16" i="18"/>
  <c r="J28" i="18" s="1"/>
  <c r="F28" i="18"/>
  <c r="S31" i="30"/>
  <c r="P31" i="30"/>
  <c r="T31" i="22"/>
  <c r="U31" i="22"/>
  <c r="M29" i="23"/>
  <c r="O29" i="23" s="1"/>
  <c r="S29" i="21"/>
  <c r="M31" i="30"/>
  <c r="Q31" i="30" s="1"/>
  <c r="AI18" i="18"/>
  <c r="P30" i="29"/>
  <c r="S30" i="24"/>
  <c r="W30" i="24" s="1"/>
  <c r="Q28" i="3"/>
  <c r="S30" i="3" s="1"/>
  <c r="Q29" i="24"/>
  <c r="U29" i="24" s="1"/>
  <c r="S28" i="24"/>
  <c r="T28" i="24" s="1"/>
  <c r="P29" i="24"/>
  <c r="T29" i="24" s="1"/>
  <c r="T31" i="24"/>
  <c r="U31" i="24"/>
  <c r="W29" i="24"/>
  <c r="T31" i="3"/>
  <c r="U29" i="27"/>
  <c r="T29" i="27"/>
  <c r="W29" i="27"/>
  <c r="Q29" i="3"/>
  <c r="P29" i="3"/>
  <c r="S29" i="3"/>
  <c r="T31" i="28"/>
  <c r="T31" i="17"/>
  <c r="Q29" i="21" l="1"/>
  <c r="M30" i="20"/>
  <c r="Q30" i="20" s="1"/>
  <c r="T29" i="17"/>
  <c r="X29" i="17" s="1"/>
  <c r="T30" i="33"/>
  <c r="W30" i="33"/>
  <c r="Q31" i="23"/>
  <c r="U31" i="3"/>
  <c r="T28" i="33"/>
  <c r="W28" i="33" s="1"/>
  <c r="P28" i="29"/>
  <c r="S30" i="29" s="1"/>
  <c r="U29" i="19"/>
  <c r="Y29" i="19" s="1"/>
  <c r="P31" i="20"/>
  <c r="Y29" i="33"/>
  <c r="S28" i="32"/>
  <c r="T28" i="32" s="1"/>
  <c r="T31" i="29"/>
  <c r="S29" i="29"/>
  <c r="T29" i="29" s="1"/>
  <c r="U31" i="29"/>
  <c r="Q29" i="29"/>
  <c r="S28" i="28"/>
  <c r="U28" i="28" s="1"/>
  <c r="U29" i="22"/>
  <c r="S30" i="28"/>
  <c r="T30" i="28" s="1"/>
  <c r="U29" i="28"/>
  <c r="W29" i="28"/>
  <c r="U28" i="17"/>
  <c r="W31" i="17" s="1"/>
  <c r="M30" i="31"/>
  <c r="Q30" i="31" s="1"/>
  <c r="T29" i="19"/>
  <c r="X29" i="19" s="1"/>
  <c r="T29" i="22"/>
  <c r="W29" i="22"/>
  <c r="S30" i="22"/>
  <c r="U30" i="22" s="1"/>
  <c r="S28" i="22"/>
  <c r="Y29" i="17"/>
  <c r="T30" i="17"/>
  <c r="X30" i="17" s="1"/>
  <c r="U30" i="17"/>
  <c r="Y30" i="17" s="1"/>
  <c r="S30" i="32"/>
  <c r="L31" i="31"/>
  <c r="AJ19" i="31"/>
  <c r="J31" i="31" s="1"/>
  <c r="P31" i="31" s="1"/>
  <c r="K31" i="31"/>
  <c r="S30" i="19"/>
  <c r="T30" i="19" s="1"/>
  <c r="O28" i="30"/>
  <c r="Q28" i="30" s="1"/>
  <c r="M31" i="20"/>
  <c r="Q31" i="20" s="1"/>
  <c r="T31" i="21"/>
  <c r="Q28" i="21"/>
  <c r="S28" i="21" s="1"/>
  <c r="U31" i="21"/>
  <c r="S30" i="27"/>
  <c r="T30" i="27" s="1"/>
  <c r="O28" i="20"/>
  <c r="O29" i="20"/>
  <c r="P29" i="23"/>
  <c r="Q29" i="23"/>
  <c r="S29" i="23"/>
  <c r="P28" i="31"/>
  <c r="Q28" i="31"/>
  <c r="O28" i="23"/>
  <c r="M31" i="18"/>
  <c r="L29" i="18"/>
  <c r="F29" i="18"/>
  <c r="AJ17" i="18"/>
  <c r="J29" i="18" s="1"/>
  <c r="K29" i="18"/>
  <c r="S29" i="30"/>
  <c r="Q29" i="30"/>
  <c r="P29" i="30"/>
  <c r="S31" i="31"/>
  <c r="S31" i="18"/>
  <c r="K30" i="18"/>
  <c r="AJ18" i="18"/>
  <c r="J30" i="18" s="1"/>
  <c r="F30" i="18"/>
  <c r="O30" i="18" s="1"/>
  <c r="L30" i="18"/>
  <c r="T29" i="21"/>
  <c r="U29" i="21"/>
  <c r="W29" i="21"/>
  <c r="M28" i="18"/>
  <c r="O29" i="31"/>
  <c r="U30" i="24"/>
  <c r="T30" i="24"/>
  <c r="X30" i="24" s="1"/>
  <c r="S28" i="3"/>
  <c r="T28" i="3" s="1"/>
  <c r="U28" i="24"/>
  <c r="W28" i="24" s="1"/>
  <c r="W29" i="3"/>
  <c r="T29" i="3"/>
  <c r="U29" i="3"/>
  <c r="T28" i="19"/>
  <c r="U28" i="19"/>
  <c r="T28" i="27"/>
  <c r="U28" i="27"/>
  <c r="Y30" i="33"/>
  <c r="X29" i="27"/>
  <c r="Y29" i="27"/>
  <c r="X29" i="24"/>
  <c r="T30" i="3"/>
  <c r="W30" i="3"/>
  <c r="U30" i="3"/>
  <c r="Y29" i="32" l="1"/>
  <c r="U28" i="32"/>
  <c r="W31" i="32" s="1"/>
  <c r="X31" i="32" s="1"/>
  <c r="X29" i="32"/>
  <c r="X30" i="33"/>
  <c r="AA30" i="33" s="1"/>
  <c r="AB30" i="33" s="1"/>
  <c r="S28" i="29"/>
  <c r="W31" i="33"/>
  <c r="AA31" i="33" s="1"/>
  <c r="X29" i="28"/>
  <c r="Y30" i="24"/>
  <c r="Y29" i="24"/>
  <c r="T28" i="28"/>
  <c r="W31" i="28" s="1"/>
  <c r="Y29" i="28"/>
  <c r="W28" i="17"/>
  <c r="X28" i="17" s="1"/>
  <c r="W28" i="32"/>
  <c r="X28" i="32" s="1"/>
  <c r="U30" i="19"/>
  <c r="W30" i="19"/>
  <c r="X30" i="19" s="1"/>
  <c r="W29" i="29"/>
  <c r="X29" i="29" s="1"/>
  <c r="U29" i="29"/>
  <c r="W30" i="28"/>
  <c r="X30" i="28" s="1"/>
  <c r="U30" i="28"/>
  <c r="Y29" i="22"/>
  <c r="M30" i="18"/>
  <c r="Q30" i="18" s="1"/>
  <c r="S30" i="21"/>
  <c r="T30" i="21" s="1"/>
  <c r="X29" i="22"/>
  <c r="W30" i="22"/>
  <c r="T30" i="22"/>
  <c r="T28" i="22"/>
  <c r="U28" i="22"/>
  <c r="W30" i="27"/>
  <c r="X30" i="27" s="1"/>
  <c r="P30" i="18"/>
  <c r="U30" i="32"/>
  <c r="W30" i="32"/>
  <c r="T30" i="32"/>
  <c r="M31" i="31"/>
  <c r="Q31" i="31" s="1"/>
  <c r="U31" i="31" s="1"/>
  <c r="P28" i="30"/>
  <c r="S30" i="30" s="1"/>
  <c r="U31" i="30"/>
  <c r="T31" i="30"/>
  <c r="T31" i="20"/>
  <c r="U30" i="27"/>
  <c r="AA30" i="17"/>
  <c r="Q29" i="20"/>
  <c r="P29" i="20"/>
  <c r="S29" i="20"/>
  <c r="Q28" i="20"/>
  <c r="P28" i="20"/>
  <c r="U31" i="20"/>
  <c r="W30" i="29"/>
  <c r="T30" i="29"/>
  <c r="U30" i="29"/>
  <c r="P31" i="18"/>
  <c r="T31" i="31"/>
  <c r="M29" i="18"/>
  <c r="O28" i="18" s="1"/>
  <c r="U29" i="23"/>
  <c r="W29" i="23"/>
  <c r="T29" i="23"/>
  <c r="S29" i="31"/>
  <c r="Q29" i="31"/>
  <c r="P29" i="31"/>
  <c r="Q28" i="23"/>
  <c r="P28" i="23"/>
  <c r="U31" i="23"/>
  <c r="AA29" i="33"/>
  <c r="AC29" i="33" s="1"/>
  <c r="T28" i="21"/>
  <c r="U28" i="21"/>
  <c r="T28" i="29"/>
  <c r="U28" i="29"/>
  <c r="X29" i="21"/>
  <c r="Y29" i="21"/>
  <c r="Q31" i="18"/>
  <c r="W29" i="30"/>
  <c r="T29" i="30"/>
  <c r="U29" i="30"/>
  <c r="S28" i="31"/>
  <c r="S30" i="31"/>
  <c r="T31" i="23"/>
  <c r="U28" i="3"/>
  <c r="W31" i="3" s="1"/>
  <c r="W31" i="24"/>
  <c r="AA31" i="24" s="1"/>
  <c r="AA28" i="33"/>
  <c r="Y28" i="33"/>
  <c r="X28" i="33"/>
  <c r="AA29" i="17"/>
  <c r="W28" i="27"/>
  <c r="W31" i="27"/>
  <c r="W31" i="19"/>
  <c r="W28" i="19"/>
  <c r="Y31" i="17"/>
  <c r="X31" i="17"/>
  <c r="AA31" i="17"/>
  <c r="Y29" i="3"/>
  <c r="X29" i="3"/>
  <c r="X30" i="3"/>
  <c r="Y28" i="24"/>
  <c r="X28" i="24"/>
  <c r="AA28" i="24"/>
  <c r="X31" i="33" l="1"/>
  <c r="AB31" i="33" s="1"/>
  <c r="Y31" i="33"/>
  <c r="AA28" i="17"/>
  <c r="AE28" i="17" s="1"/>
  <c r="W28" i="28"/>
  <c r="X28" i="28" s="1"/>
  <c r="AA29" i="24"/>
  <c r="AC29" i="24" s="1"/>
  <c r="AA30" i="24"/>
  <c r="AB30" i="24" s="1"/>
  <c r="Y30" i="3"/>
  <c r="AA29" i="3" s="1"/>
  <c r="AA28" i="32"/>
  <c r="AE28" i="32" s="1"/>
  <c r="Y28" i="17"/>
  <c r="AC30" i="17"/>
  <c r="Y28" i="32"/>
  <c r="Y31" i="32"/>
  <c r="AA31" i="32"/>
  <c r="Y30" i="19"/>
  <c r="AA30" i="19" s="1"/>
  <c r="S28" i="30"/>
  <c r="T28" i="30" s="1"/>
  <c r="Y29" i="29"/>
  <c r="Y30" i="28"/>
  <c r="AA30" i="28" s="1"/>
  <c r="AE30" i="28" s="1"/>
  <c r="Y30" i="27"/>
  <c r="AA29" i="27" s="1"/>
  <c r="AC29" i="27" s="1"/>
  <c r="W30" i="21"/>
  <c r="X30" i="21" s="1"/>
  <c r="U30" i="21"/>
  <c r="X30" i="22"/>
  <c r="W31" i="22"/>
  <c r="AA31" i="22" s="1"/>
  <c r="Y30" i="22"/>
  <c r="W28" i="22"/>
  <c r="Y28" i="22" s="1"/>
  <c r="AC30" i="33"/>
  <c r="AE30" i="33"/>
  <c r="AF30" i="33" s="1"/>
  <c r="AE30" i="17"/>
  <c r="AB30" i="17"/>
  <c r="AB29" i="33"/>
  <c r="O29" i="18"/>
  <c r="T31" i="18" s="1"/>
  <c r="X30" i="32"/>
  <c r="Y30" i="32"/>
  <c r="S28" i="20"/>
  <c r="S30" i="20"/>
  <c r="U29" i="20"/>
  <c r="T29" i="20"/>
  <c r="W29" i="20"/>
  <c r="U28" i="31"/>
  <c r="T28" i="31"/>
  <c r="W28" i="29"/>
  <c r="W31" i="29"/>
  <c r="P28" i="18"/>
  <c r="Q28" i="18"/>
  <c r="W28" i="21"/>
  <c r="W31" i="21"/>
  <c r="S28" i="23"/>
  <c r="Y29" i="23" s="1"/>
  <c r="S30" i="23"/>
  <c r="U29" i="31"/>
  <c r="W29" i="31"/>
  <c r="T29" i="31"/>
  <c r="X30" i="29"/>
  <c r="Y30" i="29"/>
  <c r="W30" i="31"/>
  <c r="T30" i="31"/>
  <c r="U30" i="31"/>
  <c r="W30" i="30"/>
  <c r="T30" i="30"/>
  <c r="U30" i="30"/>
  <c r="W28" i="3"/>
  <c r="X28" i="3" s="1"/>
  <c r="X31" i="24"/>
  <c r="AB31" i="24" s="1"/>
  <c r="Y31" i="24"/>
  <c r="AC31" i="24" s="1"/>
  <c r="AB29" i="17"/>
  <c r="AC29" i="17"/>
  <c r="Y31" i="3"/>
  <c r="X31" i="3"/>
  <c r="AA31" i="3"/>
  <c r="AA31" i="28"/>
  <c r="X31" i="28"/>
  <c r="Y31" i="28"/>
  <c r="AC31" i="17"/>
  <c r="AB31" i="17"/>
  <c r="Y28" i="19"/>
  <c r="AA28" i="19"/>
  <c r="X28" i="19"/>
  <c r="X31" i="19"/>
  <c r="AA31" i="19"/>
  <c r="Y31" i="19"/>
  <c r="X31" i="27"/>
  <c r="AA31" i="27"/>
  <c r="Y31" i="27"/>
  <c r="AE28" i="24"/>
  <c r="AB28" i="24"/>
  <c r="AC28" i="24"/>
  <c r="AC31" i="33"/>
  <c r="Y28" i="28"/>
  <c r="AA28" i="28"/>
  <c r="Y28" i="27"/>
  <c r="X28" i="27"/>
  <c r="AA28" i="27"/>
  <c r="AB28" i="33"/>
  <c r="AE28" i="33"/>
  <c r="AC28" i="33"/>
  <c r="AC28" i="32" l="1"/>
  <c r="AC28" i="17"/>
  <c r="AG28" i="17" s="1"/>
  <c r="AB28" i="17"/>
  <c r="AG30" i="17"/>
  <c r="AB28" i="32"/>
  <c r="AF28" i="32" s="1"/>
  <c r="AB29" i="24"/>
  <c r="AE29" i="24" s="1"/>
  <c r="AA30" i="3"/>
  <c r="AE30" i="3" s="1"/>
  <c r="AC30" i="24"/>
  <c r="AE30" i="24"/>
  <c r="AC31" i="32"/>
  <c r="AA29" i="19"/>
  <c r="AC29" i="19" s="1"/>
  <c r="AB31" i="32"/>
  <c r="AE30" i="19"/>
  <c r="AB30" i="19"/>
  <c r="AC30" i="19"/>
  <c r="X29" i="30"/>
  <c r="U28" i="30"/>
  <c r="W31" i="30" s="1"/>
  <c r="Y29" i="30"/>
  <c r="AA29" i="28"/>
  <c r="AB29" i="28" s="1"/>
  <c r="AA30" i="27"/>
  <c r="AC30" i="27" s="1"/>
  <c r="AF30" i="17"/>
  <c r="AG30" i="33"/>
  <c r="Y30" i="21"/>
  <c r="AA30" i="21" s="1"/>
  <c r="AB30" i="21" s="1"/>
  <c r="AA29" i="22"/>
  <c r="AC29" i="22" s="1"/>
  <c r="X31" i="22"/>
  <c r="AB31" i="22" s="1"/>
  <c r="Y31" i="22"/>
  <c r="AC31" i="22" s="1"/>
  <c r="AA30" i="22"/>
  <c r="X28" i="22"/>
  <c r="AA28" i="22"/>
  <c r="AB29" i="27"/>
  <c r="S29" i="18"/>
  <c r="W29" i="18" s="1"/>
  <c r="Q29" i="18"/>
  <c r="U31" i="18"/>
  <c r="P29" i="18"/>
  <c r="AA30" i="32"/>
  <c r="AA29" i="32"/>
  <c r="AB30" i="28"/>
  <c r="AC30" i="28"/>
  <c r="AG30" i="28" s="1"/>
  <c r="AE31" i="33"/>
  <c r="AF31" i="33" s="1"/>
  <c r="X29" i="20"/>
  <c r="Y29" i="20"/>
  <c r="W30" i="20"/>
  <c r="T30" i="20"/>
  <c r="U30" i="20"/>
  <c r="T28" i="20"/>
  <c r="U28" i="20"/>
  <c r="AA29" i="29"/>
  <c r="X29" i="31"/>
  <c r="Y29" i="31"/>
  <c r="T30" i="23"/>
  <c r="U30" i="23"/>
  <c r="W30" i="23"/>
  <c r="Y28" i="29"/>
  <c r="AA28" i="29"/>
  <c r="X28" i="29"/>
  <c r="X30" i="30"/>
  <c r="Y30" i="30"/>
  <c r="U28" i="23"/>
  <c r="T28" i="23"/>
  <c r="S28" i="18"/>
  <c r="S30" i="18"/>
  <c r="W28" i="31"/>
  <c r="W31" i="31"/>
  <c r="X30" i="31"/>
  <c r="Y30" i="31"/>
  <c r="X29" i="23"/>
  <c r="X31" i="21"/>
  <c r="AA31" i="21"/>
  <c r="Y31" i="21"/>
  <c r="AA30" i="29"/>
  <c r="AA28" i="21"/>
  <c r="Y28" i="21"/>
  <c r="X28" i="21"/>
  <c r="AA31" i="29"/>
  <c r="Y31" i="29"/>
  <c r="X31" i="29"/>
  <c r="AA28" i="3"/>
  <c r="AE28" i="3" s="1"/>
  <c r="Y28" i="3"/>
  <c r="AC31" i="27"/>
  <c r="AB31" i="27"/>
  <c r="AG28" i="32"/>
  <c r="AI28" i="32"/>
  <c r="AE31" i="17"/>
  <c r="AE29" i="17"/>
  <c r="AF28" i="17"/>
  <c r="AI28" i="17"/>
  <c r="AG28" i="24"/>
  <c r="AI28" i="24"/>
  <c r="AF28" i="24"/>
  <c r="AC31" i="19"/>
  <c r="AB31" i="19"/>
  <c r="AE28" i="19"/>
  <c r="AB28" i="19"/>
  <c r="AC28" i="19"/>
  <c r="AB31" i="28"/>
  <c r="AC31" i="28"/>
  <c r="AB29" i="3"/>
  <c r="AE29" i="33"/>
  <c r="AF28" i="33"/>
  <c r="AG28" i="33"/>
  <c r="AI28" i="33"/>
  <c r="AE28" i="27"/>
  <c r="AB28" i="27"/>
  <c r="AC28" i="27"/>
  <c r="AC28" i="28"/>
  <c r="AB28" i="28"/>
  <c r="AE28" i="28"/>
  <c r="AB31" i="3"/>
  <c r="AB30" i="27" l="1"/>
  <c r="AB29" i="19"/>
  <c r="AE29" i="19" s="1"/>
  <c r="AF29" i="19" s="1"/>
  <c r="AB30" i="3"/>
  <c r="AC30" i="3"/>
  <c r="AG30" i="24"/>
  <c r="AE31" i="24"/>
  <c r="AF31" i="24" s="1"/>
  <c r="AF30" i="24"/>
  <c r="AC31" i="3"/>
  <c r="AC29" i="3"/>
  <c r="AF30" i="19"/>
  <c r="AG30" i="19"/>
  <c r="W28" i="30"/>
  <c r="Y28" i="30" s="1"/>
  <c r="AF30" i="28"/>
  <c r="AC29" i="28"/>
  <c r="AE29" i="28" s="1"/>
  <c r="AG29" i="28" s="1"/>
  <c r="AE30" i="27"/>
  <c r="AG30" i="27" s="1"/>
  <c r="AB29" i="22"/>
  <c r="AE31" i="22" s="1"/>
  <c r="AG31" i="22" s="1"/>
  <c r="AA29" i="21"/>
  <c r="AC29" i="21" s="1"/>
  <c r="AE30" i="22"/>
  <c r="AC30" i="22"/>
  <c r="AB30" i="22"/>
  <c r="AB28" i="22"/>
  <c r="AC28" i="22"/>
  <c r="AE28" i="22"/>
  <c r="AE31" i="27"/>
  <c r="AF31" i="27" s="1"/>
  <c r="AG31" i="33"/>
  <c r="AI30" i="33" s="1"/>
  <c r="U29" i="18"/>
  <c r="Y29" i="18" s="1"/>
  <c r="T29" i="18"/>
  <c r="X29" i="18" s="1"/>
  <c r="AC29" i="32"/>
  <c r="AB29" i="32"/>
  <c r="AE30" i="32"/>
  <c r="AB30" i="32"/>
  <c r="AC30" i="32"/>
  <c r="AA29" i="31"/>
  <c r="AC29" i="31" s="1"/>
  <c r="AC30" i="21"/>
  <c r="AE30" i="21"/>
  <c r="X30" i="20"/>
  <c r="Y30" i="20"/>
  <c r="AA30" i="30"/>
  <c r="AE30" i="30" s="1"/>
  <c r="W28" i="20"/>
  <c r="W31" i="20"/>
  <c r="AB30" i="29"/>
  <c r="AE30" i="29"/>
  <c r="AC30" i="29"/>
  <c r="AA28" i="31"/>
  <c r="X28" i="31"/>
  <c r="Y28" i="31"/>
  <c r="AB28" i="29"/>
  <c r="AC28" i="29"/>
  <c r="AE28" i="29"/>
  <c r="T30" i="18"/>
  <c r="W30" i="18"/>
  <c r="U30" i="18"/>
  <c r="AC31" i="29"/>
  <c r="AB31" i="29"/>
  <c r="AC31" i="21"/>
  <c r="AB31" i="21"/>
  <c r="T28" i="18"/>
  <c r="U28" i="18"/>
  <c r="AA29" i="30"/>
  <c r="X30" i="23"/>
  <c r="Y30" i="23"/>
  <c r="AA30" i="31"/>
  <c r="AE29" i="27"/>
  <c r="AI29" i="27" s="1"/>
  <c r="X31" i="30"/>
  <c r="AA31" i="30"/>
  <c r="Y31" i="30"/>
  <c r="AC28" i="21"/>
  <c r="AE28" i="21"/>
  <c r="AB28" i="21"/>
  <c r="X31" i="31"/>
  <c r="AA31" i="31"/>
  <c r="Y31" i="31"/>
  <c r="W28" i="23"/>
  <c r="W31" i="23"/>
  <c r="AB29" i="29"/>
  <c r="AC29" i="29"/>
  <c r="AB28" i="3"/>
  <c r="AF28" i="3" s="1"/>
  <c r="AC28" i="3"/>
  <c r="AG28" i="3" s="1"/>
  <c r="AK28" i="17"/>
  <c r="AJ28" i="17"/>
  <c r="F40" i="17"/>
  <c r="AG29" i="33"/>
  <c r="AF29" i="33"/>
  <c r="AI29" i="33"/>
  <c r="AG28" i="27"/>
  <c r="AI28" i="27"/>
  <c r="AF28" i="27"/>
  <c r="AG28" i="19"/>
  <c r="AF28" i="19"/>
  <c r="AI28" i="19"/>
  <c r="AG29" i="17"/>
  <c r="AF29" i="17"/>
  <c r="AI29" i="17"/>
  <c r="AI28" i="28"/>
  <c r="AG28" i="28"/>
  <c r="AF28" i="28"/>
  <c r="AI28" i="3"/>
  <c r="AF29" i="24"/>
  <c r="AI29" i="24"/>
  <c r="AG29" i="24"/>
  <c r="AK28" i="33"/>
  <c r="F40" i="33"/>
  <c r="AJ28" i="33"/>
  <c r="AJ28" i="24"/>
  <c r="F40" i="24"/>
  <c r="AK28" i="24"/>
  <c r="AF31" i="17"/>
  <c r="AG31" i="17"/>
  <c r="AJ28" i="32"/>
  <c r="AK28" i="32"/>
  <c r="F40" i="32"/>
  <c r="AE31" i="19" l="1"/>
  <c r="AG31" i="24"/>
  <c r="AE31" i="28"/>
  <c r="AG31" i="28" s="1"/>
  <c r="AE29" i="3"/>
  <c r="AE31" i="3"/>
  <c r="AF31" i="3" s="1"/>
  <c r="AG30" i="3"/>
  <c r="AF30" i="3"/>
  <c r="AA28" i="30"/>
  <c r="AE28" i="30" s="1"/>
  <c r="X28" i="30"/>
  <c r="AB29" i="21"/>
  <c r="AE31" i="21" s="1"/>
  <c r="AA29" i="20"/>
  <c r="AC29" i="20" s="1"/>
  <c r="AF30" i="27"/>
  <c r="AB30" i="30"/>
  <c r="AC30" i="30"/>
  <c r="AE29" i="22"/>
  <c r="AG29" i="22" s="1"/>
  <c r="AF28" i="22"/>
  <c r="AF31" i="22"/>
  <c r="AG30" i="22"/>
  <c r="AF30" i="22"/>
  <c r="AG28" i="22"/>
  <c r="AI28" i="22"/>
  <c r="AG31" i="27"/>
  <c r="AI31" i="33"/>
  <c r="AK30" i="33"/>
  <c r="F42" i="33"/>
  <c r="O42" i="33" s="1"/>
  <c r="AJ30" i="33"/>
  <c r="AG30" i="32"/>
  <c r="AF30" i="32"/>
  <c r="AE31" i="32"/>
  <c r="AE29" i="32"/>
  <c r="AI29" i="19"/>
  <c r="F41" i="19" s="1"/>
  <c r="AG29" i="19"/>
  <c r="AB29" i="31"/>
  <c r="AA30" i="20"/>
  <c r="AC30" i="20" s="1"/>
  <c r="AG30" i="21"/>
  <c r="AF30" i="21"/>
  <c r="AI29" i="28"/>
  <c r="F41" i="28" s="1"/>
  <c r="AF29" i="28"/>
  <c r="Y31" i="20"/>
  <c r="X31" i="20"/>
  <c r="AA31" i="20"/>
  <c r="AA30" i="23"/>
  <c r="AE30" i="23" s="1"/>
  <c r="Y28" i="20"/>
  <c r="AA28" i="20"/>
  <c r="X28" i="20"/>
  <c r="AI31" i="24"/>
  <c r="AJ31" i="24" s="1"/>
  <c r="AF29" i="27"/>
  <c r="AJ29" i="27" s="1"/>
  <c r="AC31" i="31"/>
  <c r="AB31" i="31"/>
  <c r="AC31" i="30"/>
  <c r="AB31" i="30"/>
  <c r="W28" i="18"/>
  <c r="W31" i="18"/>
  <c r="Y30" i="18"/>
  <c r="X30" i="18"/>
  <c r="AI28" i="29"/>
  <c r="AF28" i="29"/>
  <c r="AG28" i="29"/>
  <c r="X31" i="23"/>
  <c r="Y31" i="23"/>
  <c r="AA31" i="23"/>
  <c r="AI28" i="21"/>
  <c r="AF28" i="21"/>
  <c r="AG28" i="21"/>
  <c r="AE31" i="29"/>
  <c r="AE29" i="29"/>
  <c r="Y28" i="23"/>
  <c r="AA28" i="23"/>
  <c r="X28" i="23"/>
  <c r="AA29" i="23"/>
  <c r="AC29" i="30"/>
  <c r="AB29" i="30"/>
  <c r="AC28" i="31"/>
  <c r="AB28" i="31"/>
  <c r="AE28" i="31"/>
  <c r="AG29" i="27"/>
  <c r="AK29" i="27" s="1"/>
  <c r="AC30" i="31"/>
  <c r="AB30" i="31"/>
  <c r="AE30" i="31"/>
  <c r="AF30" i="29"/>
  <c r="AG30" i="29"/>
  <c r="AI30" i="24"/>
  <c r="F42" i="24" s="1"/>
  <c r="AJ28" i="27"/>
  <c r="F40" i="27"/>
  <c r="AK28" i="27"/>
  <c r="AG31" i="19"/>
  <c r="AF31" i="19"/>
  <c r="AK29" i="33"/>
  <c r="F41" i="33"/>
  <c r="AJ29" i="33"/>
  <c r="J40" i="32"/>
  <c r="L40" i="32"/>
  <c r="K40" i="32"/>
  <c r="AI31" i="17"/>
  <c r="AI30" i="17"/>
  <c r="J40" i="33"/>
  <c r="K40" i="33"/>
  <c r="L40" i="33"/>
  <c r="AK28" i="3"/>
  <c r="AJ28" i="3"/>
  <c r="F40" i="3"/>
  <c r="F40" i="28"/>
  <c r="AJ28" i="28"/>
  <c r="AK28" i="28"/>
  <c r="AJ28" i="19"/>
  <c r="F40" i="19"/>
  <c r="AK28" i="19"/>
  <c r="AG29" i="3"/>
  <c r="AI29" i="3"/>
  <c r="AF29" i="3"/>
  <c r="K40" i="17"/>
  <c r="J40" i="17"/>
  <c r="L40" i="17"/>
  <c r="AK29" i="24"/>
  <c r="F41" i="24"/>
  <c r="AJ29" i="24"/>
  <c r="AK29" i="17"/>
  <c r="F41" i="17"/>
  <c r="AJ29" i="17"/>
  <c r="F41" i="27"/>
  <c r="J40" i="24"/>
  <c r="L40" i="24"/>
  <c r="K40" i="24"/>
  <c r="AE29" i="21" l="1"/>
  <c r="AF29" i="21" s="1"/>
  <c r="AF31" i="28"/>
  <c r="AI31" i="28" s="1"/>
  <c r="AG30" i="30"/>
  <c r="AF30" i="30"/>
  <c r="AC28" i="30"/>
  <c r="AB28" i="30"/>
  <c r="AG31" i="3"/>
  <c r="AI31" i="3" s="1"/>
  <c r="AK31" i="3" s="1"/>
  <c r="J42" i="33"/>
  <c r="P42" i="33" s="1"/>
  <c r="K42" i="33"/>
  <c r="R42" i="33" s="1"/>
  <c r="L42" i="33"/>
  <c r="AB29" i="20"/>
  <c r="AK29" i="28"/>
  <c r="AF29" i="22"/>
  <c r="AI31" i="27"/>
  <c r="AK31" i="27" s="1"/>
  <c r="AI29" i="22"/>
  <c r="F41" i="22" s="1"/>
  <c r="AI30" i="22"/>
  <c r="AI31" i="22"/>
  <c r="AK28" i="22"/>
  <c r="AJ28" i="22"/>
  <c r="F40" i="22"/>
  <c r="AI30" i="27"/>
  <c r="F42" i="27" s="1"/>
  <c r="AK31" i="24"/>
  <c r="F43" i="24"/>
  <c r="K43" i="24" s="1"/>
  <c r="AJ31" i="33"/>
  <c r="AK31" i="33"/>
  <c r="F43" i="33"/>
  <c r="O43" i="33" s="1"/>
  <c r="AG29" i="32"/>
  <c r="AF29" i="32"/>
  <c r="AI29" i="32"/>
  <c r="AG31" i="32"/>
  <c r="AF31" i="32"/>
  <c r="AJ29" i="19"/>
  <c r="AK29" i="19"/>
  <c r="AE30" i="20"/>
  <c r="AG30" i="20" s="1"/>
  <c r="AB30" i="20"/>
  <c r="AJ29" i="28"/>
  <c r="AJ31" i="28"/>
  <c r="AK31" i="28"/>
  <c r="F43" i="28"/>
  <c r="J43" i="28" s="1"/>
  <c r="AB30" i="23"/>
  <c r="AF30" i="23" s="1"/>
  <c r="AC30" i="23"/>
  <c r="AG30" i="23" s="1"/>
  <c r="AC31" i="20"/>
  <c r="AB31" i="20"/>
  <c r="AB28" i="20"/>
  <c r="AC28" i="20"/>
  <c r="AE28" i="20"/>
  <c r="AE29" i="31"/>
  <c r="AI29" i="31" s="1"/>
  <c r="AA30" i="18"/>
  <c r="AC30" i="18" s="1"/>
  <c r="AE29" i="30"/>
  <c r="AB29" i="23"/>
  <c r="AC29" i="23"/>
  <c r="AI29" i="29"/>
  <c r="AF29" i="29"/>
  <c r="AG29" i="29"/>
  <c r="AB31" i="23"/>
  <c r="AC31" i="23"/>
  <c r="Y31" i="18"/>
  <c r="X31" i="18"/>
  <c r="AA31" i="18"/>
  <c r="AE31" i="31"/>
  <c r="AJ28" i="29"/>
  <c r="AK28" i="29"/>
  <c r="F40" i="29"/>
  <c r="AG28" i="31"/>
  <c r="AF28" i="31"/>
  <c r="AI28" i="31"/>
  <c r="AB28" i="23"/>
  <c r="AC28" i="23"/>
  <c r="AE28" i="23"/>
  <c r="AE31" i="30"/>
  <c r="AA29" i="18"/>
  <c r="AG30" i="31"/>
  <c r="AF30" i="31"/>
  <c r="AG31" i="21"/>
  <c r="AF31" i="21"/>
  <c r="AG31" i="29"/>
  <c r="AF31" i="29"/>
  <c r="AA28" i="18"/>
  <c r="X28" i="18"/>
  <c r="Y28" i="18"/>
  <c r="M40" i="33"/>
  <c r="AG28" i="30"/>
  <c r="AI28" i="30"/>
  <c r="AF28" i="30"/>
  <c r="AJ28" i="21"/>
  <c r="F40" i="21"/>
  <c r="AK28" i="21"/>
  <c r="AK30" i="24"/>
  <c r="AJ30" i="24"/>
  <c r="L42" i="24"/>
  <c r="J42" i="24"/>
  <c r="O42" i="24"/>
  <c r="K42" i="24"/>
  <c r="K41" i="24"/>
  <c r="L41" i="24"/>
  <c r="J41" i="24"/>
  <c r="AJ31" i="17"/>
  <c r="AK31" i="17"/>
  <c r="F43" i="17"/>
  <c r="AI31" i="19"/>
  <c r="AI30" i="19"/>
  <c r="L41" i="28"/>
  <c r="J41" i="28"/>
  <c r="K41" i="28"/>
  <c r="J40" i="19"/>
  <c r="K40" i="19"/>
  <c r="L40" i="19"/>
  <c r="L40" i="28"/>
  <c r="K40" i="28"/>
  <c r="J40" i="28"/>
  <c r="M40" i="32"/>
  <c r="K41" i="27"/>
  <c r="L41" i="27"/>
  <c r="J41" i="27"/>
  <c r="M40" i="17"/>
  <c r="F41" i="3"/>
  <c r="AJ29" i="3"/>
  <c r="AK29" i="3"/>
  <c r="K40" i="3"/>
  <c r="J40" i="3"/>
  <c r="L40" i="3"/>
  <c r="M40" i="24"/>
  <c r="L41" i="19"/>
  <c r="J41" i="19"/>
  <c r="K41" i="19"/>
  <c r="J41" i="17"/>
  <c r="K41" i="17"/>
  <c r="L41" i="17"/>
  <c r="F42" i="17"/>
  <c r="AK30" i="17"/>
  <c r="AJ30" i="17"/>
  <c r="J41" i="33"/>
  <c r="L41" i="33"/>
  <c r="K41" i="33"/>
  <c r="J40" i="27"/>
  <c r="L40" i="27"/>
  <c r="K40" i="27"/>
  <c r="AI30" i="28" l="1"/>
  <c r="F42" i="28" s="1"/>
  <c r="AI29" i="21"/>
  <c r="AG29" i="21"/>
  <c r="AK29" i="21" s="1"/>
  <c r="AI30" i="3"/>
  <c r="M42" i="33"/>
  <c r="Q42" i="33" s="1"/>
  <c r="K43" i="33"/>
  <c r="R43" i="33" s="1"/>
  <c r="AK29" i="22"/>
  <c r="O42" i="28"/>
  <c r="K42" i="28"/>
  <c r="L42" i="28"/>
  <c r="AJ29" i="22"/>
  <c r="AJ30" i="28"/>
  <c r="AK30" i="28"/>
  <c r="AJ31" i="27"/>
  <c r="F43" i="27"/>
  <c r="K43" i="27" s="1"/>
  <c r="AE31" i="20"/>
  <c r="AF31" i="20" s="1"/>
  <c r="AI30" i="32"/>
  <c r="AJ30" i="32" s="1"/>
  <c r="F43" i="22"/>
  <c r="AJ31" i="22"/>
  <c r="AK31" i="22"/>
  <c r="F42" i="22"/>
  <c r="AJ30" i="22"/>
  <c r="AK30" i="22"/>
  <c r="K41" i="22"/>
  <c r="L41" i="22"/>
  <c r="K40" i="22"/>
  <c r="J40" i="22"/>
  <c r="L40" i="22"/>
  <c r="J41" i="22"/>
  <c r="AK30" i="27"/>
  <c r="AJ30" i="27"/>
  <c r="O43" i="24"/>
  <c r="R43" i="24" s="1"/>
  <c r="L43" i="24"/>
  <c r="M43" i="24" s="1"/>
  <c r="J43" i="24"/>
  <c r="AE29" i="20"/>
  <c r="AF29" i="20" s="1"/>
  <c r="L43" i="33"/>
  <c r="J43" i="33"/>
  <c r="P43" i="33" s="1"/>
  <c r="S43" i="33"/>
  <c r="AB30" i="18"/>
  <c r="AE30" i="18"/>
  <c r="AI31" i="32"/>
  <c r="F41" i="32"/>
  <c r="AJ29" i="32"/>
  <c r="AK29" i="32"/>
  <c r="AF29" i="31"/>
  <c r="AJ29" i="31" s="1"/>
  <c r="AG29" i="31"/>
  <c r="AK29" i="31" s="1"/>
  <c r="AF30" i="20"/>
  <c r="AI31" i="29"/>
  <c r="AK31" i="29" s="1"/>
  <c r="L43" i="28"/>
  <c r="K43" i="28"/>
  <c r="O43" i="28"/>
  <c r="S43" i="28" s="1"/>
  <c r="J42" i="28"/>
  <c r="AI28" i="20"/>
  <c r="AG28" i="20"/>
  <c r="AF28" i="20"/>
  <c r="M40" i="28"/>
  <c r="AG31" i="30"/>
  <c r="AF31" i="30"/>
  <c r="AG28" i="23"/>
  <c r="AF28" i="23"/>
  <c r="AI28" i="23"/>
  <c r="AF31" i="31"/>
  <c r="AG31" i="31"/>
  <c r="AJ29" i="29"/>
  <c r="F41" i="29"/>
  <c r="AK29" i="29"/>
  <c r="AI30" i="29"/>
  <c r="AI30" i="21"/>
  <c r="AI31" i="21"/>
  <c r="L40" i="29"/>
  <c r="K40" i="29"/>
  <c r="J40" i="29"/>
  <c r="AC31" i="18"/>
  <c r="AB31" i="18"/>
  <c r="M40" i="27"/>
  <c r="M41" i="19"/>
  <c r="AJ28" i="30"/>
  <c r="F40" i="30"/>
  <c r="AK28" i="30"/>
  <c r="AE28" i="18"/>
  <c r="AC28" i="18"/>
  <c r="AB28" i="18"/>
  <c r="F40" i="31"/>
  <c r="AK28" i="31"/>
  <c r="AJ28" i="31"/>
  <c r="AE29" i="23"/>
  <c r="AE31" i="23"/>
  <c r="F41" i="31"/>
  <c r="K40" i="21"/>
  <c r="L40" i="21"/>
  <c r="J40" i="21"/>
  <c r="AC29" i="18"/>
  <c r="AB29" i="18"/>
  <c r="F41" i="21"/>
  <c r="AJ29" i="21"/>
  <c r="AF29" i="30"/>
  <c r="AG29" i="30"/>
  <c r="AI29" i="30"/>
  <c r="AJ31" i="3"/>
  <c r="F43" i="3"/>
  <c r="J43" i="3" s="1"/>
  <c r="M40" i="3"/>
  <c r="L42" i="27"/>
  <c r="J42" i="27"/>
  <c r="O42" i="27"/>
  <c r="K42" i="27"/>
  <c r="M41" i="24"/>
  <c r="O41" i="24" s="1"/>
  <c r="M41" i="33"/>
  <c r="O40" i="33" s="1"/>
  <c r="L42" i="17"/>
  <c r="J42" i="17"/>
  <c r="O42" i="17"/>
  <c r="K42" i="17"/>
  <c r="M41" i="17"/>
  <c r="O41" i="17" s="1"/>
  <c r="M40" i="19"/>
  <c r="M41" i="28"/>
  <c r="L43" i="17"/>
  <c r="K43" i="17"/>
  <c r="J43" i="17"/>
  <c r="O43" i="17"/>
  <c r="P42" i="24"/>
  <c r="R42" i="24"/>
  <c r="J41" i="3"/>
  <c r="K41" i="3"/>
  <c r="L41" i="3"/>
  <c r="AJ30" i="19"/>
  <c r="AK30" i="19"/>
  <c r="F42" i="19"/>
  <c r="F42" i="3"/>
  <c r="AK30" i="3"/>
  <c r="AJ30" i="3"/>
  <c r="M41" i="27"/>
  <c r="F43" i="19"/>
  <c r="AJ31" i="19"/>
  <c r="AK31" i="19"/>
  <c r="M42" i="24"/>
  <c r="Q42" i="24" s="1"/>
  <c r="O43" i="27" l="1"/>
  <c r="P42" i="28"/>
  <c r="R42" i="28"/>
  <c r="L43" i="27"/>
  <c r="M43" i="27" s="1"/>
  <c r="Q43" i="27" s="1"/>
  <c r="J43" i="27"/>
  <c r="M43" i="33"/>
  <c r="Q43" i="33" s="1"/>
  <c r="AF30" i="18"/>
  <c r="F42" i="32"/>
  <c r="J42" i="32" s="1"/>
  <c r="AK30" i="32"/>
  <c r="AG31" i="20"/>
  <c r="AI31" i="20" s="1"/>
  <c r="M42" i="28"/>
  <c r="Q42" i="28" s="1"/>
  <c r="P43" i="28"/>
  <c r="M43" i="28"/>
  <c r="Q43" i="28" s="1"/>
  <c r="S43" i="24"/>
  <c r="Q43" i="24"/>
  <c r="AG29" i="20"/>
  <c r="AG30" i="18"/>
  <c r="AI29" i="20"/>
  <c r="AJ29" i="20" s="1"/>
  <c r="AI30" i="31"/>
  <c r="F42" i="31" s="1"/>
  <c r="L42" i="22"/>
  <c r="O42" i="22"/>
  <c r="K42" i="22"/>
  <c r="J42" i="22"/>
  <c r="M41" i="22"/>
  <c r="J43" i="22"/>
  <c r="K43" i="22"/>
  <c r="O43" i="22"/>
  <c r="L43" i="22"/>
  <c r="M40" i="22"/>
  <c r="O40" i="27"/>
  <c r="R40" i="27" s="1"/>
  <c r="P43" i="24"/>
  <c r="O41" i="19"/>
  <c r="S41" i="19" s="1"/>
  <c r="K41" i="32"/>
  <c r="L41" i="32"/>
  <c r="J41" i="32"/>
  <c r="F43" i="32"/>
  <c r="AJ31" i="32"/>
  <c r="AK31" i="32"/>
  <c r="O40" i="19"/>
  <c r="R40" i="19" s="1"/>
  <c r="F43" i="29"/>
  <c r="L43" i="29" s="1"/>
  <c r="AJ31" i="29"/>
  <c r="R43" i="28"/>
  <c r="O41" i="28"/>
  <c r="R41" i="28" s="1"/>
  <c r="O41" i="27"/>
  <c r="Q41" i="27" s="1"/>
  <c r="AI31" i="31"/>
  <c r="AK31" i="31" s="1"/>
  <c r="M40" i="21"/>
  <c r="AK28" i="20"/>
  <c r="F40" i="20"/>
  <c r="AJ28" i="20"/>
  <c r="O40" i="17"/>
  <c r="P40" i="17" s="1"/>
  <c r="AG31" i="23"/>
  <c r="AF31" i="23"/>
  <c r="J40" i="31"/>
  <c r="K40" i="31"/>
  <c r="L40" i="31"/>
  <c r="K40" i="30"/>
  <c r="J40" i="30"/>
  <c r="L40" i="30"/>
  <c r="AE31" i="18"/>
  <c r="AI31" i="30"/>
  <c r="AI30" i="30"/>
  <c r="AF29" i="23"/>
  <c r="AI29" i="23"/>
  <c r="AG29" i="23"/>
  <c r="AE29" i="18"/>
  <c r="AJ28" i="23"/>
  <c r="AK28" i="23"/>
  <c r="F40" i="23"/>
  <c r="M42" i="17"/>
  <c r="Q42" i="17" s="1"/>
  <c r="AK29" i="30"/>
  <c r="F41" i="30"/>
  <c r="AJ29" i="30"/>
  <c r="J41" i="31"/>
  <c r="K41" i="31"/>
  <c r="L41" i="31"/>
  <c r="AG28" i="18"/>
  <c r="AI28" i="18"/>
  <c r="AF28" i="18"/>
  <c r="AJ30" i="21"/>
  <c r="F42" i="21"/>
  <c r="AK30" i="21"/>
  <c r="AJ31" i="21"/>
  <c r="F43" i="21"/>
  <c r="AK31" i="21"/>
  <c r="J41" i="29"/>
  <c r="K41" i="29"/>
  <c r="L41" i="29"/>
  <c r="L43" i="3"/>
  <c r="O40" i="28"/>
  <c r="P40" i="28" s="1"/>
  <c r="L41" i="21"/>
  <c r="J41" i="21"/>
  <c r="K41" i="21"/>
  <c r="M40" i="29"/>
  <c r="F42" i="29"/>
  <c r="AK30" i="29"/>
  <c r="AJ30" i="29"/>
  <c r="O43" i="3"/>
  <c r="K43" i="3"/>
  <c r="M41" i="3"/>
  <c r="O40" i="3" s="1"/>
  <c r="P40" i="3" s="1"/>
  <c r="O40" i="24"/>
  <c r="P40" i="24" s="1"/>
  <c r="P40" i="33"/>
  <c r="R40" i="33"/>
  <c r="Q40" i="33"/>
  <c r="S41" i="17"/>
  <c r="R41" i="17"/>
  <c r="P41" i="17"/>
  <c r="Q41" i="17"/>
  <c r="R41" i="24"/>
  <c r="P41" i="24"/>
  <c r="Q41" i="24"/>
  <c r="S41" i="24"/>
  <c r="O41" i="33"/>
  <c r="T43" i="33" s="1"/>
  <c r="K43" i="19"/>
  <c r="O43" i="19"/>
  <c r="J43" i="19"/>
  <c r="L43" i="19"/>
  <c r="M43" i="17"/>
  <c r="Q43" i="17" s="1"/>
  <c r="M42" i="27"/>
  <c r="Q42" i="27" s="1"/>
  <c r="O42" i="3"/>
  <c r="J42" i="3"/>
  <c r="L42" i="3"/>
  <c r="K42" i="3"/>
  <c r="P42" i="27"/>
  <c r="R42" i="27"/>
  <c r="L42" i="19"/>
  <c r="K42" i="19"/>
  <c r="J42" i="19"/>
  <c r="O42" i="19"/>
  <c r="P43" i="17"/>
  <c r="R43" i="17"/>
  <c r="S43" i="17"/>
  <c r="R42" i="17"/>
  <c r="P42" i="17"/>
  <c r="P43" i="27"/>
  <c r="R43" i="27"/>
  <c r="S43" i="27"/>
  <c r="AI30" i="20" l="1"/>
  <c r="AK30" i="20" s="1"/>
  <c r="O42" i="32"/>
  <c r="P42" i="32" s="1"/>
  <c r="K42" i="32"/>
  <c r="L42" i="32"/>
  <c r="R41" i="19"/>
  <c r="V41" i="19" s="1"/>
  <c r="AJ30" i="31"/>
  <c r="Q41" i="19"/>
  <c r="U41" i="19" s="1"/>
  <c r="P41" i="19"/>
  <c r="T41" i="19" s="1"/>
  <c r="F41" i="20"/>
  <c r="K41" i="20" s="1"/>
  <c r="O43" i="29"/>
  <c r="S43" i="29" s="1"/>
  <c r="S41" i="28"/>
  <c r="W41" i="28" s="1"/>
  <c r="U43" i="28"/>
  <c r="AK30" i="31"/>
  <c r="AK29" i="20"/>
  <c r="M41" i="32"/>
  <c r="O40" i="32" s="1"/>
  <c r="R40" i="32" s="1"/>
  <c r="M43" i="22"/>
  <c r="Q43" i="22" s="1"/>
  <c r="M42" i="22"/>
  <c r="Q42" i="22" s="1"/>
  <c r="O41" i="22"/>
  <c r="R41" i="22" s="1"/>
  <c r="P43" i="22"/>
  <c r="R43" i="22"/>
  <c r="S43" i="22"/>
  <c r="O40" i="22"/>
  <c r="P40" i="22" s="1"/>
  <c r="P42" i="22"/>
  <c r="R42" i="22"/>
  <c r="Q40" i="27"/>
  <c r="P40" i="27"/>
  <c r="R40" i="24"/>
  <c r="V43" i="24" s="1"/>
  <c r="Q40" i="17"/>
  <c r="R40" i="17"/>
  <c r="K43" i="32"/>
  <c r="J43" i="32"/>
  <c r="O43" i="32"/>
  <c r="L43" i="32"/>
  <c r="P40" i="19"/>
  <c r="F43" i="31"/>
  <c r="O43" i="31" s="1"/>
  <c r="AJ31" i="31"/>
  <c r="Q40" i="19"/>
  <c r="M42" i="19"/>
  <c r="Q42" i="19" s="1"/>
  <c r="J43" i="29"/>
  <c r="P43" i="29" s="1"/>
  <c r="K43" i="29"/>
  <c r="M43" i="29" s="1"/>
  <c r="R40" i="28"/>
  <c r="P41" i="28"/>
  <c r="V43" i="28"/>
  <c r="Q40" i="28"/>
  <c r="T43" i="28"/>
  <c r="Q41" i="28"/>
  <c r="P41" i="27"/>
  <c r="T43" i="27" s="1"/>
  <c r="R41" i="27"/>
  <c r="S41" i="27"/>
  <c r="W41" i="27" s="1"/>
  <c r="M41" i="21"/>
  <c r="O40" i="21" s="1"/>
  <c r="L40" i="20"/>
  <c r="K40" i="20"/>
  <c r="J40" i="20"/>
  <c r="AK31" i="20"/>
  <c r="F43" i="20"/>
  <c r="AJ31" i="20"/>
  <c r="L41" i="30"/>
  <c r="K41" i="30"/>
  <c r="J41" i="30"/>
  <c r="AI29" i="18"/>
  <c r="AF29" i="18"/>
  <c r="AG29" i="18"/>
  <c r="AK30" i="30"/>
  <c r="F42" i="30"/>
  <c r="AJ30" i="30"/>
  <c r="M40" i="30"/>
  <c r="AI31" i="23"/>
  <c r="AI30" i="23"/>
  <c r="K40" i="23"/>
  <c r="J40" i="23"/>
  <c r="L40" i="23"/>
  <c r="AK31" i="30"/>
  <c r="F43" i="30"/>
  <c r="AJ31" i="30"/>
  <c r="K43" i="21"/>
  <c r="J43" i="21"/>
  <c r="L43" i="21"/>
  <c r="O43" i="21"/>
  <c r="L42" i="21"/>
  <c r="J42" i="21"/>
  <c r="O42" i="21"/>
  <c r="K42" i="21"/>
  <c r="AJ28" i="18"/>
  <c r="F40" i="18"/>
  <c r="AK28" i="18"/>
  <c r="M41" i="31"/>
  <c r="F41" i="23"/>
  <c r="AJ29" i="23"/>
  <c r="AK29" i="23"/>
  <c r="M40" i="31"/>
  <c r="AG31" i="18"/>
  <c r="AF31" i="18"/>
  <c r="M43" i="19"/>
  <c r="Q43" i="19" s="1"/>
  <c r="M43" i="3"/>
  <c r="Q43" i="3" s="1"/>
  <c r="L42" i="29"/>
  <c r="O42" i="29"/>
  <c r="J42" i="29"/>
  <c r="K42" i="29"/>
  <c r="M41" i="29"/>
  <c r="O40" i="29" s="1"/>
  <c r="J42" i="31"/>
  <c r="O42" i="31"/>
  <c r="K42" i="31"/>
  <c r="L42" i="31"/>
  <c r="R43" i="3"/>
  <c r="S43" i="3"/>
  <c r="P43" i="3"/>
  <c r="T43" i="24"/>
  <c r="O41" i="3"/>
  <c r="P41" i="3" s="1"/>
  <c r="Q40" i="24"/>
  <c r="U43" i="24" s="1"/>
  <c r="Q40" i="3"/>
  <c r="R40" i="3"/>
  <c r="M42" i="3"/>
  <c r="Q42" i="3" s="1"/>
  <c r="R42" i="19"/>
  <c r="P42" i="19"/>
  <c r="W41" i="17"/>
  <c r="V41" i="17"/>
  <c r="U41" i="17"/>
  <c r="T41" i="17"/>
  <c r="V43" i="33"/>
  <c r="V43" i="27"/>
  <c r="U43" i="27"/>
  <c r="U43" i="17"/>
  <c r="T43" i="17"/>
  <c r="V43" i="17"/>
  <c r="R42" i="3"/>
  <c r="P42" i="3"/>
  <c r="P43" i="19"/>
  <c r="S43" i="19"/>
  <c r="R43" i="19"/>
  <c r="T41" i="24"/>
  <c r="W41" i="24"/>
  <c r="S40" i="33"/>
  <c r="S42" i="33"/>
  <c r="R41" i="33"/>
  <c r="S41" i="33"/>
  <c r="Q41" i="33"/>
  <c r="P41" i="33"/>
  <c r="V41" i="28"/>
  <c r="U43" i="33"/>
  <c r="W41" i="19"/>
  <c r="AJ30" i="20" l="1"/>
  <c r="U41" i="24"/>
  <c r="V41" i="24"/>
  <c r="F42" i="20"/>
  <c r="L42" i="20" s="1"/>
  <c r="R42" i="32"/>
  <c r="M42" i="32"/>
  <c r="Q42" i="32" s="1"/>
  <c r="Q43" i="29"/>
  <c r="U41" i="28"/>
  <c r="T41" i="28"/>
  <c r="S42" i="17"/>
  <c r="U42" i="17" s="1"/>
  <c r="Q40" i="32"/>
  <c r="P40" i="32"/>
  <c r="K43" i="31"/>
  <c r="R43" i="31" s="1"/>
  <c r="O41" i="31"/>
  <c r="S41" i="31" s="1"/>
  <c r="L41" i="20"/>
  <c r="M41" i="20" s="1"/>
  <c r="J41" i="20"/>
  <c r="R43" i="29"/>
  <c r="S40" i="28"/>
  <c r="Z41" i="28" s="1"/>
  <c r="S40" i="27"/>
  <c r="V40" i="27" s="1"/>
  <c r="J43" i="31"/>
  <c r="P43" i="31" s="1"/>
  <c r="L43" i="31"/>
  <c r="S42" i="28"/>
  <c r="V42" i="28" s="1"/>
  <c r="O41" i="32"/>
  <c r="S41" i="32" s="1"/>
  <c r="M43" i="32"/>
  <c r="Q43" i="32" s="1"/>
  <c r="S40" i="24"/>
  <c r="O41" i="21"/>
  <c r="Q41" i="21" s="1"/>
  <c r="U43" i="22"/>
  <c r="Q41" i="22"/>
  <c r="P41" i="22"/>
  <c r="S41" i="22"/>
  <c r="Q40" i="22"/>
  <c r="R40" i="22"/>
  <c r="T43" i="22"/>
  <c r="V43" i="22"/>
  <c r="U41" i="27"/>
  <c r="S42" i="27"/>
  <c r="T42" i="27" s="1"/>
  <c r="T41" i="27"/>
  <c r="V41" i="27"/>
  <c r="S40" i="17"/>
  <c r="Y41" i="17" s="1"/>
  <c r="AI30" i="18"/>
  <c r="AK30" i="18" s="1"/>
  <c r="S43" i="32"/>
  <c r="P43" i="32"/>
  <c r="R43" i="32"/>
  <c r="O40" i="31"/>
  <c r="R40" i="31" s="1"/>
  <c r="M42" i="31"/>
  <c r="Q42" i="31" s="1"/>
  <c r="M42" i="21"/>
  <c r="Q42" i="21" s="1"/>
  <c r="M42" i="29"/>
  <c r="Q42" i="29" s="1"/>
  <c r="M40" i="23"/>
  <c r="P40" i="21"/>
  <c r="Q40" i="21"/>
  <c r="R40" i="21"/>
  <c r="M41" i="30"/>
  <c r="O40" i="30" s="1"/>
  <c r="P40" i="30" s="1"/>
  <c r="M40" i="20"/>
  <c r="O43" i="20"/>
  <c r="L43" i="20"/>
  <c r="J43" i="20"/>
  <c r="K43" i="20"/>
  <c r="S40" i="19"/>
  <c r="V40" i="19" s="1"/>
  <c r="Q40" i="29"/>
  <c r="P40" i="29"/>
  <c r="R40" i="29"/>
  <c r="S42" i="19"/>
  <c r="V42" i="19" s="1"/>
  <c r="R43" i="21"/>
  <c r="S43" i="21"/>
  <c r="P43" i="21"/>
  <c r="AJ31" i="23"/>
  <c r="AK31" i="23"/>
  <c r="F43" i="23"/>
  <c r="O41" i="29"/>
  <c r="V43" i="29" s="1"/>
  <c r="P42" i="21"/>
  <c r="R42" i="21"/>
  <c r="P42" i="29"/>
  <c r="R42" i="29"/>
  <c r="K40" i="18"/>
  <c r="L40" i="18"/>
  <c r="J40" i="18"/>
  <c r="J43" i="30"/>
  <c r="O43" i="30"/>
  <c r="L43" i="30"/>
  <c r="K43" i="30"/>
  <c r="R42" i="31"/>
  <c r="P42" i="31"/>
  <c r="AI31" i="18"/>
  <c r="S43" i="31"/>
  <c r="L41" i="23"/>
  <c r="J41" i="23"/>
  <c r="K41" i="23"/>
  <c r="M43" i="21"/>
  <c r="Q43" i="21" s="1"/>
  <c r="AJ30" i="23"/>
  <c r="F42" i="23"/>
  <c r="AK30" i="23"/>
  <c r="O42" i="30"/>
  <c r="K42" i="30"/>
  <c r="L42" i="30"/>
  <c r="J42" i="30"/>
  <c r="AK29" i="18"/>
  <c r="F41" i="18"/>
  <c r="AJ29" i="18"/>
  <c r="S42" i="24"/>
  <c r="V42" i="24" s="1"/>
  <c r="T43" i="3"/>
  <c r="S41" i="3"/>
  <c r="W41" i="3" s="1"/>
  <c r="R41" i="3"/>
  <c r="V43" i="3"/>
  <c r="Q41" i="3"/>
  <c r="S42" i="3"/>
  <c r="U42" i="3" s="1"/>
  <c r="S40" i="3"/>
  <c r="U40" i="3" s="1"/>
  <c r="U42" i="33"/>
  <c r="V42" i="33"/>
  <c r="T42" i="33"/>
  <c r="W42" i="33"/>
  <c r="V42" i="17"/>
  <c r="T40" i="33"/>
  <c r="V40" i="33"/>
  <c r="U40" i="33"/>
  <c r="T43" i="19"/>
  <c r="U43" i="19"/>
  <c r="V43" i="19"/>
  <c r="V41" i="33"/>
  <c r="W41" i="33"/>
  <c r="U41" i="33"/>
  <c r="T41" i="33"/>
  <c r="K42" i="20" l="1"/>
  <c r="M42" i="20" s="1"/>
  <c r="T42" i="28"/>
  <c r="W42" i="17"/>
  <c r="P41" i="31"/>
  <c r="J42" i="20"/>
  <c r="O42" i="20"/>
  <c r="M43" i="31"/>
  <c r="Q43" i="31" s="1"/>
  <c r="U43" i="31" s="1"/>
  <c r="V40" i="28"/>
  <c r="X41" i="28"/>
  <c r="U40" i="28"/>
  <c r="U40" i="27"/>
  <c r="Y41" i="27"/>
  <c r="T42" i="17"/>
  <c r="X42" i="17" s="1"/>
  <c r="S40" i="32"/>
  <c r="V40" i="32" s="1"/>
  <c r="S42" i="32"/>
  <c r="T42" i="32" s="1"/>
  <c r="P41" i="32"/>
  <c r="T41" i="32" s="1"/>
  <c r="Q41" i="31"/>
  <c r="U41" i="31" s="1"/>
  <c r="R41" i="31"/>
  <c r="V41" i="31" s="1"/>
  <c r="O41" i="20"/>
  <c r="S41" i="20" s="1"/>
  <c r="T43" i="29"/>
  <c r="U43" i="29"/>
  <c r="Y41" i="28"/>
  <c r="W42" i="28"/>
  <c r="X42" i="28" s="1"/>
  <c r="T40" i="28"/>
  <c r="U42" i="28"/>
  <c r="X41" i="27"/>
  <c r="T40" i="27"/>
  <c r="Z41" i="27"/>
  <c r="R41" i="32"/>
  <c r="V41" i="32" s="1"/>
  <c r="Q41" i="32"/>
  <c r="U41" i="32" s="1"/>
  <c r="V40" i="24"/>
  <c r="Z41" i="24" s="1"/>
  <c r="U40" i="24"/>
  <c r="Y41" i="24" s="1"/>
  <c r="T40" i="24"/>
  <c r="X41" i="24" s="1"/>
  <c r="S41" i="21"/>
  <c r="P41" i="21"/>
  <c r="R41" i="21"/>
  <c r="W41" i="22"/>
  <c r="T41" i="22"/>
  <c r="V41" i="22"/>
  <c r="U41" i="22"/>
  <c r="S42" i="22"/>
  <c r="S40" i="22"/>
  <c r="W42" i="27"/>
  <c r="V42" i="27"/>
  <c r="U42" i="27"/>
  <c r="M41" i="23"/>
  <c r="O40" i="23" s="1"/>
  <c r="P40" i="23" s="1"/>
  <c r="V40" i="17"/>
  <c r="X41" i="17"/>
  <c r="T40" i="17"/>
  <c r="U40" i="17"/>
  <c r="Z41" i="17"/>
  <c r="AJ30" i="18"/>
  <c r="F42" i="18"/>
  <c r="J42" i="18" s="1"/>
  <c r="W41" i="32"/>
  <c r="T43" i="32"/>
  <c r="V43" i="32"/>
  <c r="U43" i="32"/>
  <c r="P40" i="31"/>
  <c r="Y41" i="19"/>
  <c r="Q40" i="31"/>
  <c r="Z41" i="19"/>
  <c r="W42" i="19"/>
  <c r="Z42" i="19" s="1"/>
  <c r="U42" i="19"/>
  <c r="T40" i="19"/>
  <c r="T42" i="19"/>
  <c r="U40" i="19"/>
  <c r="X41" i="19"/>
  <c r="R40" i="30"/>
  <c r="M42" i="30"/>
  <c r="Q42" i="30" s="1"/>
  <c r="Q40" i="30"/>
  <c r="O40" i="20"/>
  <c r="R40" i="20" s="1"/>
  <c r="Q42" i="20"/>
  <c r="O41" i="30"/>
  <c r="R41" i="30" s="1"/>
  <c r="M43" i="20"/>
  <c r="Q43" i="20" s="1"/>
  <c r="P43" i="20"/>
  <c r="R43" i="20"/>
  <c r="S43" i="20"/>
  <c r="S42" i="21"/>
  <c r="V42" i="21" s="1"/>
  <c r="R42" i="30"/>
  <c r="P42" i="30"/>
  <c r="V43" i="31"/>
  <c r="T43" i="31"/>
  <c r="S40" i="21"/>
  <c r="M43" i="30"/>
  <c r="Q43" i="30" s="1"/>
  <c r="V43" i="21"/>
  <c r="U43" i="21"/>
  <c r="T43" i="21"/>
  <c r="O42" i="23"/>
  <c r="K42" i="23"/>
  <c r="L42" i="23"/>
  <c r="J42" i="23"/>
  <c r="R43" i="30"/>
  <c r="P43" i="30"/>
  <c r="S43" i="30"/>
  <c r="M40" i="18"/>
  <c r="R41" i="29"/>
  <c r="Q41" i="29"/>
  <c r="S41" i="29"/>
  <c r="P41" i="29"/>
  <c r="T41" i="31"/>
  <c r="W41" i="31"/>
  <c r="S42" i="29"/>
  <c r="S40" i="29"/>
  <c r="K41" i="18"/>
  <c r="J41" i="18"/>
  <c r="L41" i="18"/>
  <c r="AK31" i="18"/>
  <c r="AJ31" i="18"/>
  <c r="F43" i="18"/>
  <c r="J43" i="23"/>
  <c r="L43" i="23"/>
  <c r="O43" i="23"/>
  <c r="K43" i="23"/>
  <c r="V42" i="3"/>
  <c r="T41" i="3"/>
  <c r="V41" i="3"/>
  <c r="U41" i="3"/>
  <c r="Y41" i="3" s="1"/>
  <c r="U43" i="3"/>
  <c r="W42" i="3"/>
  <c r="T42" i="24"/>
  <c r="U42" i="24"/>
  <c r="T42" i="3"/>
  <c r="W42" i="24"/>
  <c r="V40" i="3"/>
  <c r="T40" i="3"/>
  <c r="Z42" i="17"/>
  <c r="Y42" i="17"/>
  <c r="Z41" i="33"/>
  <c r="Y41" i="33"/>
  <c r="X41" i="33"/>
  <c r="W40" i="27"/>
  <c r="W43" i="27"/>
  <c r="W40" i="33"/>
  <c r="W43" i="33"/>
  <c r="Y42" i="33"/>
  <c r="Z42" i="33"/>
  <c r="X42" i="33"/>
  <c r="R42" i="20" l="1"/>
  <c r="Z42" i="24"/>
  <c r="Z41" i="3"/>
  <c r="X41" i="3"/>
  <c r="P42" i="20"/>
  <c r="U40" i="32"/>
  <c r="T40" i="32"/>
  <c r="W40" i="32" s="1"/>
  <c r="W43" i="28"/>
  <c r="AA43" i="28" s="1"/>
  <c r="Q41" i="20"/>
  <c r="U41" i="20" s="1"/>
  <c r="V42" i="32"/>
  <c r="U42" i="32"/>
  <c r="W42" i="32"/>
  <c r="X42" i="32" s="1"/>
  <c r="K42" i="18"/>
  <c r="P41" i="20"/>
  <c r="T41" i="20" s="1"/>
  <c r="R41" i="20"/>
  <c r="V41" i="20" s="1"/>
  <c r="P40" i="20"/>
  <c r="Q40" i="20"/>
  <c r="T41" i="21"/>
  <c r="Y42" i="28"/>
  <c r="Z42" i="28"/>
  <c r="W40" i="28"/>
  <c r="Y40" i="28" s="1"/>
  <c r="W40" i="19"/>
  <c r="AA40" i="19" s="1"/>
  <c r="S40" i="31"/>
  <c r="Z41" i="31" s="1"/>
  <c r="O42" i="18"/>
  <c r="W40" i="24"/>
  <c r="Z40" i="24" s="1"/>
  <c r="W43" i="24"/>
  <c r="Y43" i="24" s="1"/>
  <c r="V41" i="21"/>
  <c r="U41" i="21"/>
  <c r="W41" i="21"/>
  <c r="Z41" i="22"/>
  <c r="U40" i="22"/>
  <c r="T40" i="22"/>
  <c r="Y41" i="22"/>
  <c r="V40" i="22"/>
  <c r="X41" i="22"/>
  <c r="V42" i="22"/>
  <c r="W42" i="22"/>
  <c r="T42" i="22"/>
  <c r="U42" i="22"/>
  <c r="Y42" i="27"/>
  <c r="Z42" i="27"/>
  <c r="X42" i="27"/>
  <c r="W40" i="17"/>
  <c r="X40" i="17" s="1"/>
  <c r="L42" i="18"/>
  <c r="U42" i="21"/>
  <c r="R40" i="23"/>
  <c r="Q40" i="23"/>
  <c r="O41" i="23"/>
  <c r="R41" i="23" s="1"/>
  <c r="AA41" i="17"/>
  <c r="W43" i="17"/>
  <c r="AA43" i="17" s="1"/>
  <c r="M41" i="18"/>
  <c r="O41" i="18" s="1"/>
  <c r="R41" i="18" s="1"/>
  <c r="Y41" i="32"/>
  <c r="X41" i="32"/>
  <c r="Z41" i="32"/>
  <c r="Y42" i="19"/>
  <c r="S42" i="31"/>
  <c r="W42" i="31" s="1"/>
  <c r="W43" i="19"/>
  <c r="AA43" i="19" s="1"/>
  <c r="X42" i="19"/>
  <c r="Q41" i="30"/>
  <c r="S42" i="30"/>
  <c r="U42" i="30" s="1"/>
  <c r="S41" i="30"/>
  <c r="P41" i="30"/>
  <c r="S40" i="30"/>
  <c r="M42" i="23"/>
  <c r="Q42" i="23" s="1"/>
  <c r="W42" i="21"/>
  <c r="M43" i="23"/>
  <c r="Q43" i="23" s="1"/>
  <c r="T42" i="21"/>
  <c r="T43" i="20"/>
  <c r="V43" i="20"/>
  <c r="U43" i="20"/>
  <c r="W41" i="20"/>
  <c r="O43" i="18"/>
  <c r="J43" i="18"/>
  <c r="L43" i="18"/>
  <c r="K43" i="18"/>
  <c r="R42" i="23"/>
  <c r="P42" i="23"/>
  <c r="P43" i="23"/>
  <c r="S43" i="23"/>
  <c r="R43" i="23"/>
  <c r="W41" i="29"/>
  <c r="T41" i="29"/>
  <c r="U41" i="29"/>
  <c r="V41" i="29"/>
  <c r="T43" i="30"/>
  <c r="V43" i="30"/>
  <c r="U43" i="30"/>
  <c r="AA42" i="17"/>
  <c r="AE42" i="17" s="1"/>
  <c r="V40" i="29"/>
  <c r="T40" i="29"/>
  <c r="U40" i="29"/>
  <c r="U40" i="21"/>
  <c r="V40" i="21"/>
  <c r="T40" i="21"/>
  <c r="V42" i="29"/>
  <c r="T42" i="29"/>
  <c r="U42" i="29"/>
  <c r="W42" i="29"/>
  <c r="X42" i="3"/>
  <c r="Y42" i="3"/>
  <c r="Z42" i="3"/>
  <c r="X42" i="24"/>
  <c r="Y42" i="24"/>
  <c r="W43" i="3"/>
  <c r="AA43" i="3" s="1"/>
  <c r="W40" i="3"/>
  <c r="Z40" i="3" s="1"/>
  <c r="X43" i="27"/>
  <c r="Z43" i="27"/>
  <c r="AA43" i="27"/>
  <c r="Y43" i="27"/>
  <c r="Y43" i="33"/>
  <c r="Z43" i="33"/>
  <c r="X43" i="33"/>
  <c r="AA43" i="33"/>
  <c r="AA40" i="27"/>
  <c r="Y40" i="27"/>
  <c r="Z40" i="27"/>
  <c r="X40" i="27"/>
  <c r="AA41" i="33"/>
  <c r="AA42" i="33"/>
  <c r="AA40" i="33"/>
  <c r="X40" i="33"/>
  <c r="Z40" i="33"/>
  <c r="Y40" i="33"/>
  <c r="Y43" i="28" l="1"/>
  <c r="AC43" i="28" s="1"/>
  <c r="X43" i="28"/>
  <c r="AB43" i="28" s="1"/>
  <c r="W43" i="32"/>
  <c r="AA43" i="32" s="1"/>
  <c r="Z43" i="28"/>
  <c r="U40" i="31"/>
  <c r="Y41" i="31"/>
  <c r="AA41" i="28"/>
  <c r="AC41" i="28" s="1"/>
  <c r="Z42" i="32"/>
  <c r="AA42" i="28"/>
  <c r="AE42" i="28" s="1"/>
  <c r="Z43" i="17"/>
  <c r="AD43" i="17" s="1"/>
  <c r="Z40" i="19"/>
  <c r="AD40" i="19" s="1"/>
  <c r="X43" i="17"/>
  <c r="AB43" i="17" s="1"/>
  <c r="Y40" i="17"/>
  <c r="Y42" i="32"/>
  <c r="M42" i="18"/>
  <c r="Q42" i="18" s="1"/>
  <c r="R42" i="18"/>
  <c r="P41" i="18"/>
  <c r="O40" i="18"/>
  <c r="P40" i="18" s="1"/>
  <c r="T42" i="31"/>
  <c r="X42" i="31" s="1"/>
  <c r="U42" i="31"/>
  <c r="Y42" i="31" s="1"/>
  <c r="V42" i="31"/>
  <c r="Z42" i="31" s="1"/>
  <c r="V40" i="31"/>
  <c r="X41" i="31"/>
  <c r="T40" i="31"/>
  <c r="Y40" i="19"/>
  <c r="AC40" i="19" s="1"/>
  <c r="X40" i="19"/>
  <c r="AB40" i="19" s="1"/>
  <c r="S42" i="20"/>
  <c r="W42" i="20" s="1"/>
  <c r="V42" i="30"/>
  <c r="T42" i="30"/>
  <c r="S40" i="20"/>
  <c r="Z41" i="20" s="1"/>
  <c r="W42" i="30"/>
  <c r="X41" i="21"/>
  <c r="AA40" i="28"/>
  <c r="AC40" i="28" s="1"/>
  <c r="X40" i="28"/>
  <c r="Z40" i="28"/>
  <c r="Y40" i="24"/>
  <c r="AA40" i="24"/>
  <c r="AE40" i="24" s="1"/>
  <c r="X40" i="24"/>
  <c r="P42" i="18"/>
  <c r="Q41" i="18"/>
  <c r="S41" i="18"/>
  <c r="W41" i="18" s="1"/>
  <c r="Y43" i="17"/>
  <c r="AC43" i="17" s="1"/>
  <c r="AC41" i="17"/>
  <c r="AA40" i="17"/>
  <c r="Z40" i="17"/>
  <c r="AA43" i="24"/>
  <c r="AA42" i="27"/>
  <c r="AE42" i="27" s="1"/>
  <c r="Z43" i="24"/>
  <c r="X43" i="24"/>
  <c r="Y41" i="21"/>
  <c r="Z41" i="21"/>
  <c r="Y42" i="21"/>
  <c r="Z42" i="22"/>
  <c r="Y42" i="22"/>
  <c r="X42" i="22"/>
  <c r="W43" i="22"/>
  <c r="W40" i="22"/>
  <c r="AA41" i="27"/>
  <c r="AD41" i="27" s="1"/>
  <c r="Q41" i="23"/>
  <c r="P41" i="23"/>
  <c r="S41" i="23"/>
  <c r="V41" i="23" s="1"/>
  <c r="AB41" i="17"/>
  <c r="AD41" i="17"/>
  <c r="AD42" i="17"/>
  <c r="AB42" i="17"/>
  <c r="AC42" i="17"/>
  <c r="AA40" i="32"/>
  <c r="Y40" i="32"/>
  <c r="X40" i="32"/>
  <c r="Z40" i="32"/>
  <c r="Y43" i="32"/>
  <c r="Z43" i="32"/>
  <c r="X43" i="32"/>
  <c r="AA41" i="19"/>
  <c r="AA42" i="19"/>
  <c r="AB42" i="19" s="1"/>
  <c r="Y43" i="19"/>
  <c r="AC43" i="19" s="1"/>
  <c r="X43" i="19"/>
  <c r="AB43" i="19" s="1"/>
  <c r="Z43" i="19"/>
  <c r="AD43" i="19" s="1"/>
  <c r="U40" i="30"/>
  <c r="V41" i="30"/>
  <c r="U41" i="30"/>
  <c r="W41" i="30"/>
  <c r="T41" i="30"/>
  <c r="V40" i="30"/>
  <c r="T40" i="30"/>
  <c r="Z42" i="21"/>
  <c r="X42" i="21"/>
  <c r="AB41" i="28"/>
  <c r="AD41" i="28"/>
  <c r="S40" i="23"/>
  <c r="T40" i="23" s="1"/>
  <c r="S42" i="23"/>
  <c r="M43" i="18"/>
  <c r="Q43" i="18" s="1"/>
  <c r="W43" i="29"/>
  <c r="W40" i="29"/>
  <c r="T43" i="23"/>
  <c r="V43" i="23"/>
  <c r="U43" i="23"/>
  <c r="Z41" i="29"/>
  <c r="X41" i="29"/>
  <c r="Y41" i="29"/>
  <c r="Y42" i="29"/>
  <c r="Z42" i="29"/>
  <c r="X42" i="29"/>
  <c r="W40" i="21"/>
  <c r="W43" i="21"/>
  <c r="S43" i="18"/>
  <c r="R43" i="18"/>
  <c r="P43" i="18"/>
  <c r="AA41" i="3"/>
  <c r="AA41" i="24"/>
  <c r="AA42" i="3"/>
  <c r="AE42" i="3" s="1"/>
  <c r="AA42" i="24"/>
  <c r="Y40" i="3"/>
  <c r="Z43" i="3"/>
  <c r="AD43" i="3" s="1"/>
  <c r="X43" i="3"/>
  <c r="Y43" i="3"/>
  <c r="X40" i="3"/>
  <c r="AA40" i="3"/>
  <c r="AE40" i="3" s="1"/>
  <c r="AD41" i="33"/>
  <c r="AC41" i="33"/>
  <c r="AB41" i="33"/>
  <c r="AB43" i="27"/>
  <c r="AD43" i="27"/>
  <c r="AC43" i="27"/>
  <c r="AE40" i="19"/>
  <c r="AD43" i="28"/>
  <c r="AE40" i="33"/>
  <c r="AB40" i="33"/>
  <c r="AD40" i="33"/>
  <c r="AC40" i="33"/>
  <c r="AC42" i="33"/>
  <c r="AD42" i="33"/>
  <c r="AB42" i="33"/>
  <c r="AE42" i="33"/>
  <c r="AE40" i="27"/>
  <c r="AC40" i="27"/>
  <c r="AD40" i="27"/>
  <c r="AB40" i="27"/>
  <c r="AC43" i="33"/>
  <c r="AB43" i="33"/>
  <c r="AD43" i="33"/>
  <c r="AA42" i="32" l="1"/>
  <c r="AB42" i="32" s="1"/>
  <c r="AD42" i="28"/>
  <c r="AH42" i="28" s="1"/>
  <c r="AB42" i="28"/>
  <c r="AC42" i="28"/>
  <c r="AG42" i="28" s="1"/>
  <c r="AC43" i="24"/>
  <c r="AC41" i="24"/>
  <c r="AC41" i="3"/>
  <c r="AC43" i="3"/>
  <c r="AC42" i="24"/>
  <c r="AB43" i="3"/>
  <c r="AH42" i="17"/>
  <c r="AA41" i="32"/>
  <c r="AD41" i="32" s="1"/>
  <c r="U42" i="20"/>
  <c r="Y42" i="20" s="1"/>
  <c r="T42" i="20"/>
  <c r="X42" i="20" s="1"/>
  <c r="V42" i="20"/>
  <c r="Z42" i="20" s="1"/>
  <c r="AD40" i="17"/>
  <c r="AC40" i="17"/>
  <c r="AE40" i="17"/>
  <c r="AF42" i="17"/>
  <c r="T41" i="18"/>
  <c r="Q40" i="18"/>
  <c r="U41" i="18"/>
  <c r="R40" i="18"/>
  <c r="V41" i="18"/>
  <c r="W40" i="31"/>
  <c r="X40" i="31" s="1"/>
  <c r="W43" i="31"/>
  <c r="AA43" i="31" s="1"/>
  <c r="Z42" i="30"/>
  <c r="T40" i="20"/>
  <c r="Y41" i="20"/>
  <c r="X41" i="20"/>
  <c r="Y42" i="30"/>
  <c r="U40" i="20"/>
  <c r="X42" i="30"/>
  <c r="V40" i="20"/>
  <c r="AB40" i="28"/>
  <c r="AE40" i="28"/>
  <c r="AI40" i="28" s="1"/>
  <c r="AD40" i="28"/>
  <c r="AD42" i="27"/>
  <c r="AH42" i="27" s="1"/>
  <c r="AB40" i="24"/>
  <c r="AF40" i="24" s="1"/>
  <c r="AD40" i="24"/>
  <c r="AH40" i="24" s="1"/>
  <c r="AC40" i="24"/>
  <c r="AB43" i="24"/>
  <c r="AD43" i="24"/>
  <c r="AB40" i="17"/>
  <c r="AG42" i="17"/>
  <c r="AB42" i="27"/>
  <c r="AF42" i="27" s="1"/>
  <c r="AC41" i="27"/>
  <c r="AB41" i="27"/>
  <c r="AC42" i="27"/>
  <c r="AG42" i="27" s="1"/>
  <c r="AA41" i="22"/>
  <c r="AA42" i="22"/>
  <c r="X43" i="22"/>
  <c r="Z43" i="22"/>
  <c r="AA43" i="22"/>
  <c r="Y43" i="22"/>
  <c r="Z40" i="22"/>
  <c r="AA40" i="22"/>
  <c r="Y40" i="22"/>
  <c r="X40" i="22"/>
  <c r="U41" i="23"/>
  <c r="T41" i="23"/>
  <c r="W41" i="23"/>
  <c r="Z41" i="23" s="1"/>
  <c r="AD41" i="3"/>
  <c r="AD43" i="32"/>
  <c r="AC43" i="32"/>
  <c r="AB43" i="32"/>
  <c r="AE42" i="32"/>
  <c r="AD42" i="32"/>
  <c r="AC42" i="32"/>
  <c r="AC40" i="32"/>
  <c r="AD40" i="32"/>
  <c r="AB40" i="32"/>
  <c r="AE40" i="32"/>
  <c r="AC41" i="19"/>
  <c r="AB41" i="19"/>
  <c r="AD41" i="19"/>
  <c r="AC42" i="19"/>
  <c r="AD42" i="19"/>
  <c r="AE42" i="19"/>
  <c r="AF42" i="19" s="1"/>
  <c r="X41" i="30"/>
  <c r="Y41" i="30"/>
  <c r="W43" i="30"/>
  <c r="Z43" i="30" s="1"/>
  <c r="Z41" i="30"/>
  <c r="W40" i="30"/>
  <c r="Z40" i="30" s="1"/>
  <c r="AA41" i="21"/>
  <c r="AC41" i="21" s="1"/>
  <c r="AA41" i="29"/>
  <c r="AD41" i="29" s="1"/>
  <c r="AA42" i="21"/>
  <c r="AC42" i="21" s="1"/>
  <c r="AF42" i="28"/>
  <c r="V40" i="23"/>
  <c r="U40" i="23"/>
  <c r="AA41" i="31"/>
  <c r="T43" i="18"/>
  <c r="U43" i="18"/>
  <c r="V43" i="18"/>
  <c r="AA42" i="31"/>
  <c r="X40" i="21"/>
  <c r="AA40" i="21"/>
  <c r="Y40" i="21"/>
  <c r="Z40" i="21"/>
  <c r="Z43" i="29"/>
  <c r="X43" i="29"/>
  <c r="AA43" i="29"/>
  <c r="Y43" i="29"/>
  <c r="AA42" i="29"/>
  <c r="AA40" i="31"/>
  <c r="Y40" i="31"/>
  <c r="Z40" i="31"/>
  <c r="AE43" i="17"/>
  <c r="AG43" i="17" s="1"/>
  <c r="AE43" i="28"/>
  <c r="AF43" i="28" s="1"/>
  <c r="AA43" i="21"/>
  <c r="X43" i="21"/>
  <c r="Z43" i="21"/>
  <c r="Y43" i="21"/>
  <c r="Z40" i="29"/>
  <c r="X40" i="29"/>
  <c r="AA40" i="29"/>
  <c r="Y40" i="29"/>
  <c r="W42" i="23"/>
  <c r="V42" i="23"/>
  <c r="U42" i="23"/>
  <c r="T42" i="23"/>
  <c r="AB41" i="3"/>
  <c r="AD42" i="3"/>
  <c r="AB42" i="3"/>
  <c r="AC42" i="3"/>
  <c r="AD41" i="24"/>
  <c r="AB41" i="24"/>
  <c r="AC40" i="3"/>
  <c r="AG40" i="3" s="1"/>
  <c r="AB42" i="24"/>
  <c r="AE42" i="24"/>
  <c r="AD42" i="24"/>
  <c r="AD40" i="3"/>
  <c r="AH40" i="3" s="1"/>
  <c r="AB40" i="3"/>
  <c r="AF40" i="3" s="1"/>
  <c r="AI40" i="27"/>
  <c r="AG40" i="27"/>
  <c r="AH40" i="27"/>
  <c r="AF40" i="27"/>
  <c r="AG42" i="33"/>
  <c r="AH42" i="33"/>
  <c r="AF42" i="33"/>
  <c r="AE41" i="17"/>
  <c r="AI40" i="24"/>
  <c r="AG40" i="24"/>
  <c r="AE41" i="28"/>
  <c r="AI40" i="33"/>
  <c r="AF40" i="33"/>
  <c r="AH40" i="33"/>
  <c r="AG40" i="33"/>
  <c r="AI40" i="19"/>
  <c r="AG40" i="19"/>
  <c r="AF40" i="19"/>
  <c r="AH40" i="19"/>
  <c r="AI40" i="3"/>
  <c r="AE41" i="33"/>
  <c r="AE43" i="33"/>
  <c r="AF40" i="28" l="1"/>
  <c r="AJ40" i="28" s="1"/>
  <c r="AH40" i="28"/>
  <c r="AB41" i="32"/>
  <c r="AC41" i="32"/>
  <c r="AE41" i="32" s="1"/>
  <c r="W40" i="20"/>
  <c r="X40" i="20" s="1"/>
  <c r="AG42" i="24"/>
  <c r="AG42" i="3"/>
  <c r="AF42" i="3"/>
  <c r="AH42" i="3"/>
  <c r="AH40" i="17"/>
  <c r="AG40" i="17"/>
  <c r="AF40" i="17"/>
  <c r="AI40" i="17"/>
  <c r="F52" i="17" s="1"/>
  <c r="B68" i="25" s="1"/>
  <c r="Q17" i="11" s="1"/>
  <c r="AF43" i="17"/>
  <c r="S40" i="18"/>
  <c r="X41" i="18" s="1"/>
  <c r="S42" i="18"/>
  <c r="V42" i="18" s="1"/>
  <c r="Y43" i="31"/>
  <c r="AC43" i="31" s="1"/>
  <c r="Z43" i="31"/>
  <c r="AD43" i="31" s="1"/>
  <c r="X43" i="31"/>
  <c r="AB43" i="31" s="1"/>
  <c r="AC41" i="31"/>
  <c r="W43" i="20"/>
  <c r="X43" i="20" s="1"/>
  <c r="AD41" i="21"/>
  <c r="AG40" i="28"/>
  <c r="AK40" i="28" s="1"/>
  <c r="Y43" i="30"/>
  <c r="X43" i="30"/>
  <c r="AE43" i="27"/>
  <c r="AF43" i="27" s="1"/>
  <c r="AA43" i="30"/>
  <c r="AE41" i="27"/>
  <c r="AI41" i="27" s="1"/>
  <c r="AB41" i="21"/>
  <c r="AD42" i="21"/>
  <c r="AB42" i="21"/>
  <c r="AE42" i="21"/>
  <c r="AG42" i="21" s="1"/>
  <c r="AE42" i="22"/>
  <c r="AD42" i="22"/>
  <c r="AB42" i="22"/>
  <c r="AC42" i="22"/>
  <c r="AE40" i="22"/>
  <c r="AD40" i="22"/>
  <c r="AC40" i="22"/>
  <c r="AB40" i="22"/>
  <c r="AB43" i="22"/>
  <c r="AD43" i="22"/>
  <c r="AC43" i="22"/>
  <c r="AD41" i="22"/>
  <c r="AC41" i="22"/>
  <c r="AB41" i="22"/>
  <c r="X41" i="23"/>
  <c r="Y41" i="23"/>
  <c r="AE41" i="3"/>
  <c r="AI41" i="3" s="1"/>
  <c r="F53" i="3" s="1"/>
  <c r="AE43" i="19"/>
  <c r="AG43" i="19" s="1"/>
  <c r="W43" i="23"/>
  <c r="AA43" i="23" s="1"/>
  <c r="AH43" i="17"/>
  <c r="AG40" i="32"/>
  <c r="AF40" i="32"/>
  <c r="AH40" i="32"/>
  <c r="AI40" i="32"/>
  <c r="AG42" i="32"/>
  <c r="AH42" i="32"/>
  <c r="AF42" i="32"/>
  <c r="AE41" i="19"/>
  <c r="AH42" i="19"/>
  <c r="AG42" i="19"/>
  <c r="AB41" i="31"/>
  <c r="AD41" i="31"/>
  <c r="X40" i="30"/>
  <c r="AA41" i="30"/>
  <c r="AD41" i="30" s="1"/>
  <c r="AA41" i="20"/>
  <c r="AA42" i="30"/>
  <c r="AE42" i="30" s="1"/>
  <c r="Y40" i="30"/>
  <c r="AA40" i="30"/>
  <c r="AD40" i="30" s="1"/>
  <c r="AA42" i="20"/>
  <c r="AE42" i="20" s="1"/>
  <c r="AB41" i="29"/>
  <c r="AC41" i="29"/>
  <c r="AH43" i="28"/>
  <c r="AG43" i="28"/>
  <c r="W40" i="23"/>
  <c r="Z40" i="23" s="1"/>
  <c r="Z40" i="20"/>
  <c r="Y42" i="23"/>
  <c r="X42" i="23"/>
  <c r="Z42" i="23"/>
  <c r="AC43" i="21"/>
  <c r="AB43" i="21"/>
  <c r="AD43" i="21"/>
  <c r="AD42" i="31"/>
  <c r="AB42" i="31"/>
  <c r="AC42" i="31"/>
  <c r="AE42" i="31"/>
  <c r="AD43" i="30"/>
  <c r="AC40" i="29"/>
  <c r="AE40" i="29"/>
  <c r="AD40" i="29"/>
  <c r="AB40" i="29"/>
  <c r="AE40" i="21"/>
  <c r="AC40" i="21"/>
  <c r="AD40" i="21"/>
  <c r="AB40" i="21"/>
  <c r="AB40" i="31"/>
  <c r="AD40" i="31"/>
  <c r="AE40" i="31"/>
  <c r="AC40" i="31"/>
  <c r="AD42" i="29"/>
  <c r="AE42" i="29"/>
  <c r="AC42" i="29"/>
  <c r="AB42" i="29"/>
  <c r="AD43" i="29"/>
  <c r="AB43" i="29"/>
  <c r="AC43" i="29"/>
  <c r="AE43" i="3"/>
  <c r="AG43" i="3" s="1"/>
  <c r="AE43" i="24"/>
  <c r="AH43" i="24" s="1"/>
  <c r="AE41" i="24"/>
  <c r="AH41" i="24" s="1"/>
  <c r="AF42" i="24"/>
  <c r="AH42" i="24"/>
  <c r="AK40" i="27"/>
  <c r="AL40" i="27"/>
  <c r="F52" i="27"/>
  <c r="AJ40" i="27"/>
  <c r="AG41" i="28"/>
  <c r="AF41" i="28"/>
  <c r="AH41" i="28"/>
  <c r="AI41" i="28"/>
  <c r="AG43" i="33"/>
  <c r="AH43" i="33"/>
  <c r="AF43" i="33"/>
  <c r="AJ40" i="3"/>
  <c r="F52" i="3"/>
  <c r="AK40" i="3"/>
  <c r="AL40" i="3"/>
  <c r="AL40" i="28"/>
  <c r="F52" i="28"/>
  <c r="AI41" i="17"/>
  <c r="AH41" i="17"/>
  <c r="AF41" i="17"/>
  <c r="AG41" i="17"/>
  <c r="AH41" i="33"/>
  <c r="AI41" i="33"/>
  <c r="AG41" i="33"/>
  <c r="AF41" i="33"/>
  <c r="AL40" i="19"/>
  <c r="AK40" i="19"/>
  <c r="F52" i="19"/>
  <c r="B63" i="25" s="1"/>
  <c r="Q17" i="9" s="1"/>
  <c r="AJ40" i="19"/>
  <c r="AJ40" i="33"/>
  <c r="AL40" i="33"/>
  <c r="F52" i="33"/>
  <c r="AK40" i="33"/>
  <c r="AK40" i="24"/>
  <c r="AL40" i="24"/>
  <c r="F52" i="24"/>
  <c r="B33" i="25" s="1"/>
  <c r="AJ40" i="24"/>
  <c r="AE43" i="32" l="1"/>
  <c r="AF43" i="32" s="1"/>
  <c r="AA40" i="20"/>
  <c r="T40" i="18"/>
  <c r="U40" i="18"/>
  <c r="AB41" i="20"/>
  <c r="Y40" i="20"/>
  <c r="AH41" i="27"/>
  <c r="Y41" i="18"/>
  <c r="Y43" i="20"/>
  <c r="AK40" i="17"/>
  <c r="Z41" i="18"/>
  <c r="V40" i="18"/>
  <c r="T42" i="18"/>
  <c r="Z43" i="20"/>
  <c r="AA43" i="20"/>
  <c r="AB43" i="20" s="1"/>
  <c r="AL40" i="17"/>
  <c r="AJ40" i="17"/>
  <c r="AI42" i="17"/>
  <c r="AK42" i="17" s="1"/>
  <c r="W42" i="18"/>
  <c r="Z42" i="18" s="1"/>
  <c r="U42" i="18"/>
  <c r="AC43" i="30"/>
  <c r="AB43" i="30"/>
  <c r="AB41" i="30"/>
  <c r="AG41" i="27"/>
  <c r="AK41" i="27" s="1"/>
  <c r="AF41" i="27"/>
  <c r="AJ41" i="27" s="1"/>
  <c r="AG43" i="27"/>
  <c r="AH43" i="27"/>
  <c r="AI42" i="33"/>
  <c r="AJ42" i="33" s="1"/>
  <c r="AC41" i="30"/>
  <c r="AE40" i="30"/>
  <c r="AH40" i="30" s="1"/>
  <c r="AH43" i="19"/>
  <c r="AF41" i="3"/>
  <c r="AJ41" i="3" s="1"/>
  <c r="AF42" i="21"/>
  <c r="AH42" i="21"/>
  <c r="AH42" i="22"/>
  <c r="AG42" i="22"/>
  <c r="AF42" i="22"/>
  <c r="AE41" i="22"/>
  <c r="AE43" i="22"/>
  <c r="AF40" i="22"/>
  <c r="AI40" i="22"/>
  <c r="AH40" i="22"/>
  <c r="AG40" i="22"/>
  <c r="Y43" i="23"/>
  <c r="AC43" i="23" s="1"/>
  <c r="X43" i="23"/>
  <c r="AB43" i="23" s="1"/>
  <c r="Z43" i="23"/>
  <c r="AD43" i="23" s="1"/>
  <c r="AG41" i="3"/>
  <c r="AK41" i="3" s="1"/>
  <c r="AH41" i="3"/>
  <c r="AL41" i="3" s="1"/>
  <c r="AF43" i="19"/>
  <c r="AI43" i="17"/>
  <c r="AG41" i="32"/>
  <c r="AF41" i="32"/>
  <c r="AH41" i="32"/>
  <c r="AI41" i="32"/>
  <c r="AL40" i="32"/>
  <c r="F52" i="32"/>
  <c r="AK40" i="32"/>
  <c r="AJ40" i="32"/>
  <c r="AF41" i="19"/>
  <c r="AG41" i="19"/>
  <c r="AH41" i="19"/>
  <c r="AI41" i="19"/>
  <c r="AD42" i="30"/>
  <c r="AH42" i="30" s="1"/>
  <c r="AD41" i="20"/>
  <c r="AC42" i="20"/>
  <c r="AG42" i="20" s="1"/>
  <c r="AD42" i="20"/>
  <c r="AH42" i="20" s="1"/>
  <c r="AB42" i="20"/>
  <c r="AF42" i="20" s="1"/>
  <c r="AB40" i="30"/>
  <c r="AC40" i="30"/>
  <c r="AC41" i="20"/>
  <c r="AB42" i="30"/>
  <c r="AF42" i="30" s="1"/>
  <c r="AC42" i="30"/>
  <c r="AE41" i="29"/>
  <c r="AI41" i="29" s="1"/>
  <c r="AI42" i="28"/>
  <c r="AK42" i="28" s="1"/>
  <c r="AI43" i="28"/>
  <c r="AK43" i="28" s="1"/>
  <c r="AA40" i="23"/>
  <c r="Y40" i="23"/>
  <c r="X40" i="23"/>
  <c r="AE41" i="21"/>
  <c r="AF41" i="21" s="1"/>
  <c r="AE43" i="21"/>
  <c r="AH43" i="21" s="1"/>
  <c r="AA41" i="23"/>
  <c r="AD41" i="23" s="1"/>
  <c r="AE40" i="20"/>
  <c r="AC40" i="20"/>
  <c r="AD40" i="20"/>
  <c r="AB40" i="20"/>
  <c r="AE41" i="31"/>
  <c r="AG40" i="31"/>
  <c r="AH40" i="31"/>
  <c r="AF40" i="31"/>
  <c r="AI40" i="31"/>
  <c r="AI43" i="33"/>
  <c r="AK43" i="33" s="1"/>
  <c r="AE43" i="29"/>
  <c r="AF40" i="21"/>
  <c r="AI40" i="21"/>
  <c r="AG40" i="21"/>
  <c r="AH40" i="21"/>
  <c r="AF40" i="29"/>
  <c r="AI40" i="29"/>
  <c r="AH40" i="29"/>
  <c r="AG40" i="29"/>
  <c r="AA42" i="23"/>
  <c r="AH42" i="29"/>
  <c r="AG42" i="29"/>
  <c r="AF42" i="29"/>
  <c r="AG42" i="31"/>
  <c r="AH42" i="31"/>
  <c r="AF42" i="31"/>
  <c r="AE43" i="31"/>
  <c r="AG43" i="24"/>
  <c r="AH43" i="3"/>
  <c r="AF43" i="3"/>
  <c r="AI41" i="24"/>
  <c r="AL41" i="24" s="1"/>
  <c r="AF43" i="24"/>
  <c r="AG41" i="24"/>
  <c r="AF41" i="24"/>
  <c r="H52" i="33"/>
  <c r="I17" i="11" s="1"/>
  <c r="L52" i="33"/>
  <c r="M17" i="11" s="1"/>
  <c r="K52" i="33"/>
  <c r="L17" i="11" s="1"/>
  <c r="G52" i="33"/>
  <c r="H17" i="11" s="1"/>
  <c r="J52" i="33"/>
  <c r="K17" i="11" s="1"/>
  <c r="M52" i="33"/>
  <c r="O17" i="11" s="1"/>
  <c r="I52" i="33"/>
  <c r="J17" i="11" s="1"/>
  <c r="G17" i="11"/>
  <c r="G52" i="19"/>
  <c r="K52" i="19"/>
  <c r="I52" i="19"/>
  <c r="H52" i="19"/>
  <c r="M52" i="19"/>
  <c r="J52" i="19"/>
  <c r="L52" i="19"/>
  <c r="G52" i="27"/>
  <c r="H17" i="5" s="1"/>
  <c r="K52" i="27"/>
  <c r="L17" i="5" s="1"/>
  <c r="I52" i="27"/>
  <c r="J17" i="5" s="1"/>
  <c r="M52" i="27"/>
  <c r="O17" i="5" s="1"/>
  <c r="J52" i="27"/>
  <c r="K17" i="5" s="1"/>
  <c r="H52" i="27"/>
  <c r="I17" i="5" s="1"/>
  <c r="G17" i="5"/>
  <c r="L52" i="27"/>
  <c r="M17" i="5" s="1"/>
  <c r="H53" i="3"/>
  <c r="I18" i="4" s="1"/>
  <c r="L53" i="3"/>
  <c r="M18" i="4" s="1"/>
  <c r="I53" i="3"/>
  <c r="J18" i="4" s="1"/>
  <c r="J53" i="3"/>
  <c r="K18" i="4" s="1"/>
  <c r="K53" i="3"/>
  <c r="L18" i="4" s="1"/>
  <c r="G53" i="3"/>
  <c r="H18" i="4" s="1"/>
  <c r="M53" i="3"/>
  <c r="O18" i="4" s="1"/>
  <c r="G18" i="4"/>
  <c r="G52" i="24"/>
  <c r="K52" i="24"/>
  <c r="I52" i="24"/>
  <c r="M52" i="24"/>
  <c r="J52" i="24"/>
  <c r="H52" i="24"/>
  <c r="L52" i="24"/>
  <c r="AL41" i="33"/>
  <c r="AK41" i="33"/>
  <c r="F53" i="33"/>
  <c r="AJ41" i="33"/>
  <c r="J52" i="28"/>
  <c r="K17" i="6" s="1"/>
  <c r="I52" i="28"/>
  <c r="J17" i="6" s="1"/>
  <c r="G52" i="28"/>
  <c r="H17" i="6" s="1"/>
  <c r="L52" i="28"/>
  <c r="M17" i="6" s="1"/>
  <c r="M52" i="28"/>
  <c r="O17" i="6" s="1"/>
  <c r="H52" i="28"/>
  <c r="I17" i="6" s="1"/>
  <c r="K52" i="28"/>
  <c r="L17" i="6" s="1"/>
  <c r="G17" i="6"/>
  <c r="AL41" i="27"/>
  <c r="F53" i="27"/>
  <c r="H52" i="3"/>
  <c r="I17" i="4" s="1"/>
  <c r="L52" i="3"/>
  <c r="M17" i="4" s="1"/>
  <c r="K52" i="3"/>
  <c r="L17" i="4" s="1"/>
  <c r="G17" i="4"/>
  <c r="Q17" i="4" s="1"/>
  <c r="M52" i="3"/>
  <c r="O17" i="4" s="1"/>
  <c r="I52" i="3"/>
  <c r="J17" i="4" s="1"/>
  <c r="J52" i="3"/>
  <c r="K17" i="4" s="1"/>
  <c r="G52" i="3"/>
  <c r="H17" i="4" s="1"/>
  <c r="AL41" i="17"/>
  <c r="F53" i="17"/>
  <c r="F48" i="25" s="1"/>
  <c r="Q18" i="11" s="1"/>
  <c r="R22" i="11" s="1"/>
  <c r="AK41" i="17"/>
  <c r="AJ41" i="17"/>
  <c r="AK41" i="28"/>
  <c r="F53" i="28"/>
  <c r="AL41" i="28"/>
  <c r="AJ41" i="28"/>
  <c r="H52" i="17"/>
  <c r="L52" i="17"/>
  <c r="G52" i="17"/>
  <c r="K52" i="17"/>
  <c r="M52" i="17"/>
  <c r="J52" i="17"/>
  <c r="I52" i="17"/>
  <c r="AH43" i="32" l="1"/>
  <c r="AG43" i="32"/>
  <c r="W40" i="18"/>
  <c r="AA40" i="18" s="1"/>
  <c r="W43" i="18"/>
  <c r="AG42" i="30"/>
  <c r="AD43" i="20"/>
  <c r="AI40" i="30"/>
  <c r="F52" i="30" s="1"/>
  <c r="AC43" i="20"/>
  <c r="AI42" i="27"/>
  <c r="F54" i="27" s="1"/>
  <c r="Y42" i="18"/>
  <c r="X42" i="18"/>
  <c r="F54" i="17"/>
  <c r="G54" i="17" s="1"/>
  <c r="AL42" i="17"/>
  <c r="AJ42" i="17"/>
  <c r="AL42" i="33"/>
  <c r="AK42" i="33"/>
  <c r="F54" i="33"/>
  <c r="L54" i="33" s="1"/>
  <c r="M19" i="11" s="1"/>
  <c r="AL43" i="33"/>
  <c r="AI42" i="32"/>
  <c r="AJ42" i="32" s="1"/>
  <c r="AI43" i="19"/>
  <c r="F55" i="19" s="1"/>
  <c r="K55" i="19" s="1"/>
  <c r="AE43" i="30"/>
  <c r="AF43" i="30" s="1"/>
  <c r="AE41" i="30"/>
  <c r="AI41" i="30" s="1"/>
  <c r="AI43" i="27"/>
  <c r="AL43" i="27" s="1"/>
  <c r="AI42" i="19"/>
  <c r="AJ42" i="19" s="1"/>
  <c r="AF40" i="30"/>
  <c r="AG40" i="30"/>
  <c r="AF43" i="21"/>
  <c r="AG41" i="21"/>
  <c r="AI41" i="21"/>
  <c r="AJ41" i="21" s="1"/>
  <c r="AH41" i="21"/>
  <c r="AI41" i="22"/>
  <c r="F53" i="22" s="1"/>
  <c r="F58" i="25" s="1"/>
  <c r="Q18" i="6" s="1"/>
  <c r="AF41" i="22"/>
  <c r="AH41" i="22"/>
  <c r="AG41" i="22"/>
  <c r="AH43" i="22"/>
  <c r="AF43" i="22"/>
  <c r="AG43" i="22"/>
  <c r="AJ40" i="22"/>
  <c r="AK40" i="22"/>
  <c r="F52" i="22"/>
  <c r="B38" i="25" s="1"/>
  <c r="Q17" i="6" s="1"/>
  <c r="AL40" i="22"/>
  <c r="AI42" i="24"/>
  <c r="F54" i="24" s="1"/>
  <c r="AB40" i="23"/>
  <c r="J54" i="17"/>
  <c r="N17" i="11"/>
  <c r="AL43" i="17"/>
  <c r="AJ43" i="17"/>
  <c r="F55" i="17"/>
  <c r="AK43" i="17"/>
  <c r="I52" i="32"/>
  <c r="J17" i="10" s="1"/>
  <c r="J52" i="32"/>
  <c r="K17" i="10" s="1"/>
  <c r="L52" i="32"/>
  <c r="M17" i="10" s="1"/>
  <c r="H52" i="32"/>
  <c r="I17" i="10" s="1"/>
  <c r="M52" i="32"/>
  <c r="O17" i="10" s="1"/>
  <c r="G17" i="10"/>
  <c r="G52" i="32"/>
  <c r="H17" i="10" s="1"/>
  <c r="K52" i="32"/>
  <c r="L17" i="10" s="1"/>
  <c r="AJ41" i="32"/>
  <c r="AK41" i="32"/>
  <c r="F53" i="32"/>
  <c r="AL41" i="32"/>
  <c r="AI43" i="32"/>
  <c r="F53" i="19"/>
  <c r="F43" i="25" s="1"/>
  <c r="Q18" i="9" s="1"/>
  <c r="R22" i="9" s="1"/>
  <c r="AK41" i="19"/>
  <c r="AJ41" i="19"/>
  <c r="AL41" i="19"/>
  <c r="AH41" i="29"/>
  <c r="AL41" i="29" s="1"/>
  <c r="AF41" i="29"/>
  <c r="AJ41" i="29" s="1"/>
  <c r="AG41" i="29"/>
  <c r="AL43" i="28"/>
  <c r="AL42" i="28"/>
  <c r="F54" i="28"/>
  <c r="I54" i="28" s="1"/>
  <c r="J19" i="6" s="1"/>
  <c r="AJ42" i="28"/>
  <c r="N17" i="6"/>
  <c r="AJ43" i="28"/>
  <c r="F55" i="28"/>
  <c r="AD40" i="23"/>
  <c r="AE40" i="23"/>
  <c r="AC40" i="23"/>
  <c r="AB41" i="23"/>
  <c r="AC41" i="23"/>
  <c r="AG43" i="21"/>
  <c r="AF40" i="20"/>
  <c r="AH40" i="20"/>
  <c r="AI40" i="20"/>
  <c r="AG40" i="20"/>
  <c r="F55" i="33"/>
  <c r="I55" i="33" s="1"/>
  <c r="J20" i="11" s="1"/>
  <c r="Z43" i="18"/>
  <c r="Y43" i="18"/>
  <c r="AA43" i="18"/>
  <c r="X43" i="18"/>
  <c r="AJ40" i="29"/>
  <c r="AL40" i="29"/>
  <c r="F52" i="29"/>
  <c r="AK40" i="29"/>
  <c r="F52" i="21"/>
  <c r="B58" i="25" s="1"/>
  <c r="AL40" i="21"/>
  <c r="AJ40" i="21"/>
  <c r="AK40" i="21"/>
  <c r="AJ43" i="33"/>
  <c r="AG43" i="31"/>
  <c r="AF43" i="31"/>
  <c r="AH43" i="31"/>
  <c r="AH43" i="29"/>
  <c r="AF43" i="29"/>
  <c r="AG43" i="29"/>
  <c r="N17" i="5"/>
  <c r="AE42" i="23"/>
  <c r="AB42" i="23"/>
  <c r="AC42" i="23"/>
  <c r="AD42" i="23"/>
  <c r="F52" i="31"/>
  <c r="AJ40" i="31"/>
  <c r="AK40" i="31"/>
  <c r="AL40" i="31"/>
  <c r="AG41" i="31"/>
  <c r="AF41" i="31"/>
  <c r="AH41" i="31"/>
  <c r="AI41" i="31"/>
  <c r="AK41" i="29"/>
  <c r="F53" i="29"/>
  <c r="AI43" i="3"/>
  <c r="AJ43" i="3" s="1"/>
  <c r="AI43" i="24"/>
  <c r="F55" i="24" s="1"/>
  <c r="K55" i="24" s="1"/>
  <c r="AI42" i="3"/>
  <c r="AL42" i="3" s="1"/>
  <c r="F53" i="24"/>
  <c r="F53" i="25" s="1"/>
  <c r="AK41" i="24"/>
  <c r="AJ41" i="24"/>
  <c r="N17" i="4"/>
  <c r="N18" i="4"/>
  <c r="J53" i="28"/>
  <c r="K18" i="6" s="1"/>
  <c r="G53" i="28"/>
  <c r="H18" i="6" s="1"/>
  <c r="L53" i="28"/>
  <c r="M18" i="6" s="1"/>
  <c r="I53" i="28"/>
  <c r="J18" i="6" s="1"/>
  <c r="K53" i="28"/>
  <c r="L18" i="6" s="1"/>
  <c r="H53" i="28"/>
  <c r="I18" i="6" s="1"/>
  <c r="M53" i="28"/>
  <c r="O18" i="6" s="1"/>
  <c r="G18" i="6"/>
  <c r="H53" i="17"/>
  <c r="L53" i="17"/>
  <c r="G53" i="17"/>
  <c r="K53" i="17"/>
  <c r="M53" i="17"/>
  <c r="I53" i="17"/>
  <c r="J53" i="17"/>
  <c r="G53" i="27"/>
  <c r="H18" i="5" s="1"/>
  <c r="K53" i="27"/>
  <c r="L18" i="5" s="1"/>
  <c r="I53" i="27"/>
  <c r="J18" i="5" s="1"/>
  <c r="M53" i="27"/>
  <c r="O18" i="5" s="1"/>
  <c r="J53" i="27"/>
  <c r="K18" i="5" s="1"/>
  <c r="L53" i="27"/>
  <c r="M18" i="5" s="1"/>
  <c r="H53" i="27"/>
  <c r="I18" i="5" s="1"/>
  <c r="G18" i="5"/>
  <c r="E13" i="12"/>
  <c r="E19" i="12"/>
  <c r="F53" i="26" s="1"/>
  <c r="E17" i="12"/>
  <c r="E39" i="12"/>
  <c r="H53" i="33"/>
  <c r="I18" i="11" s="1"/>
  <c r="L53" i="33"/>
  <c r="M18" i="11" s="1"/>
  <c r="I53" i="33"/>
  <c r="J18" i="11" s="1"/>
  <c r="M53" i="33"/>
  <c r="O18" i="11" s="1"/>
  <c r="J53" i="33"/>
  <c r="K18" i="11" s="1"/>
  <c r="K53" i="33"/>
  <c r="L18" i="11" s="1"/>
  <c r="G53" i="33"/>
  <c r="H18" i="11" s="1"/>
  <c r="G18" i="11"/>
  <c r="E9" i="12"/>
  <c r="Y40" i="18" l="1"/>
  <c r="Z40" i="18"/>
  <c r="X40" i="18"/>
  <c r="AA41" i="18"/>
  <c r="N18" i="11"/>
  <c r="AE43" i="20"/>
  <c r="AG43" i="20" s="1"/>
  <c r="AE41" i="20"/>
  <c r="AG41" i="20" s="1"/>
  <c r="AL40" i="30"/>
  <c r="AJ40" i="30"/>
  <c r="AK42" i="27"/>
  <c r="AL42" i="27"/>
  <c r="AJ42" i="27"/>
  <c r="F54" i="32"/>
  <c r="M54" i="32" s="1"/>
  <c r="O19" i="10" s="1"/>
  <c r="AL42" i="32"/>
  <c r="AA42" i="18"/>
  <c r="AB42" i="18" s="1"/>
  <c r="AH43" i="30"/>
  <c r="AG43" i="30"/>
  <c r="AK40" i="30"/>
  <c r="AL43" i="19"/>
  <c r="H55" i="19"/>
  <c r="AJ43" i="27"/>
  <c r="M54" i="17"/>
  <c r="I54" i="17"/>
  <c r="K54" i="17"/>
  <c r="H54" i="17"/>
  <c r="L54" i="17"/>
  <c r="AK42" i="19"/>
  <c r="I55" i="19"/>
  <c r="AL42" i="19"/>
  <c r="M55" i="19"/>
  <c r="AJ43" i="19"/>
  <c r="G55" i="19"/>
  <c r="J55" i="19"/>
  <c r="Q17" i="7"/>
  <c r="M55" i="25"/>
  <c r="G19" i="11"/>
  <c r="M54" i="33"/>
  <c r="O19" i="11" s="1"/>
  <c r="G54" i="33"/>
  <c r="H19" i="11" s="1"/>
  <c r="K54" i="33"/>
  <c r="L19" i="11" s="1"/>
  <c r="N19" i="11" s="1"/>
  <c r="I54" i="33"/>
  <c r="J19" i="11" s="1"/>
  <c r="H54" i="33"/>
  <c r="I19" i="11" s="1"/>
  <c r="J54" i="33"/>
  <c r="K19" i="11" s="1"/>
  <c r="AK42" i="32"/>
  <c r="N17" i="10"/>
  <c r="F54" i="19"/>
  <c r="M54" i="19" s="1"/>
  <c r="AK43" i="19"/>
  <c r="L55" i="19"/>
  <c r="AF41" i="30"/>
  <c r="AJ41" i="30" s="1"/>
  <c r="AG41" i="30"/>
  <c r="AK41" i="30" s="1"/>
  <c r="AH41" i="30"/>
  <c r="AL41" i="30" s="1"/>
  <c r="AI43" i="21"/>
  <c r="AL43" i="21" s="1"/>
  <c r="R22" i="6"/>
  <c r="G54" i="28"/>
  <c r="H19" i="6" s="1"/>
  <c r="F55" i="27"/>
  <c r="M55" i="27" s="1"/>
  <c r="O20" i="5" s="1"/>
  <c r="AK43" i="27"/>
  <c r="J55" i="33"/>
  <c r="K20" i="11" s="1"/>
  <c r="L55" i="33"/>
  <c r="M20" i="11" s="1"/>
  <c r="H54" i="28"/>
  <c r="I19" i="6" s="1"/>
  <c r="M54" i="28"/>
  <c r="O19" i="6" s="1"/>
  <c r="G19" i="6"/>
  <c r="K54" i="28"/>
  <c r="L19" i="6" s="1"/>
  <c r="AL42" i="24"/>
  <c r="AK42" i="24"/>
  <c r="AJ42" i="24"/>
  <c r="AL41" i="21"/>
  <c r="AK41" i="21"/>
  <c r="F53" i="21"/>
  <c r="AK41" i="22"/>
  <c r="AL41" i="22"/>
  <c r="AJ41" i="22"/>
  <c r="G52" i="22"/>
  <c r="L52" i="22"/>
  <c r="I52" i="22"/>
  <c r="K52" i="22"/>
  <c r="J52" i="22"/>
  <c r="H52" i="22"/>
  <c r="M52" i="22"/>
  <c r="AI42" i="22"/>
  <c r="AI43" i="22"/>
  <c r="M53" i="22"/>
  <c r="J53" i="22"/>
  <c r="H53" i="22"/>
  <c r="G53" i="22"/>
  <c r="L53" i="22"/>
  <c r="K53" i="22"/>
  <c r="I53" i="22"/>
  <c r="AG40" i="23"/>
  <c r="K53" i="24"/>
  <c r="Q18" i="4"/>
  <c r="R22" i="4" s="1"/>
  <c r="AJ43" i="24"/>
  <c r="H53" i="24"/>
  <c r="G55" i="24"/>
  <c r="AH40" i="23"/>
  <c r="H55" i="17"/>
  <c r="M55" i="17"/>
  <c r="G55" i="17"/>
  <c r="J55" i="17"/>
  <c r="K55" i="17"/>
  <c r="L55" i="17"/>
  <c r="I55" i="17"/>
  <c r="G55" i="33"/>
  <c r="H20" i="11" s="1"/>
  <c r="G20" i="11"/>
  <c r="K55" i="33"/>
  <c r="L20" i="11" s="1"/>
  <c r="H55" i="33"/>
  <c r="I20" i="11" s="1"/>
  <c r="M55" i="33"/>
  <c r="O20" i="11" s="1"/>
  <c r="AK43" i="32"/>
  <c r="AL43" i="32"/>
  <c r="F55" i="32"/>
  <c r="AJ43" i="32"/>
  <c r="I53" i="32"/>
  <c r="J18" i="10" s="1"/>
  <c r="J53" i="32"/>
  <c r="K18" i="10" s="1"/>
  <c r="K53" i="32"/>
  <c r="L18" i="10" s="1"/>
  <c r="M53" i="32"/>
  <c r="O18" i="10" s="1"/>
  <c r="G18" i="10"/>
  <c r="G53" i="32"/>
  <c r="H18" i="10" s="1"/>
  <c r="L53" i="32"/>
  <c r="M18" i="10" s="1"/>
  <c r="H53" i="32"/>
  <c r="I18" i="10" s="1"/>
  <c r="E31" i="12"/>
  <c r="B48" i="26" s="1"/>
  <c r="G53" i="19"/>
  <c r="M53" i="19"/>
  <c r="L53" i="19"/>
  <c r="K53" i="19"/>
  <c r="H53" i="19"/>
  <c r="I53" i="19"/>
  <c r="J53" i="19"/>
  <c r="AI42" i="31"/>
  <c r="AL42" i="31" s="1"/>
  <c r="AF41" i="20"/>
  <c r="AH41" i="20"/>
  <c r="AI43" i="29"/>
  <c r="AJ43" i="29" s="1"/>
  <c r="AI42" i="21"/>
  <c r="J54" i="28"/>
  <c r="K19" i="6" s="1"/>
  <c r="L54" i="28"/>
  <c r="M19" i="6" s="1"/>
  <c r="I55" i="28"/>
  <c r="J20" i="6" s="1"/>
  <c r="G20" i="6"/>
  <c r="L55" i="28"/>
  <c r="M20" i="6" s="1"/>
  <c r="J55" i="28"/>
  <c r="K20" i="6" s="1"/>
  <c r="K55" i="28"/>
  <c r="L20" i="6" s="1"/>
  <c r="G55" i="28"/>
  <c r="H20" i="6" s="1"/>
  <c r="M55" i="28"/>
  <c r="O20" i="6" s="1"/>
  <c r="H55" i="28"/>
  <c r="I20" i="6" s="1"/>
  <c r="AI40" i="23"/>
  <c r="F52" i="23" s="1"/>
  <c r="AE41" i="23"/>
  <c r="AH41" i="23" s="1"/>
  <c r="AF40" i="23"/>
  <c r="AE43" i="23"/>
  <c r="AG43" i="23" s="1"/>
  <c r="AK40" i="20"/>
  <c r="AL40" i="20"/>
  <c r="F52" i="20"/>
  <c r="B43" i="25" s="1"/>
  <c r="AJ40" i="20"/>
  <c r="E33" i="12"/>
  <c r="F48" i="26" s="1"/>
  <c r="AI42" i="29"/>
  <c r="AL42" i="29" s="1"/>
  <c r="I52" i="31"/>
  <c r="J17" i="9" s="1"/>
  <c r="J52" i="31"/>
  <c r="K17" i="9" s="1"/>
  <c r="M52" i="31"/>
  <c r="O17" i="9" s="1"/>
  <c r="G17" i="9"/>
  <c r="H52" i="31"/>
  <c r="I17" i="9" s="1"/>
  <c r="K52" i="31"/>
  <c r="L17" i="9" s="1"/>
  <c r="L52" i="31"/>
  <c r="M17" i="9" s="1"/>
  <c r="G52" i="31"/>
  <c r="H17" i="9" s="1"/>
  <c r="AG42" i="23"/>
  <c r="AF42" i="23"/>
  <c r="AH42" i="23"/>
  <c r="AI43" i="31"/>
  <c r="K52" i="21"/>
  <c r="H52" i="21"/>
  <c r="I52" i="21"/>
  <c r="L52" i="21"/>
  <c r="G52" i="21"/>
  <c r="J52" i="21"/>
  <c r="M52" i="21"/>
  <c r="AL41" i="31"/>
  <c r="AJ41" i="31"/>
  <c r="F53" i="31"/>
  <c r="AK41" i="31"/>
  <c r="J53" i="29"/>
  <c r="K18" i="7" s="1"/>
  <c r="M53" i="29"/>
  <c r="O18" i="7" s="1"/>
  <c r="G53" i="29"/>
  <c r="H18" i="7" s="1"/>
  <c r="H53" i="29"/>
  <c r="I18" i="7" s="1"/>
  <c r="K53" i="29"/>
  <c r="L18" i="7" s="1"/>
  <c r="G18" i="7"/>
  <c r="L53" i="29"/>
  <c r="M18" i="7" s="1"/>
  <c r="I53" i="29"/>
  <c r="J18" i="7" s="1"/>
  <c r="AC41" i="18"/>
  <c r="AB41" i="18"/>
  <c r="AD41" i="18"/>
  <c r="H52" i="29"/>
  <c r="I17" i="7" s="1"/>
  <c r="L52" i="29"/>
  <c r="M17" i="7" s="1"/>
  <c r="M52" i="29"/>
  <c r="O17" i="7" s="1"/>
  <c r="G17" i="7"/>
  <c r="J52" i="29"/>
  <c r="K17" i="7" s="1"/>
  <c r="K52" i="29"/>
  <c r="L17" i="7" s="1"/>
  <c r="N17" i="7" s="1"/>
  <c r="I52" i="29"/>
  <c r="J17" i="7" s="1"/>
  <c r="G52" i="29"/>
  <c r="H17" i="7" s="1"/>
  <c r="AB43" i="18"/>
  <c r="AD43" i="18"/>
  <c r="AC43" i="18"/>
  <c r="E11" i="12"/>
  <c r="F33" i="26" s="1"/>
  <c r="F53" i="30"/>
  <c r="AD40" i="18"/>
  <c r="AE40" i="18"/>
  <c r="AC40" i="18"/>
  <c r="AB40" i="18"/>
  <c r="H52" i="30"/>
  <c r="I17" i="8" s="1"/>
  <c r="G17" i="8"/>
  <c r="I52" i="30"/>
  <c r="J17" i="8" s="1"/>
  <c r="G52" i="30"/>
  <c r="H17" i="8" s="1"/>
  <c r="M52" i="30"/>
  <c r="O17" i="8" s="1"/>
  <c r="K52" i="30"/>
  <c r="L17" i="8" s="1"/>
  <c r="J52" i="30"/>
  <c r="K17" i="8" s="1"/>
  <c r="L52" i="30"/>
  <c r="M17" i="8" s="1"/>
  <c r="M55" i="24"/>
  <c r="J55" i="24"/>
  <c r="F55" i="3"/>
  <c r="L55" i="3" s="1"/>
  <c r="M20" i="4" s="1"/>
  <c r="J53" i="24"/>
  <c r="AK43" i="3"/>
  <c r="I53" i="24"/>
  <c r="AK42" i="3"/>
  <c r="AK43" i="24"/>
  <c r="H55" i="24"/>
  <c r="I55" i="24"/>
  <c r="AJ42" i="3"/>
  <c r="AL43" i="24"/>
  <c r="L55" i="24"/>
  <c r="AL43" i="3"/>
  <c r="G53" i="24"/>
  <c r="F54" i="3"/>
  <c r="L54" i="3" s="1"/>
  <c r="M19" i="4" s="1"/>
  <c r="M53" i="24"/>
  <c r="L53" i="24"/>
  <c r="I54" i="24"/>
  <c r="L54" i="24"/>
  <c r="M54" i="24"/>
  <c r="G54" i="24"/>
  <c r="J54" i="24"/>
  <c r="K54" i="24"/>
  <c r="H54" i="24"/>
  <c r="E23" i="12"/>
  <c r="G54" i="27"/>
  <c r="H19" i="5" s="1"/>
  <c r="K54" i="27"/>
  <c r="L19" i="5" s="1"/>
  <c r="I54" i="27"/>
  <c r="J19" i="5" s="1"/>
  <c r="M54" i="27"/>
  <c r="O19" i="5" s="1"/>
  <c r="J54" i="27"/>
  <c r="K19" i="5" s="1"/>
  <c r="H54" i="27"/>
  <c r="I19" i="5" s="1"/>
  <c r="L54" i="27"/>
  <c r="M19" i="5" s="1"/>
  <c r="G19" i="5"/>
  <c r="B53" i="26"/>
  <c r="J18" i="12"/>
  <c r="E11" i="13" s="1"/>
  <c r="N18" i="5"/>
  <c r="N18" i="6"/>
  <c r="B38" i="26"/>
  <c r="B33" i="26"/>
  <c r="B68" i="26"/>
  <c r="AH43" i="20" l="1"/>
  <c r="AF43" i="20"/>
  <c r="AI41" i="20"/>
  <c r="AK41" i="20" s="1"/>
  <c r="N20" i="11"/>
  <c r="L54" i="32"/>
  <c r="M19" i="10" s="1"/>
  <c r="J54" i="32"/>
  <c r="K19" i="10" s="1"/>
  <c r="I54" i="32"/>
  <c r="J19" i="10" s="1"/>
  <c r="H54" i="32"/>
  <c r="I19" i="10" s="1"/>
  <c r="K54" i="32"/>
  <c r="L19" i="10" s="1"/>
  <c r="G54" i="32"/>
  <c r="H19" i="10" s="1"/>
  <c r="G19" i="10"/>
  <c r="G55" i="3"/>
  <c r="H20" i="4" s="1"/>
  <c r="AI43" i="30"/>
  <c r="E21" i="12"/>
  <c r="B58" i="26" s="1"/>
  <c r="Q10" i="12"/>
  <c r="AD42" i="18"/>
  <c r="AE42" i="18"/>
  <c r="AF42" i="18" s="1"/>
  <c r="AC42" i="18"/>
  <c r="AI42" i="30"/>
  <c r="F54" i="30" s="1"/>
  <c r="I54" i="19"/>
  <c r="G54" i="19"/>
  <c r="H54" i="19"/>
  <c r="Q17" i="8"/>
  <c r="I45" i="25"/>
  <c r="K54" i="19"/>
  <c r="L54" i="19"/>
  <c r="J54" i="19"/>
  <c r="AK43" i="21"/>
  <c r="F55" i="21"/>
  <c r="L55" i="21" s="1"/>
  <c r="B53" i="25"/>
  <c r="Q15" i="12"/>
  <c r="AJ43" i="21"/>
  <c r="N19" i="6"/>
  <c r="H55" i="27"/>
  <c r="I20" i="5" s="1"/>
  <c r="I55" i="27"/>
  <c r="J20" i="5" s="1"/>
  <c r="L55" i="27"/>
  <c r="M20" i="5" s="1"/>
  <c r="K55" i="27"/>
  <c r="L20" i="5" s="1"/>
  <c r="J55" i="27"/>
  <c r="K20" i="5" s="1"/>
  <c r="G55" i="27"/>
  <c r="H20" i="5" s="1"/>
  <c r="Q9" i="12" s="1"/>
  <c r="G20" i="5"/>
  <c r="F53" i="20"/>
  <c r="AJ41" i="20"/>
  <c r="M53" i="21"/>
  <c r="F38" i="25"/>
  <c r="K53" i="21"/>
  <c r="G53" i="21"/>
  <c r="L53" i="21"/>
  <c r="J53" i="21"/>
  <c r="I53" i="21"/>
  <c r="H53" i="21"/>
  <c r="AJ42" i="22"/>
  <c r="F54" i="22"/>
  <c r="AL42" i="22"/>
  <c r="AK42" i="22"/>
  <c r="F55" i="22"/>
  <c r="AJ43" i="22"/>
  <c r="AL43" i="22"/>
  <c r="AK43" i="22"/>
  <c r="AI41" i="23"/>
  <c r="AL41" i="23" s="1"/>
  <c r="AG41" i="23"/>
  <c r="AF41" i="23"/>
  <c r="AL40" i="23"/>
  <c r="N18" i="10"/>
  <c r="N19" i="10"/>
  <c r="M55" i="32"/>
  <c r="O20" i="10" s="1"/>
  <c r="G20" i="10"/>
  <c r="H55" i="32"/>
  <c r="I20" i="10" s="1"/>
  <c r="G55" i="32"/>
  <c r="H20" i="10" s="1"/>
  <c r="L55" i="32"/>
  <c r="M20" i="10" s="1"/>
  <c r="K55" i="32"/>
  <c r="L20" i="10" s="1"/>
  <c r="I55" i="32"/>
  <c r="J20" i="10" s="1"/>
  <c r="J55" i="32"/>
  <c r="K20" i="10" s="1"/>
  <c r="J32" i="12"/>
  <c r="E41" i="12"/>
  <c r="AK42" i="31"/>
  <c r="F54" i="31"/>
  <c r="H54" i="31" s="1"/>
  <c r="I19" i="9" s="1"/>
  <c r="AJ42" i="31"/>
  <c r="AI42" i="20"/>
  <c r="AK42" i="20" s="1"/>
  <c r="F55" i="29"/>
  <c r="M55" i="29" s="1"/>
  <c r="O20" i="7" s="1"/>
  <c r="AK43" i="29"/>
  <c r="AL43" i="29"/>
  <c r="AL42" i="21"/>
  <c r="AJ42" i="21"/>
  <c r="F54" i="21"/>
  <c r="AK42" i="21"/>
  <c r="F54" i="29"/>
  <c r="G19" i="7" s="1"/>
  <c r="N20" i="6"/>
  <c r="AK40" i="23"/>
  <c r="AJ40" i="23"/>
  <c r="AF43" i="23"/>
  <c r="J10" i="12"/>
  <c r="AH43" i="23"/>
  <c r="AE43" i="18"/>
  <c r="AH43" i="18" s="1"/>
  <c r="AK42" i="29"/>
  <c r="AJ42" i="29"/>
  <c r="AI43" i="20"/>
  <c r="I52" i="20"/>
  <c r="J52" i="20"/>
  <c r="M52" i="20"/>
  <c r="G52" i="20"/>
  <c r="H52" i="20"/>
  <c r="K52" i="20"/>
  <c r="L52" i="20"/>
  <c r="K55" i="3"/>
  <c r="L20" i="4" s="1"/>
  <c r="N20" i="4" s="1"/>
  <c r="E25" i="12"/>
  <c r="AJ42" i="30"/>
  <c r="AE41" i="18"/>
  <c r="E15" i="12"/>
  <c r="AL43" i="31"/>
  <c r="AK43" i="31"/>
  <c r="F55" i="31"/>
  <c r="AJ43" i="31"/>
  <c r="E35" i="12"/>
  <c r="AG40" i="18"/>
  <c r="AH40" i="18"/>
  <c r="AF40" i="18"/>
  <c r="AI40" i="18"/>
  <c r="N19" i="5"/>
  <c r="N17" i="8"/>
  <c r="G52" i="23"/>
  <c r="J52" i="23"/>
  <c r="K52" i="23"/>
  <c r="L52" i="23"/>
  <c r="H52" i="23"/>
  <c r="I52" i="23"/>
  <c r="M52" i="23"/>
  <c r="N18" i="7"/>
  <c r="I53" i="31"/>
  <c r="J18" i="9" s="1"/>
  <c r="J53" i="31"/>
  <c r="K18" i="9" s="1"/>
  <c r="M53" i="31"/>
  <c r="O18" i="9" s="1"/>
  <c r="G18" i="9"/>
  <c r="G53" i="31"/>
  <c r="H18" i="9" s="1"/>
  <c r="H53" i="31"/>
  <c r="I18" i="9" s="1"/>
  <c r="K53" i="31"/>
  <c r="L18" i="9" s="1"/>
  <c r="L53" i="31"/>
  <c r="M18" i="9" s="1"/>
  <c r="N17" i="9"/>
  <c r="AJ43" i="30"/>
  <c r="AL43" i="30"/>
  <c r="AK43" i="30"/>
  <c r="F55" i="30"/>
  <c r="M53" i="30"/>
  <c r="O18" i="8" s="1"/>
  <c r="G18" i="8"/>
  <c r="K53" i="30"/>
  <c r="L18" i="8" s="1"/>
  <c r="G53" i="30"/>
  <c r="H18" i="8" s="1"/>
  <c r="J53" i="30"/>
  <c r="K18" i="8" s="1"/>
  <c r="I53" i="30"/>
  <c r="J18" i="8" s="1"/>
  <c r="H53" i="30"/>
  <c r="I18" i="8" s="1"/>
  <c r="L53" i="30"/>
  <c r="M18" i="8" s="1"/>
  <c r="H55" i="3"/>
  <c r="I20" i="4" s="1"/>
  <c r="G20" i="4"/>
  <c r="I55" i="3"/>
  <c r="J20" i="4" s="1"/>
  <c r="M55" i="3"/>
  <c r="O20" i="4" s="1"/>
  <c r="J55" i="3"/>
  <c r="K20" i="4" s="1"/>
  <c r="I54" i="3"/>
  <c r="J19" i="4" s="1"/>
  <c r="G19" i="4"/>
  <c r="H54" i="3"/>
  <c r="I19" i="4" s="1"/>
  <c r="M54" i="3"/>
  <c r="O19" i="4" s="1"/>
  <c r="J54" i="3"/>
  <c r="K19" i="4" s="1"/>
  <c r="K54" i="3"/>
  <c r="L19" i="4" s="1"/>
  <c r="N19" i="4" s="1"/>
  <c r="G54" i="3"/>
  <c r="H19" i="4" s="1"/>
  <c r="F58" i="26"/>
  <c r="J22" i="12" l="1"/>
  <c r="E13" i="13" s="1"/>
  <c r="M45" i="26" s="1"/>
  <c r="L22" i="12"/>
  <c r="AL41" i="20"/>
  <c r="E17" i="13"/>
  <c r="M55" i="26" s="1"/>
  <c r="AK42" i="30"/>
  <c r="Q14" i="12"/>
  <c r="AL42" i="30"/>
  <c r="Q8" i="12"/>
  <c r="AG42" i="18"/>
  <c r="AH42" i="18"/>
  <c r="J55" i="21"/>
  <c r="H55" i="21"/>
  <c r="M55" i="21"/>
  <c r="I55" i="21"/>
  <c r="G55" i="21"/>
  <c r="K55" i="21"/>
  <c r="Q17" i="5"/>
  <c r="I55" i="25"/>
  <c r="Q18" i="7"/>
  <c r="R22" i="7" s="1"/>
  <c r="M35" i="25"/>
  <c r="G53" i="20"/>
  <c r="F63" i="25"/>
  <c r="L18" i="12"/>
  <c r="N20" i="10"/>
  <c r="J54" i="31"/>
  <c r="K19" i="9" s="1"/>
  <c r="K53" i="20"/>
  <c r="L53" i="20"/>
  <c r="M53" i="20"/>
  <c r="J53" i="20"/>
  <c r="H53" i="20"/>
  <c r="I53" i="20"/>
  <c r="N20" i="5"/>
  <c r="G54" i="31"/>
  <c r="H19" i="9" s="1"/>
  <c r="G55" i="29"/>
  <c r="H20" i="7" s="1"/>
  <c r="G54" i="22"/>
  <c r="L54" i="22"/>
  <c r="K54" i="22"/>
  <c r="J54" i="22"/>
  <c r="I54" i="22"/>
  <c r="H54" i="22"/>
  <c r="M54" i="22"/>
  <c r="K55" i="22"/>
  <c r="J55" i="22"/>
  <c r="I55" i="22"/>
  <c r="G55" i="22"/>
  <c r="H55" i="22"/>
  <c r="M55" i="22"/>
  <c r="L55" i="22"/>
  <c r="F53" i="23"/>
  <c r="AJ41" i="23"/>
  <c r="AK41" i="23"/>
  <c r="E7" i="13"/>
  <c r="I35" i="26" s="1"/>
  <c r="AG43" i="18"/>
  <c r="AF43" i="18"/>
  <c r="F68" i="26"/>
  <c r="J40" i="12"/>
  <c r="L54" i="31"/>
  <c r="M19" i="9" s="1"/>
  <c r="M54" i="31"/>
  <c r="O19" i="9" s="1"/>
  <c r="G19" i="9"/>
  <c r="I54" i="31"/>
  <c r="J19" i="9" s="1"/>
  <c r="K54" i="31"/>
  <c r="L19" i="9" s="1"/>
  <c r="F54" i="20"/>
  <c r="H54" i="20" s="1"/>
  <c r="AJ42" i="20"/>
  <c r="AL42" i="20"/>
  <c r="K55" i="29"/>
  <c r="L20" i="7" s="1"/>
  <c r="I55" i="29"/>
  <c r="J20" i="7" s="1"/>
  <c r="H55" i="29"/>
  <c r="I20" i="7" s="1"/>
  <c r="L55" i="29"/>
  <c r="M20" i="7" s="1"/>
  <c r="J55" i="29"/>
  <c r="K20" i="7" s="1"/>
  <c r="L54" i="29"/>
  <c r="M19" i="7" s="1"/>
  <c r="G20" i="7"/>
  <c r="M54" i="29"/>
  <c r="O19" i="7" s="1"/>
  <c r="G54" i="29"/>
  <c r="H19" i="7" s="1"/>
  <c r="K54" i="29"/>
  <c r="L19" i="7" s="1"/>
  <c r="H54" i="29"/>
  <c r="I19" i="7" s="1"/>
  <c r="H54" i="21"/>
  <c r="G54" i="21"/>
  <c r="L54" i="21"/>
  <c r="K54" i="21"/>
  <c r="I54" i="21"/>
  <c r="J54" i="21"/>
  <c r="M54" i="21"/>
  <c r="I54" i="29"/>
  <c r="J19" i="7" s="1"/>
  <c r="J54" i="29"/>
  <c r="K19" i="7" s="1"/>
  <c r="AI42" i="23"/>
  <c r="F54" i="23" s="1"/>
  <c r="AI43" i="23"/>
  <c r="AJ43" i="23" s="1"/>
  <c r="AJ43" i="20"/>
  <c r="AL43" i="20"/>
  <c r="F55" i="20"/>
  <c r="AK43" i="20"/>
  <c r="N18" i="8"/>
  <c r="E27" i="12"/>
  <c r="F43" i="26" s="1"/>
  <c r="M55" i="31"/>
  <c r="O20" i="9" s="1"/>
  <c r="G20" i="9"/>
  <c r="G55" i="31"/>
  <c r="H20" i="9" s="1"/>
  <c r="H55" i="31"/>
  <c r="I20" i="9" s="1"/>
  <c r="K55" i="31"/>
  <c r="L20" i="9" s="1"/>
  <c r="L55" i="31"/>
  <c r="M20" i="9" s="1"/>
  <c r="I55" i="31"/>
  <c r="J20" i="9" s="1"/>
  <c r="J55" i="31"/>
  <c r="K20" i="9" s="1"/>
  <c r="AI41" i="18"/>
  <c r="AF41" i="18"/>
  <c r="AG41" i="18"/>
  <c r="AH41" i="18"/>
  <c r="F52" i="18"/>
  <c r="B48" i="25" s="1"/>
  <c r="M45" i="25" s="1"/>
  <c r="T40" i="25" s="1"/>
  <c r="AK40" i="18"/>
  <c r="AL40" i="18"/>
  <c r="AJ40" i="18"/>
  <c r="B43" i="26"/>
  <c r="N18" i="9"/>
  <c r="B63" i="26"/>
  <c r="E37" i="12"/>
  <c r="F63" i="26" s="1"/>
  <c r="H55" i="30"/>
  <c r="I20" i="8" s="1"/>
  <c r="I55" i="30"/>
  <c r="J20" i="8" s="1"/>
  <c r="M55" i="30"/>
  <c r="O20" i="8" s="1"/>
  <c r="G20" i="8"/>
  <c r="G55" i="30"/>
  <c r="H20" i="8" s="1"/>
  <c r="K55" i="30"/>
  <c r="L20" i="8" s="1"/>
  <c r="L55" i="30"/>
  <c r="M20" i="8" s="1"/>
  <c r="J55" i="30"/>
  <c r="K20" i="8" s="1"/>
  <c r="F38" i="26"/>
  <c r="L14" i="12"/>
  <c r="J14" i="12"/>
  <c r="G54" i="30"/>
  <c r="H19" i="8" s="1"/>
  <c r="M54" i="30"/>
  <c r="O19" i="8" s="1"/>
  <c r="K54" i="30"/>
  <c r="L19" i="8" s="1"/>
  <c r="L54" i="30"/>
  <c r="M19" i="8" s="1"/>
  <c r="H54" i="30"/>
  <c r="I19" i="8" s="1"/>
  <c r="G19" i="8"/>
  <c r="J54" i="30"/>
  <c r="K19" i="8" s="1"/>
  <c r="I54" i="30"/>
  <c r="J19" i="8" s="1"/>
  <c r="M22" i="12"/>
  <c r="N19" i="7" l="1"/>
  <c r="Q13" i="12"/>
  <c r="P60" i="25"/>
  <c r="M18" i="12"/>
  <c r="Q18" i="8"/>
  <c r="R22" i="8" s="1"/>
  <c r="I65" i="25"/>
  <c r="Q17" i="10"/>
  <c r="L32" i="12"/>
  <c r="M32" i="12"/>
  <c r="N20" i="7"/>
  <c r="Q11" i="12"/>
  <c r="AI43" i="18"/>
  <c r="AJ43" i="18" s="1"/>
  <c r="F33" i="25"/>
  <c r="J53" i="23"/>
  <c r="H53" i="23"/>
  <c r="L53" i="23"/>
  <c r="Q18" i="5"/>
  <c r="R22" i="5" s="1"/>
  <c r="K53" i="23"/>
  <c r="M53" i="23"/>
  <c r="I53" i="23"/>
  <c r="G53" i="23"/>
  <c r="AI42" i="18"/>
  <c r="E21" i="13"/>
  <c r="M65" i="26" s="1"/>
  <c r="N19" i="9"/>
  <c r="I54" i="20"/>
  <c r="Q12" i="12"/>
  <c r="G54" i="20"/>
  <c r="L54" i="20"/>
  <c r="M54" i="20"/>
  <c r="K54" i="20"/>
  <c r="J54" i="20"/>
  <c r="AK42" i="23"/>
  <c r="AL42" i="23"/>
  <c r="AJ42" i="23"/>
  <c r="F55" i="23"/>
  <c r="M55" i="23" s="1"/>
  <c r="AK43" i="23"/>
  <c r="AL43" i="23"/>
  <c r="N20" i="9"/>
  <c r="I55" i="20"/>
  <c r="J55" i="20"/>
  <c r="M55" i="20"/>
  <c r="G55" i="20"/>
  <c r="H55" i="20"/>
  <c r="K55" i="20"/>
  <c r="L55" i="20"/>
  <c r="J26" i="12"/>
  <c r="E15" i="13" s="1"/>
  <c r="I52" i="18"/>
  <c r="L52" i="18"/>
  <c r="H52" i="18"/>
  <c r="M52" i="18"/>
  <c r="K52" i="18"/>
  <c r="J52" i="18"/>
  <c r="G52" i="18"/>
  <c r="F53" i="18"/>
  <c r="F68" i="25" s="1"/>
  <c r="M65" i="25" s="1"/>
  <c r="AK41" i="18"/>
  <c r="AL41" i="18"/>
  <c r="AJ41" i="18"/>
  <c r="J36" i="12"/>
  <c r="M14" i="12"/>
  <c r="E9" i="13"/>
  <c r="N19" i="8"/>
  <c r="N20" i="8"/>
  <c r="L36" i="12"/>
  <c r="L26" i="12"/>
  <c r="K54" i="23"/>
  <c r="L54" i="23"/>
  <c r="H54" i="23"/>
  <c r="I54" i="23"/>
  <c r="M54" i="23"/>
  <c r="G54" i="23"/>
  <c r="J54" i="23"/>
  <c r="I55" i="26" l="1"/>
  <c r="L16" i="13"/>
  <c r="J16" i="13"/>
  <c r="M16" i="13" s="1"/>
  <c r="M40" i="12"/>
  <c r="T60" i="25"/>
  <c r="AA48" i="25" s="1"/>
  <c r="L10" i="12"/>
  <c r="I35" i="25"/>
  <c r="Q18" i="10"/>
  <c r="R22" i="10" s="1"/>
  <c r="F9" i="16" s="1"/>
  <c r="L40" i="12"/>
  <c r="F55" i="18"/>
  <c r="J55" i="18" s="1"/>
  <c r="AL43" i="18"/>
  <c r="AK43" i="18"/>
  <c r="H55" i="23"/>
  <c r="G55" i="23"/>
  <c r="F54" i="18"/>
  <c r="AK42" i="18"/>
  <c r="AL42" i="18"/>
  <c r="AJ42" i="18"/>
  <c r="I55" i="23"/>
  <c r="L55" i="23"/>
  <c r="K55" i="23"/>
  <c r="J55" i="23"/>
  <c r="M35" i="26"/>
  <c r="J8" i="13"/>
  <c r="M36" i="12"/>
  <c r="E19" i="13"/>
  <c r="L53" i="18"/>
  <c r="H53" i="18"/>
  <c r="J53" i="18"/>
  <c r="K53" i="18"/>
  <c r="M53" i="18"/>
  <c r="G53" i="18"/>
  <c r="I53" i="18"/>
  <c r="M26" i="12"/>
  <c r="E11" i="14" l="1"/>
  <c r="P60" i="26" s="1"/>
  <c r="AA53" i="25"/>
  <c r="P40" i="25"/>
  <c r="M8" i="13" s="1"/>
  <c r="M10" i="12"/>
  <c r="M42" i="12" s="1"/>
  <c r="F10" i="16" s="1"/>
  <c r="L8" i="13"/>
  <c r="G55" i="18"/>
  <c r="M55" i="18"/>
  <c r="L55" i="18"/>
  <c r="K55" i="18"/>
  <c r="H55" i="18"/>
  <c r="I55" i="18"/>
  <c r="K54" i="18"/>
  <c r="G54" i="18"/>
  <c r="L54" i="18"/>
  <c r="H54" i="18"/>
  <c r="I54" i="18"/>
  <c r="M54" i="18"/>
  <c r="J54" i="18"/>
  <c r="J20" i="13"/>
  <c r="L20" i="13"/>
  <c r="I65" i="26"/>
  <c r="I45" i="26"/>
  <c r="J12" i="13"/>
  <c r="L12" i="13"/>
  <c r="E7" i="14"/>
  <c r="W53" i="25" l="1"/>
  <c r="AC53" i="25" s="1"/>
  <c r="W48" i="25"/>
  <c r="AC48" i="25" s="1"/>
  <c r="P40" i="26"/>
  <c r="M12" i="13"/>
  <c r="E9" i="14"/>
  <c r="T40" i="26" s="1"/>
  <c r="M20" i="13"/>
  <c r="E13" i="14"/>
  <c r="N25" i="13" l="1"/>
  <c r="F11" i="16" s="1"/>
  <c r="J8" i="14"/>
  <c r="T60" i="26"/>
  <c r="L12" i="14"/>
  <c r="J12" i="14"/>
  <c r="L8" i="14"/>
  <c r="E17" i="15" l="1"/>
  <c r="AA48" i="26" s="1"/>
  <c r="M12" i="14"/>
  <c r="E10" i="15"/>
  <c r="AA53" i="26" s="1"/>
  <c r="E15" i="15"/>
  <c r="E8" i="15"/>
  <c r="M8" i="14"/>
  <c r="W53" i="26" l="1"/>
  <c r="J9" i="15"/>
  <c r="M9" i="15" s="1"/>
  <c r="L9" i="15"/>
  <c r="W48" i="26"/>
  <c r="L16" i="15"/>
  <c r="J16" i="15"/>
  <c r="I17" i="15" s="1"/>
  <c r="N15" i="14"/>
  <c r="F12" i="16" s="1"/>
  <c r="F13" i="16" l="1"/>
  <c r="M16" i="15"/>
  <c r="F14" i="16" s="1"/>
  <c r="AC48" i="26"/>
  <c r="G17" i="16" l="1"/>
  <c r="N18"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<sst xmlns="http://schemas.openxmlformats.org/spreadsheetml/2006/main" count="1469" uniqueCount="343">
  <si>
    <t>match_id</t>
  </si>
  <si>
    <t>date</t>
  </si>
  <si>
    <t>team1</t>
  </si>
  <si>
    <t>team2</t>
  </si>
  <si>
    <t>group</t>
  </si>
  <si>
    <t>time</t>
  </si>
  <si>
    <t>location</t>
  </si>
  <si>
    <t>stage</t>
  </si>
  <si>
    <t>fixture_cell1</t>
  </si>
  <si>
    <t>fixture_cell2</t>
  </si>
  <si>
    <t>team1_prediction</t>
  </si>
  <si>
    <t>team2_prediction</t>
  </si>
  <si>
    <t>QAT</t>
  </si>
  <si>
    <t>ECU</t>
  </si>
  <si>
    <t>A</t>
  </si>
  <si>
    <t>Al Bayt Stadium</t>
  </si>
  <si>
    <t>C4</t>
  </si>
  <si>
    <t>E4</t>
  </si>
  <si>
    <t>SEN</t>
  </si>
  <si>
    <t>NED</t>
  </si>
  <si>
    <t>Al Thumama Stadium</t>
  </si>
  <si>
    <t>C6</t>
  </si>
  <si>
    <t>E6</t>
  </si>
  <si>
    <t>ENG</t>
  </si>
  <si>
    <t>IRN</t>
  </si>
  <si>
    <t>B</t>
  </si>
  <si>
    <t>Khalifa International Stadium</t>
  </si>
  <si>
    <t>J4</t>
  </si>
  <si>
    <t>L4</t>
  </si>
  <si>
    <t>USA</t>
  </si>
  <si>
    <t>WAL</t>
  </si>
  <si>
    <t>Ahmad Bin Ali Stadium</t>
  </si>
  <si>
    <t>J6</t>
  </si>
  <si>
    <t>L6</t>
  </si>
  <si>
    <t>FRA</t>
  </si>
  <si>
    <t>AUS</t>
  </si>
  <si>
    <t>D</t>
  </si>
  <si>
    <t>Al Janoub Stadium</t>
  </si>
  <si>
    <t>X4</t>
  </si>
  <si>
    <t>Z4</t>
  </si>
  <si>
    <t>DEN</t>
  </si>
  <si>
    <t>TUN</t>
  </si>
  <si>
    <t>Education City Stadium</t>
  </si>
  <si>
    <t>X6</t>
  </si>
  <si>
    <t>Z6</t>
  </si>
  <si>
    <t>MEX</t>
  </si>
  <si>
    <t>POL</t>
  </si>
  <si>
    <t>C</t>
  </si>
  <si>
    <t>Stadium 974</t>
  </si>
  <si>
    <t>Q6</t>
  </si>
  <si>
    <t>S6</t>
  </si>
  <si>
    <t>ARG</t>
  </si>
  <si>
    <t>KSA</t>
  </si>
  <si>
    <t>Lusail Stadium</t>
  </si>
  <si>
    <t>Q4</t>
  </si>
  <si>
    <t>S4</t>
  </si>
  <si>
    <t>BEL</t>
  </si>
  <si>
    <t>CAN</t>
  </si>
  <si>
    <t>F</t>
  </si>
  <si>
    <t>J18</t>
  </si>
  <si>
    <t>L18</t>
  </si>
  <si>
    <t>ESP</t>
  </si>
  <si>
    <t>CRC</t>
  </si>
  <si>
    <t>E</t>
  </si>
  <si>
    <t>C18</t>
  </si>
  <si>
    <t>E18</t>
  </si>
  <si>
    <t>GER</t>
  </si>
  <si>
    <t>JPN</t>
  </si>
  <si>
    <t>C20</t>
  </si>
  <si>
    <t>E20</t>
  </si>
  <si>
    <t>MAR</t>
  </si>
  <si>
    <t>CRO</t>
  </si>
  <si>
    <t>J20</t>
  </si>
  <si>
    <t>L20</t>
  </si>
  <si>
    <t>SUI</t>
  </si>
  <si>
    <t>CMR</t>
  </si>
  <si>
    <t>G</t>
  </si>
  <si>
    <t>Q18</t>
  </si>
  <si>
    <t>S18</t>
  </si>
  <si>
    <t>URU</t>
  </si>
  <si>
    <t>KOR</t>
  </si>
  <si>
    <t>H</t>
  </si>
  <si>
    <t>X18</t>
  </si>
  <si>
    <t>Z18</t>
  </si>
  <si>
    <t>POR</t>
  </si>
  <si>
    <t>GHA</t>
  </si>
  <si>
    <t>X20</t>
  </si>
  <si>
    <t>Z20</t>
  </si>
  <si>
    <t>BRA</t>
  </si>
  <si>
    <t>SRB</t>
  </si>
  <si>
    <t>Q20</t>
  </si>
  <si>
    <t>S20</t>
  </si>
  <si>
    <t>L8</t>
  </si>
  <si>
    <t>J8</t>
  </si>
  <si>
    <t>C8</t>
  </si>
  <si>
    <t>E8</t>
  </si>
  <si>
    <t>C10</t>
  </si>
  <si>
    <t>E10</t>
  </si>
  <si>
    <t>J10</t>
  </si>
  <si>
    <t>L10</t>
  </si>
  <si>
    <t>X10</t>
  </si>
  <si>
    <t>Z10</t>
  </si>
  <si>
    <t>Q8</t>
  </si>
  <si>
    <t>S8</t>
  </si>
  <si>
    <t>X8</t>
  </si>
  <si>
    <t>Z8</t>
  </si>
  <si>
    <t>Q10</t>
  </si>
  <si>
    <t>S10</t>
  </si>
  <si>
    <t>C24</t>
  </si>
  <si>
    <t>E24</t>
  </si>
  <si>
    <t>J24</t>
  </si>
  <si>
    <t>L24</t>
  </si>
  <si>
    <t>J22</t>
  </si>
  <si>
    <t>L22</t>
  </si>
  <si>
    <t>C22</t>
  </si>
  <si>
    <t>E22</t>
  </si>
  <si>
    <t>S24</t>
  </si>
  <si>
    <t>Q24</t>
  </si>
  <si>
    <t>X22</t>
  </si>
  <si>
    <t>Z22</t>
  </si>
  <si>
    <t>Q22</t>
  </si>
  <si>
    <t>S22</t>
  </si>
  <si>
    <t>X24</t>
  </si>
  <si>
    <t>Z24</t>
  </si>
  <si>
    <t>L14</t>
  </si>
  <si>
    <t>J14</t>
  </si>
  <si>
    <t>J12</t>
  </si>
  <si>
    <t>L12</t>
  </si>
  <si>
    <t>C12</t>
  </si>
  <si>
    <t>E12</t>
  </si>
  <si>
    <t>C14</t>
  </si>
  <si>
    <t>E14</t>
  </si>
  <si>
    <t>Z14</t>
  </si>
  <si>
    <t>X14</t>
  </si>
  <si>
    <t>X12</t>
  </si>
  <si>
    <t>Z12</t>
  </si>
  <si>
    <t>Q12</t>
  </si>
  <si>
    <t>S12</t>
  </si>
  <si>
    <t>Q14</t>
  </si>
  <si>
    <t>S14</t>
  </si>
  <si>
    <t>J26</t>
  </si>
  <si>
    <t>L26</t>
  </si>
  <si>
    <t>J28</t>
  </si>
  <si>
    <t>L28</t>
  </si>
  <si>
    <t>C28</t>
  </si>
  <si>
    <t>E28</t>
  </si>
  <si>
    <t>C26</t>
  </si>
  <si>
    <t>E26</t>
  </si>
  <si>
    <t>X28</t>
  </si>
  <si>
    <t>Z28</t>
  </si>
  <si>
    <t>X26</t>
  </si>
  <si>
    <t>Z26</t>
  </si>
  <si>
    <t>Q28</t>
  </si>
  <si>
    <t>S28</t>
  </si>
  <si>
    <t>S26</t>
  </si>
  <si>
    <t>Q26</t>
  </si>
  <si>
    <t>1A</t>
  </si>
  <si>
    <t>2B</t>
  </si>
  <si>
    <t>rd16</t>
  </si>
  <si>
    <t>C33</t>
  </si>
  <si>
    <t>E33</t>
  </si>
  <si>
    <t>1C</t>
  </si>
  <si>
    <t>2D</t>
  </si>
  <si>
    <t>C38</t>
  </si>
  <si>
    <t>E38</t>
  </si>
  <si>
    <t>1B</t>
  </si>
  <si>
    <t>2A</t>
  </si>
  <si>
    <t>C53</t>
  </si>
  <si>
    <t>E53</t>
  </si>
  <si>
    <t>1D</t>
  </si>
  <si>
    <t>2C</t>
  </si>
  <si>
    <t>C58</t>
  </si>
  <si>
    <t>E58</t>
  </si>
  <si>
    <t>1E</t>
  </si>
  <si>
    <t>2F</t>
  </si>
  <si>
    <t>C43</t>
  </si>
  <si>
    <t>E43</t>
  </si>
  <si>
    <t>1G</t>
  </si>
  <si>
    <t>2H</t>
  </si>
  <si>
    <t>C48</t>
  </si>
  <si>
    <t>E48</t>
  </si>
  <si>
    <t>1F</t>
  </si>
  <si>
    <t>2E</t>
  </si>
  <si>
    <t>C63</t>
  </si>
  <si>
    <t>E63</t>
  </si>
  <si>
    <t>1H</t>
  </si>
  <si>
    <t>2G</t>
  </si>
  <si>
    <t>C68</t>
  </si>
  <si>
    <t>E68</t>
  </si>
  <si>
    <t>W49</t>
  </si>
  <si>
    <t>W50</t>
  </si>
  <si>
    <t>quarters</t>
  </si>
  <si>
    <t>J35</t>
  </si>
  <si>
    <t>L35</t>
  </si>
  <si>
    <t>W53</t>
  </si>
  <si>
    <t>W54</t>
  </si>
  <si>
    <t>J45</t>
  </si>
  <si>
    <t>L45</t>
  </si>
  <si>
    <t>W51</t>
  </si>
  <si>
    <t>W52</t>
  </si>
  <si>
    <t>J55</t>
  </si>
  <si>
    <t>L55</t>
  </si>
  <si>
    <t>W55</t>
  </si>
  <si>
    <t>W56</t>
  </si>
  <si>
    <t>J65</t>
  </si>
  <si>
    <t>L65</t>
  </si>
  <si>
    <t>W57</t>
  </si>
  <si>
    <t>W58</t>
  </si>
  <si>
    <t>semis</t>
  </si>
  <si>
    <t>Q40</t>
  </si>
  <si>
    <t>S40</t>
  </si>
  <si>
    <t>W59</t>
  </si>
  <si>
    <t>W60</t>
  </si>
  <si>
    <t>Q60</t>
  </si>
  <si>
    <t>S60</t>
  </si>
  <si>
    <t>L61</t>
  </si>
  <si>
    <t>L62</t>
  </si>
  <si>
    <t>3rd</t>
  </si>
  <si>
    <t>X53</t>
  </si>
  <si>
    <t>Z53</t>
  </si>
  <si>
    <t>W61</t>
  </si>
  <si>
    <t>W62</t>
  </si>
  <si>
    <t>final</t>
  </si>
  <si>
    <t>X48</t>
  </si>
  <si>
    <t>Z48</t>
  </si>
  <si>
    <t>PROGRAMA DE PARTIDOS</t>
  </si>
  <si>
    <t>Puntos</t>
  </si>
  <si>
    <r>
      <t xml:space="preserve">GRUPO </t>
    </r>
    <r>
      <rPr>
        <b/>
        <sz val="22"/>
        <color indexed="18"/>
        <rFont val="Verdana"/>
        <family val="2"/>
      </rPr>
      <t>A</t>
    </r>
  </si>
  <si>
    <t>día</t>
  </si>
  <si>
    <t>hora</t>
  </si>
  <si>
    <t>obs</t>
  </si>
  <si>
    <t>Marcador</t>
  </si>
  <si>
    <t>Vencedor</t>
  </si>
  <si>
    <t>Empate</t>
  </si>
  <si>
    <t>-</t>
  </si>
  <si>
    <t>Qatar</t>
  </si>
  <si>
    <t>Ecuador</t>
  </si>
  <si>
    <t>Senegal</t>
  </si>
  <si>
    <t>Netherlands</t>
  </si>
  <si>
    <t>POSICIONES</t>
  </si>
  <si>
    <t>J</t>
  </si>
  <si>
    <t>P</t>
  </si>
  <si>
    <t>GF</t>
  </si>
  <si>
    <t>GC</t>
  </si>
  <si>
    <t>DIF</t>
  </si>
  <si>
    <t>PTS</t>
  </si>
  <si>
    <t>Clasificacion</t>
  </si>
  <si>
    <r>
      <t xml:space="preserve">avanza a octavos de final </t>
    </r>
    <r>
      <rPr>
        <b/>
        <sz val="8"/>
        <color indexed="18"/>
        <rFont val="Wingdings"/>
        <charset val="2"/>
      </rPr>
      <t>Ø</t>
    </r>
  </si>
  <si>
    <t>Total Puntos</t>
  </si>
  <si>
    <t>fecha y hora actual:</t>
  </si>
  <si>
    <r>
      <t xml:space="preserve">GRUPO </t>
    </r>
    <r>
      <rPr>
        <b/>
        <sz val="22"/>
        <color indexed="18"/>
        <rFont val="Arial"/>
        <family val="2"/>
      </rPr>
      <t>B</t>
    </r>
  </si>
  <si>
    <t>Inglaterra</t>
  </si>
  <si>
    <t>Iran</t>
  </si>
  <si>
    <t>Gales</t>
  </si>
  <si>
    <r>
      <t xml:space="preserve">GRUPO </t>
    </r>
    <r>
      <rPr>
        <b/>
        <sz val="22"/>
        <color indexed="18"/>
        <rFont val="Arial"/>
        <family val="2"/>
      </rPr>
      <t>C</t>
    </r>
  </si>
  <si>
    <t>Argentina</t>
  </si>
  <si>
    <t>Arabia Saudi</t>
  </si>
  <si>
    <t>Mexico</t>
  </si>
  <si>
    <t>Polonia</t>
  </si>
  <si>
    <r>
      <t xml:space="preserve">GRUPO </t>
    </r>
    <r>
      <rPr>
        <b/>
        <sz val="22"/>
        <color indexed="18"/>
        <rFont val="Arial"/>
        <family val="2"/>
      </rPr>
      <t>D</t>
    </r>
  </si>
  <si>
    <t>Francia</t>
  </si>
  <si>
    <t>Australia</t>
  </si>
  <si>
    <t>Dinamarca</t>
  </si>
  <si>
    <t>Tunez</t>
  </si>
  <si>
    <r>
      <t xml:space="preserve">GRUPO </t>
    </r>
    <r>
      <rPr>
        <b/>
        <sz val="22"/>
        <color indexed="18"/>
        <rFont val="Arial"/>
        <family val="2"/>
      </rPr>
      <t>E</t>
    </r>
  </si>
  <si>
    <t>España</t>
  </si>
  <si>
    <t>Costa Rica</t>
  </si>
  <si>
    <t>Alemania</t>
  </si>
  <si>
    <t>Japon</t>
  </si>
  <si>
    <r>
      <t xml:space="preserve">GRUPO </t>
    </r>
    <r>
      <rPr>
        <b/>
        <sz val="22"/>
        <color indexed="18"/>
        <rFont val="Arial"/>
        <family val="2"/>
      </rPr>
      <t>F</t>
    </r>
  </si>
  <si>
    <t>Belgica</t>
  </si>
  <si>
    <t>Canada</t>
  </si>
  <si>
    <t>Marruecos</t>
  </si>
  <si>
    <t>Croacia</t>
  </si>
  <si>
    <r>
      <t xml:space="preserve">GRUPO </t>
    </r>
    <r>
      <rPr>
        <b/>
        <sz val="22"/>
        <color indexed="18"/>
        <rFont val="Arial"/>
        <family val="2"/>
      </rPr>
      <t>G</t>
    </r>
  </si>
  <si>
    <t>Brasil</t>
  </si>
  <si>
    <t>Serbia</t>
  </si>
  <si>
    <t>Suiza</t>
  </si>
  <si>
    <t>Camerun</t>
  </si>
  <si>
    <r>
      <t xml:space="preserve">GRUPO </t>
    </r>
    <r>
      <rPr>
        <b/>
        <sz val="22"/>
        <color indexed="18"/>
        <rFont val="Arial"/>
        <family val="2"/>
      </rPr>
      <t>H</t>
    </r>
  </si>
  <si>
    <t>Portugal</t>
  </si>
  <si>
    <t>Ghana</t>
  </si>
  <si>
    <t>Uruguay</t>
  </si>
  <si>
    <t>Corea del Sur</t>
  </si>
  <si>
    <t>sede / fecha / hora</t>
  </si>
  <si>
    <t>resultado</t>
  </si>
  <si>
    <t>penales</t>
  </si>
  <si>
    <t>A cuartos de final</t>
  </si>
  <si>
    <t>Ganador</t>
  </si>
  <si>
    <t>v</t>
  </si>
  <si>
    <t>Menu Principal</t>
  </si>
  <si>
    <t>a semifinal</t>
  </si>
  <si>
    <t>3er puesto</t>
  </si>
  <si>
    <t>F I N A L</t>
  </si>
  <si>
    <t>CAMPEON</t>
  </si>
  <si>
    <t>Goleador del mundial</t>
  </si>
  <si>
    <t>Ronaldo</t>
  </si>
  <si>
    <t>Resumen de puntos</t>
  </si>
  <si>
    <t>Ronda de grupos</t>
  </si>
  <si>
    <t>Octavos de final</t>
  </si>
  <si>
    <t>Cuartos de final</t>
  </si>
  <si>
    <t>Semifinal</t>
  </si>
  <si>
    <t>Tercer puesto</t>
  </si>
  <si>
    <t>Campeon</t>
  </si>
  <si>
    <t>Grupo A</t>
  </si>
  <si>
    <t>Grupo B</t>
  </si>
  <si>
    <t>Grupo C</t>
  </si>
  <si>
    <t>Grupo D</t>
  </si>
  <si>
    <t>Grupo E</t>
  </si>
  <si>
    <t>Grupo F</t>
  </si>
  <si>
    <t>Grupo G</t>
  </si>
  <si>
    <t>Grupo H</t>
  </si>
  <si>
    <t>Octavos de Final</t>
  </si>
  <si>
    <t>Cuartos de Final</t>
  </si>
  <si>
    <t>Final</t>
  </si>
  <si>
    <t>CAMPEÓN</t>
  </si>
  <si>
    <t>3ª Posición</t>
  </si>
  <si>
    <t>TERCER PUESTO</t>
  </si>
  <si>
    <t>resultados</t>
  </si>
  <si>
    <t>en blanco</t>
  </si>
  <si>
    <t>p</t>
  </si>
  <si>
    <t>w</t>
  </si>
  <si>
    <t>d</t>
  </si>
  <si>
    <t>l</t>
  </si>
  <si>
    <t>f</t>
  </si>
  <si>
    <t>a</t>
  </si>
  <si>
    <t>tabla preliminar</t>
  </si>
  <si>
    <t>pts</t>
  </si>
  <si>
    <t>sort 1-2=====</t>
  </si>
  <si>
    <t>sort 1-3=====</t>
  </si>
  <si>
    <t>sort 1-4=====</t>
  </si>
  <si>
    <t>sort 2-3=====</t>
  </si>
  <si>
    <t>sort 2-4=====</t>
  </si>
  <si>
    <t>sort 3-4=====</t>
  </si>
  <si>
    <t>tabla definitiva</t>
  </si>
  <si>
    <r>
      <t xml:space="preserve">Grupo </t>
    </r>
    <r>
      <rPr>
        <b/>
        <sz val="10"/>
        <color indexed="8"/>
        <rFont val="Arial"/>
        <family val="2"/>
      </rPr>
      <t>A</t>
    </r>
  </si>
  <si>
    <r>
      <t xml:space="preserve">Grupo </t>
    </r>
    <r>
      <rPr>
        <b/>
        <sz val="10"/>
        <color indexed="8"/>
        <rFont val="Arial"/>
        <family val="2"/>
      </rPr>
      <t>B</t>
    </r>
  </si>
  <si>
    <r>
      <t xml:space="preserve">Grupo </t>
    </r>
    <r>
      <rPr>
        <b/>
        <sz val="10"/>
        <color indexed="8"/>
        <rFont val="Arial"/>
        <family val="2"/>
      </rPr>
      <t>C</t>
    </r>
  </si>
  <si>
    <r>
      <t xml:space="preserve">Grupo </t>
    </r>
    <r>
      <rPr>
        <b/>
        <sz val="10"/>
        <color indexed="8"/>
        <rFont val="Arial"/>
        <family val="2"/>
      </rPr>
      <t>D</t>
    </r>
  </si>
  <si>
    <r>
      <t xml:space="preserve">Grupo </t>
    </r>
    <r>
      <rPr>
        <b/>
        <sz val="10"/>
        <color indexed="8"/>
        <rFont val="Arial"/>
        <family val="2"/>
      </rPr>
      <t>E</t>
    </r>
  </si>
  <si>
    <r>
      <t xml:space="preserve">Grupo </t>
    </r>
    <r>
      <rPr>
        <b/>
        <sz val="10"/>
        <color indexed="8"/>
        <rFont val="Arial"/>
        <family val="2"/>
      </rPr>
      <t>F</t>
    </r>
  </si>
  <si>
    <r>
      <t xml:space="preserve">Grupo </t>
    </r>
    <r>
      <rPr>
        <b/>
        <sz val="10"/>
        <color indexed="8"/>
        <rFont val="Arial"/>
        <family val="2"/>
      </rPr>
      <t>G</t>
    </r>
  </si>
  <si>
    <r>
      <t xml:space="preserve">Grupo </t>
    </r>
    <r>
      <rPr>
        <b/>
        <sz val="10"/>
        <color indexed="8"/>
        <rFont val="Arial"/>
        <family val="2"/>
      </rPr>
      <t>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</si>
</sst>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 &quot;de&quot;\ mmm"/>
    <numFmt numFmtId="165" formatCode="&quot; &quot;"/>
    <numFmt numFmtId="166" formatCode="h:mm;@"/>
  </numFmts>
  <fonts count="85">
    <font>
      <sz val="10"/>
      <name val="Arial"/>
    </font>
    <font>
      <u/>
      <sz val="10"/>
      <color indexed="12"/>
      <name val="Arial"/>
      <family val="2"/>
    </font>
    <font>
      <sz val="8"/>
      <name val="Arial"/>
      <family val="2"/>
    </font>
    <font>
      <sz val="10"/>
      <color indexed="53"/>
      <name val="Arial"/>
      <family val="2"/>
    </font>
    <font>
      <b/>
      <sz val="10"/>
      <color indexed="53"/>
      <name val="Arial"/>
      <family val="2"/>
    </font>
    <font>
      <i/>
      <sz val="16"/>
      <color indexed="47"/>
      <name val="Verdana"/>
      <family val="2"/>
    </font>
    <font>
      <sz val="8"/>
      <name val="Arial"/>
      <family val="2"/>
    </font>
    <font>
      <b/>
      <sz val="10"/>
      <color indexed="9"/>
      <name val="Arial"/>
      <family val="2"/>
    </font>
    <font>
      <sz val="36"/>
      <color indexed="47"/>
      <name val="Haettenschweiler"/>
      <family val="2"/>
    </font>
    <font>
      <b/>
      <sz val="10"/>
      <color indexed="8"/>
      <name val="Arial"/>
      <family val="2"/>
    </font>
    <font>
      <b/>
      <sz val="8"/>
      <name val="Arial"/>
      <family val="2"/>
    </font>
    <font>
      <b/>
      <sz val="8"/>
      <color indexed="53"/>
      <name val="Arial"/>
      <family val="2"/>
    </font>
    <font>
      <b/>
      <sz val="10"/>
      <color indexed="10"/>
      <name val="Arial"/>
      <family val="2"/>
    </font>
    <font>
      <sz val="10"/>
      <color indexed="18"/>
      <name val="Arial"/>
      <family val="2"/>
    </font>
    <font>
      <b/>
      <sz val="10"/>
      <color indexed="18"/>
      <name val="Arial"/>
      <family val="2"/>
    </font>
    <font>
      <sz val="20"/>
      <color indexed="18"/>
      <name val="Verdana"/>
      <family val="2"/>
    </font>
    <font>
      <b/>
      <sz val="22"/>
      <color indexed="18"/>
      <name val="Verdana"/>
      <family val="2"/>
    </font>
    <font>
      <b/>
      <sz val="24"/>
      <color indexed="18"/>
      <name val="Verdana"/>
      <family val="2"/>
    </font>
    <font>
      <i/>
      <sz val="8"/>
      <color indexed="18"/>
      <name val="Arial"/>
      <family val="2"/>
    </font>
    <font>
      <sz val="10"/>
      <color indexed="18"/>
      <name val="Wingdings"/>
      <charset val="2"/>
    </font>
    <font>
      <sz val="10"/>
      <color indexed="18"/>
      <name val="Arial Narrow"/>
      <family val="2"/>
    </font>
    <font>
      <b/>
      <sz val="8"/>
      <color indexed="18"/>
      <name val="Arial Narrow"/>
      <family val="2"/>
    </font>
    <font>
      <b/>
      <i/>
      <sz val="20"/>
      <color indexed="18"/>
      <name val="Arial"/>
      <family val="2"/>
    </font>
    <font>
      <b/>
      <sz val="10"/>
      <color indexed="18"/>
      <name val="Arial Narrow"/>
      <family val="2"/>
    </font>
    <font>
      <b/>
      <i/>
      <sz val="24"/>
      <color indexed="18"/>
      <name val="Arial"/>
      <family val="2"/>
    </font>
    <font>
      <i/>
      <sz val="7"/>
      <color indexed="18"/>
      <name val="Arial"/>
      <family val="2"/>
    </font>
    <font>
      <sz val="6"/>
      <color indexed="18"/>
      <name val="Arial Narrow"/>
      <family val="2"/>
    </font>
    <font>
      <sz val="8"/>
      <color indexed="18"/>
      <name val="Arial"/>
      <family val="2"/>
    </font>
    <font>
      <sz val="7"/>
      <color indexed="18"/>
      <name val="Arial"/>
      <family val="2"/>
    </font>
    <font>
      <sz val="8"/>
      <color indexed="18"/>
      <name val="Arial Narrow"/>
      <family val="2"/>
    </font>
    <font>
      <b/>
      <sz val="8"/>
      <color indexed="18"/>
      <name val="Wingdings"/>
      <charset val="2"/>
    </font>
    <font>
      <sz val="6"/>
      <color indexed="18"/>
      <name val="Arial"/>
      <family val="2"/>
    </font>
    <font>
      <i/>
      <sz val="10"/>
      <color indexed="18"/>
      <name val="Arial"/>
      <family val="2"/>
    </font>
    <font>
      <i/>
      <sz val="8"/>
      <color indexed="18"/>
      <name val="Arial Narrow"/>
      <family val="2"/>
    </font>
    <font>
      <b/>
      <sz val="7"/>
      <color indexed="10"/>
      <name val="Arial Narrow"/>
      <family val="2"/>
    </font>
    <font>
      <sz val="20"/>
      <color indexed="18"/>
      <name val="Arial"/>
      <family val="2"/>
    </font>
    <font>
      <b/>
      <sz val="22"/>
      <color indexed="18"/>
      <name val="Arial"/>
      <family val="2"/>
    </font>
    <font>
      <b/>
      <sz val="24"/>
      <color indexed="18"/>
      <name val="Arial"/>
      <family val="2"/>
    </font>
    <font>
      <sz val="8"/>
      <name val="Arial"/>
      <family val="2"/>
    </font>
    <font>
      <sz val="10"/>
      <color indexed="17"/>
      <name val="Arial"/>
      <family val="2"/>
    </font>
    <font>
      <b/>
      <sz val="10"/>
      <color indexed="17"/>
      <name val="Arial"/>
      <family val="2"/>
    </font>
    <font>
      <b/>
      <sz val="8"/>
      <color indexed="17"/>
      <name val="Arial"/>
      <family val="2"/>
    </font>
    <font>
      <b/>
      <sz val="8"/>
      <color indexed="17"/>
      <name val="Arial Narrow"/>
      <family val="2"/>
    </font>
    <font>
      <sz val="8"/>
      <color indexed="17"/>
      <name val="Arial Narrow"/>
      <family val="2"/>
    </font>
    <font>
      <sz val="8"/>
      <color indexed="17"/>
      <name val="Arial"/>
      <family val="2"/>
    </font>
    <font>
      <b/>
      <sz val="9"/>
      <color indexed="17"/>
      <name val="Arial"/>
      <family val="2"/>
    </font>
    <font>
      <sz val="7"/>
      <color indexed="17"/>
      <name val="Arial Narrow"/>
      <family val="2"/>
    </font>
    <font>
      <b/>
      <sz val="8"/>
      <color indexed="10"/>
      <name val="Arial"/>
      <family val="2"/>
    </font>
    <font>
      <b/>
      <sz val="8"/>
      <color indexed="18"/>
      <name val="Arial"/>
      <family val="2"/>
    </font>
    <font>
      <sz val="11"/>
      <color indexed="18"/>
      <name val="Arial"/>
      <family val="2"/>
    </font>
    <font>
      <b/>
      <sz val="11"/>
      <color indexed="18"/>
      <name val="Arial"/>
      <family val="2"/>
    </font>
    <font>
      <sz val="12"/>
      <color indexed="18"/>
      <name val="Arial"/>
      <family val="2"/>
    </font>
    <font>
      <b/>
      <sz val="12"/>
      <color indexed="18"/>
      <name val="Arial"/>
      <family val="2"/>
    </font>
    <font>
      <sz val="11"/>
      <color indexed="18"/>
      <name val="Arial Narrow"/>
      <family val="2"/>
    </font>
    <font>
      <b/>
      <sz val="11"/>
      <color indexed="18"/>
      <name val="Arial Narrow"/>
      <family val="2"/>
    </font>
    <font>
      <b/>
      <i/>
      <sz val="12"/>
      <color indexed="18"/>
      <name val="Arial"/>
      <family val="2"/>
    </font>
    <font>
      <sz val="7"/>
      <color indexed="18"/>
      <name val="Arial Narrow"/>
      <family val="2"/>
    </font>
    <font>
      <b/>
      <i/>
      <sz val="14"/>
      <color indexed="18"/>
      <name val="Arial"/>
      <family val="2"/>
    </font>
    <font>
      <sz val="9"/>
      <color indexed="18"/>
      <name val="Arial"/>
      <family val="2"/>
    </font>
    <font>
      <sz val="12"/>
      <color indexed="18"/>
      <name val="Wingdings"/>
      <charset val="2"/>
    </font>
    <font>
      <sz val="12"/>
      <color indexed="18"/>
      <name val="Arial Narrow"/>
      <family val="2"/>
    </font>
    <font>
      <b/>
      <sz val="12"/>
      <color indexed="18"/>
      <name val="Arial Narrow"/>
      <family val="2"/>
    </font>
    <font>
      <b/>
      <sz val="16"/>
      <color indexed="18"/>
      <name val="Arial"/>
      <family val="2"/>
    </font>
    <font>
      <b/>
      <sz val="16"/>
      <color indexed="10"/>
      <name val="Arial"/>
      <family val="2"/>
    </font>
    <font>
      <sz val="16"/>
      <color indexed="18"/>
      <name val="Arial"/>
      <family val="2"/>
    </font>
    <font>
      <b/>
      <sz val="16"/>
      <color indexed="10"/>
      <name val="Arial Narrow"/>
      <family val="2"/>
    </font>
    <font>
      <b/>
      <sz val="20"/>
      <color indexed="18"/>
      <name val="Arial"/>
      <family val="2"/>
    </font>
    <font>
      <sz val="8"/>
      <color indexed="9"/>
      <name val="Arial"/>
      <family val="2"/>
    </font>
    <font>
      <b/>
      <sz val="8"/>
      <color indexed="9"/>
      <name val="Arial Narrow"/>
      <family val="2"/>
    </font>
    <font>
      <b/>
      <sz val="9"/>
      <color indexed="9"/>
      <name val="Arial"/>
      <family val="2"/>
    </font>
    <font>
      <b/>
      <sz val="8"/>
      <color indexed="9"/>
      <name val="Arial"/>
      <family val="2"/>
    </font>
    <font>
      <b/>
      <sz val="12"/>
      <color indexed="10"/>
      <name val="Arial"/>
      <family val="2"/>
    </font>
    <font>
      <sz val="36"/>
      <color indexed="9"/>
      <name val="Haettenschweiler"/>
      <family val="2"/>
    </font>
    <font>
      <i/>
      <sz val="16"/>
      <color indexed="9"/>
      <name val="Verdana"/>
      <family val="2"/>
    </font>
    <font>
      <sz val="10"/>
      <color indexed="9"/>
      <name val="Arial"/>
      <family val="2"/>
    </font>
    <font>
      <b/>
      <sz val="11"/>
      <color rgb="FFFF0000"/>
      <name val="Arial"/>
      <family val="2"/>
    </font>
    <font>
      <b/>
      <sz val="11"/>
      <color theme="1"/>
      <name val="Calibri"/>
      <family val="2"/>
      <scheme val="minor"/>
    </font>
    <font>
      <b/>
      <sz val="10"/>
      <name val="Arial"/>
    </font>
    <font>
      <b/>
      <sz val="10"/>
      <color theme="0"/>
      <name val="Arial"/>
      <family val="2"/>
    </font>
    <font>
      <b/>
      <sz val="10"/>
      <color rgb="FFC00000"/>
      <name val="Arial"/>
      <family val="2"/>
    </font>
    <font>
      <b/>
      <sz val="10"/>
      <color rgb="FFFF0000"/>
      <name val="Arial"/>
      <family val="2"/>
    </font>
    <font>
      <b/>
      <sz val="10"/>
      <color theme="6" tint="-0.499984740745262"/>
      <name val="Arial"/>
      <family val="2"/>
    </font>
    <font>
      <b/>
      <sz val="10"/>
      <color rgb="FFFFFF00"/>
      <name val="Arial"/>
      <family val="2"/>
    </font>
    <font>
      <b/>
      <sz val="10"/>
      <color rgb="FFFFC000"/>
      <name val="Arial"/>
      <family val="2"/>
    </font>
    <font>
      <b/>
      <sz val="10"/>
      <color rgb="FF00B050"/>
      <name val="Arial"/>
      <family val="2"/>
    </font>
  </fonts>
  <fills count="42">
    <fill>
      <patternFill patternType="none"/>
    </fill>
    <fill>
      <patternFill patternType="gray125"/>
    </fill>
    <fill>
      <patternFill patternType="solid">
        <fgColor indexed="8"/>
        <bgColor indexed="64"/>
      </patternFill>
    </fill>
    <fill>
      <patternFill patternType="solid">
        <fgColor indexed="9"/>
        <bgColor indexed="64"/>
      </patternFill>
    </fill>
    <fill>
      <patternFill patternType="solid">
        <fgColor indexed="41"/>
        <bgColor indexed="64"/>
      </patternFill>
    </fill>
    <fill>
      <patternFill patternType="lightGray">
        <fgColor indexed="52"/>
        <bgColor indexed="9"/>
      </patternFill>
    </fill>
    <fill>
      <patternFill patternType="solid">
        <fgColor indexed="43"/>
        <bgColor indexed="64"/>
      </patternFill>
    </fill>
    <fill>
      <patternFill patternType="solid">
        <fgColor indexed="52"/>
        <bgColor indexed="64"/>
      </patternFill>
    </fill>
    <fill>
      <patternFill patternType="solid">
        <fgColor indexed="10"/>
        <bgColor indexed="64"/>
      </patternFill>
    </fill>
    <fill>
      <patternFill patternType="solid">
        <fgColor indexed="18"/>
        <bgColor indexed="64"/>
      </patternFill>
    </fill>
    <fill>
      <patternFill patternType="solid">
        <fgColor indexed="55"/>
        <bgColor indexed="64"/>
      </patternFill>
    </fill>
    <fill>
      <patternFill patternType="solid">
        <fgColor indexed="46"/>
        <bgColor indexed="64"/>
      </patternFill>
    </fill>
    <fill>
      <patternFill patternType="solid">
        <fgColor indexed="57"/>
        <bgColor indexed="64"/>
      </patternFill>
    </fill>
    <fill>
      <patternFill patternType="solid">
        <fgColor indexed="61"/>
        <bgColor indexed="64"/>
      </patternFill>
    </fill>
    <fill>
      <patternFill patternType="solid">
        <fgColor indexed="42"/>
        <bgColor indexed="64"/>
      </patternFill>
    </fill>
    <fill>
      <patternFill patternType="solid">
        <fgColor indexed="13"/>
        <bgColor indexed="64"/>
      </patternFill>
    </fill>
    <fill>
      <patternFill patternType="solid">
        <fgColor indexed="12"/>
        <bgColor indexed="64"/>
      </patternFill>
    </fill>
    <fill>
      <patternFill patternType="solid">
        <fgColor indexed="22"/>
        <bgColor indexed="64"/>
      </patternFill>
    </fill>
    <fill>
      <patternFill patternType="solid">
        <fgColor theme="0"/>
        <bgColor indexed="64"/>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FCE4D6"/>
        <bgColor indexed="64"/>
      </patternFill>
    </fill>
    <fill>
      <patternFill patternType="solid">
        <fgColor rgb="FFA9D08E"/>
        <bgColor indexed="64"/>
      </patternFill>
    </fill>
    <fill>
      <patternFill patternType="solid">
        <fgColor rgb="FFF4B084"/>
        <bgColor indexed="64"/>
      </patternFill>
    </fill>
    <fill>
      <patternFill patternType="solid">
        <fgColor rgb="FF8EA9DB"/>
        <bgColor indexed="64"/>
      </patternFill>
    </fill>
    <fill>
      <patternFill patternType="solid">
        <fgColor rgb="FFFFD966"/>
        <bgColor indexed="64"/>
      </patternFill>
    </fill>
    <fill>
      <patternFill patternType="solid">
        <fgColor rgb="FFC00000"/>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rgb="FFFF6E01"/>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249977111117893"/>
        <bgColor indexed="64"/>
      </patternFill>
    </fill>
    <fill>
      <patternFill patternType="solid">
        <fgColor rgb="FF00B050"/>
        <bgColor indexed="64"/>
      </patternFill>
    </fill>
    <fill>
      <patternFill patternType="solid">
        <fgColor theme="3" tint="0.59999389629810485"/>
        <bgColor indexed="64"/>
      </patternFill>
    </fill>
    <fill>
      <patternFill patternType="solid">
        <fgColor theme="6" tint="-0.499984740745262"/>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rgb="FFFF0000"/>
        <bgColor indexed="64"/>
      </patternFill>
    </fill>
    <fill>
      <patternFill patternType="solid">
        <fgColor theme="3" tint="0.39997558519241921"/>
        <bgColor indexed="64"/>
      </patternFill>
    </fill>
    <fill>
      <patternFill patternType="solid">
        <fgColor rgb="FF00B0F0"/>
        <bgColor indexed="64"/>
      </patternFill>
    </fill>
  </fills>
  <borders count="40">
    <border>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indexed="53"/>
      </left>
      <right style="thin">
        <color indexed="53"/>
      </right>
      <top style="thin">
        <color indexed="53"/>
      </top>
      <bottom style="thin">
        <color indexed="53"/>
      </bottom>
      <diagonal/>
    </border>
    <border>
      <left/>
      <right/>
      <top style="thin">
        <color indexed="52"/>
      </top>
      <bottom style="thin">
        <color indexed="52"/>
      </bottom>
      <diagonal/>
    </border>
    <border>
      <left style="thin">
        <color indexed="52"/>
      </left>
      <right/>
      <top/>
      <bottom/>
      <diagonal/>
    </border>
    <border>
      <left/>
      <right style="thin">
        <color indexed="52"/>
      </right>
      <top style="thin">
        <color indexed="52"/>
      </top>
      <bottom style="thin">
        <color indexed="52"/>
      </bottom>
      <diagonal/>
    </border>
    <border>
      <left style="thin">
        <color indexed="52"/>
      </left>
      <right/>
      <top style="thin">
        <color indexed="52"/>
      </top>
      <bottom style="thin">
        <color indexed="52"/>
      </bottom>
      <diagonal/>
    </border>
    <border>
      <left style="thin">
        <color indexed="52"/>
      </left>
      <right/>
      <top style="thin">
        <color indexed="52"/>
      </top>
      <bottom/>
      <diagonal/>
    </border>
    <border>
      <left/>
      <right style="thin">
        <color indexed="52"/>
      </right>
      <top/>
      <bottom style="thin">
        <color indexed="52"/>
      </bottom>
      <diagonal/>
    </border>
    <border>
      <left/>
      <right/>
      <top/>
      <bottom style="thin">
        <color indexed="52"/>
      </bottom>
      <diagonal/>
    </border>
    <border>
      <left style="thin">
        <color indexed="52"/>
      </left>
      <right/>
      <top/>
      <bottom style="thin">
        <color indexed="53"/>
      </bottom>
      <diagonal/>
    </border>
    <border>
      <left/>
      <right/>
      <top style="thin">
        <color indexed="52"/>
      </top>
      <bottom/>
      <diagonal/>
    </border>
    <border>
      <left/>
      <right/>
      <top style="thin">
        <color indexed="53"/>
      </top>
      <bottom/>
      <diagonal/>
    </border>
    <border>
      <left style="thin">
        <color indexed="52"/>
      </left>
      <right/>
      <top/>
      <bottom style="thin">
        <color indexed="52"/>
      </bottom>
      <diagonal/>
    </border>
    <border>
      <left style="thin">
        <color indexed="52"/>
      </left>
      <right style="thin">
        <color indexed="52"/>
      </right>
      <top style="thin">
        <color indexed="52"/>
      </top>
      <bottom style="thin">
        <color indexed="5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52"/>
      </right>
      <top/>
      <bottom/>
      <diagonal/>
    </border>
    <border>
      <left style="thin">
        <color indexed="52"/>
      </left>
      <right style="thin">
        <color indexed="53"/>
      </right>
      <top/>
      <bottom/>
      <diagonal/>
    </border>
    <border>
      <left style="thin">
        <color indexed="53"/>
      </left>
      <right/>
      <top/>
      <bottom/>
      <diagonal/>
    </border>
    <border>
      <left style="medium">
        <color indexed="52"/>
      </left>
      <right/>
      <top style="medium">
        <color indexed="52"/>
      </top>
      <bottom style="medium">
        <color indexed="52"/>
      </bottom>
      <diagonal/>
    </border>
    <border>
      <left/>
      <right style="medium">
        <color indexed="52"/>
      </right>
      <top style="medium">
        <color indexed="52"/>
      </top>
      <bottom style="medium">
        <color indexed="52"/>
      </bottom>
      <diagonal/>
    </border>
    <border>
      <left style="thin">
        <color indexed="53"/>
      </left>
      <right style="thin">
        <color indexed="53"/>
      </right>
      <top style="thin">
        <color indexed="53"/>
      </top>
      <bottom style="thin">
        <color indexed="64"/>
      </bottom>
      <diagonal/>
    </border>
    <border>
      <left style="thin">
        <color indexed="53"/>
      </left>
      <right style="thin">
        <color indexed="53"/>
      </right>
      <top style="thin">
        <color indexed="64"/>
      </top>
      <bottom style="thin">
        <color indexed="53"/>
      </bottom>
      <diagonal/>
    </border>
    <border>
      <left style="thin">
        <color indexed="53"/>
      </left>
      <right style="thin">
        <color indexed="53"/>
      </right>
      <top style="thin">
        <color indexed="53"/>
      </top>
      <bottom/>
      <diagonal/>
    </border>
    <border>
      <left style="thin">
        <color indexed="53"/>
      </left>
      <right style="thin">
        <color indexed="53"/>
      </right>
      <top/>
      <bottom style="thin">
        <color indexed="53"/>
      </bottom>
      <diagonal/>
    </border>
    <border>
      <left style="medium">
        <color indexed="53"/>
      </left>
      <right/>
      <top style="medium">
        <color indexed="53"/>
      </top>
      <bottom style="medium">
        <color indexed="53"/>
      </bottom>
      <diagonal/>
    </border>
    <border>
      <left/>
      <right/>
      <top style="medium">
        <color indexed="53"/>
      </top>
      <bottom style="medium">
        <color indexed="53"/>
      </bottom>
      <diagonal/>
    </border>
    <border>
      <left/>
      <right style="medium">
        <color indexed="53"/>
      </right>
      <top style="medium">
        <color indexed="53"/>
      </top>
      <bottom style="medium">
        <color indexed="53"/>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style="medium">
        <color indexed="53"/>
      </left>
      <right/>
      <top/>
      <bottom style="medium">
        <color indexed="53"/>
      </bottom>
      <diagonal/>
    </border>
    <border>
      <left/>
      <right/>
      <top/>
      <bottom style="medium">
        <color indexed="53"/>
      </bottom>
      <diagonal/>
    </border>
    <border>
      <left/>
      <right style="medium">
        <color indexed="53"/>
      </right>
      <top/>
      <bottom style="medium">
        <color indexed="53"/>
      </bottom>
      <diagonal/>
    </border>
  </borders>
  <cellStyleXfs count="2">
    <xf numFmtId="0" fontId="0" fillId="0" borderId="0"/>
    <xf numFmtId="0" fontId="1" fillId="0" borderId="0" applyNumberFormat="0" applyFill="0" applyBorder="0" applyAlignment="0" applyProtection="0">
      <alignment vertical="top"/>
      <protection locked="0"/>
    </xf>
  </cellStyleXfs>
  <cellXfs count="411">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right" vertical="center"/>
    </xf>
    <xf numFmtId="0" fontId="2" fillId="0" borderId="0" xfId="0" applyFont="1" applyAlignment="1">
      <alignment horizontal="center" vertical="center"/>
    </xf>
    <xf numFmtId="0" fontId="2"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0" fillId="0" borderId="2" xfId="0" applyBorder="1" applyAlignment="1">
      <alignment vertical="center"/>
    </xf>
    <xf numFmtId="0" fontId="9" fillId="0" borderId="0" xfId="0" applyFont="1" applyAlignment="1">
      <alignment horizontal="center" vertical="center"/>
    </xf>
    <xf numFmtId="0" fontId="2" fillId="0" borderId="0" xfId="0" applyFont="1" applyAlignment="1">
      <alignment horizontal="left" vertical="center"/>
    </xf>
    <xf numFmtId="0" fontId="2" fillId="0" borderId="6" xfId="0" applyFont="1" applyBorder="1" applyAlignment="1">
      <alignment horizontal="center" vertical="center"/>
    </xf>
    <xf numFmtId="0" fontId="13" fillId="3" borderId="7" xfId="0" applyFont="1" applyFill="1" applyBorder="1"/>
    <xf numFmtId="0" fontId="13" fillId="3" borderId="0" xfId="0" applyFont="1" applyFill="1"/>
    <xf numFmtId="0" fontId="13" fillId="3" borderId="0" xfId="0" applyFont="1" applyFill="1" applyAlignment="1">
      <alignment vertical="center"/>
    </xf>
    <xf numFmtId="0" fontId="13" fillId="3" borderId="8" xfId="0" applyFont="1" applyFill="1" applyBorder="1" applyAlignment="1">
      <alignment vertical="center"/>
    </xf>
    <xf numFmtId="0" fontId="13" fillId="0" borderId="7" xfId="0" applyFont="1" applyBorder="1"/>
    <xf numFmtId="0" fontId="13" fillId="0" borderId="0" xfId="0" applyFont="1"/>
    <xf numFmtId="0" fontId="13" fillId="0" borderId="0" xfId="0" applyFont="1" applyAlignment="1">
      <alignment vertical="center"/>
    </xf>
    <xf numFmtId="0" fontId="13" fillId="0" borderId="8" xfId="0" applyFont="1" applyBorder="1" applyAlignment="1">
      <alignment vertical="center"/>
    </xf>
    <xf numFmtId="0" fontId="39" fillId="3" borderId="0" xfId="0" applyFont="1" applyFill="1" applyAlignment="1">
      <alignment vertical="center"/>
    </xf>
    <xf numFmtId="0" fontId="39" fillId="3" borderId="17" xfId="0" applyFont="1" applyFill="1" applyBorder="1" applyAlignment="1">
      <alignment vertical="center"/>
    </xf>
    <xf numFmtId="0" fontId="39" fillId="3" borderId="13" xfId="0" applyFont="1" applyFill="1" applyBorder="1" applyAlignment="1">
      <alignment vertical="center"/>
    </xf>
    <xf numFmtId="0" fontId="40" fillId="3" borderId="0" xfId="1" applyFont="1" applyFill="1" applyAlignment="1" applyProtection="1">
      <alignment vertical="center"/>
    </xf>
    <xf numFmtId="0" fontId="40" fillId="5" borderId="15" xfId="0" applyFont="1" applyFill="1" applyBorder="1"/>
    <xf numFmtId="0" fontId="43" fillId="3" borderId="0" xfId="0" applyFont="1" applyFill="1" applyAlignment="1">
      <alignment horizontal="right" vertical="center"/>
    </xf>
    <xf numFmtId="0" fontId="44" fillId="3" borderId="0" xfId="0" applyFont="1" applyFill="1" applyAlignment="1">
      <alignment vertical="center"/>
    </xf>
    <xf numFmtId="0" fontId="46" fillId="3" borderId="13" xfId="0" applyFont="1" applyFill="1" applyBorder="1" applyAlignment="1" applyProtection="1">
      <alignment horizontal="center" vertical="center"/>
      <protection locked="0"/>
    </xf>
    <xf numFmtId="0" fontId="44" fillId="3" borderId="13" xfId="0" applyFont="1" applyFill="1" applyBorder="1" applyAlignment="1">
      <alignment vertical="center"/>
    </xf>
    <xf numFmtId="0" fontId="43" fillId="3" borderId="0" xfId="0" applyFont="1" applyFill="1" applyAlignment="1">
      <alignment horizontal="center" vertical="center"/>
    </xf>
    <xf numFmtId="16" fontId="43" fillId="3" borderId="0" xfId="0" applyNumberFormat="1" applyFont="1" applyFill="1" applyAlignment="1">
      <alignment horizontal="right" vertical="center"/>
    </xf>
    <xf numFmtId="20" fontId="43" fillId="3" borderId="0" xfId="0" applyNumberFormat="1" applyFont="1" applyFill="1" applyAlignment="1">
      <alignment horizontal="center" vertical="center"/>
    </xf>
    <xf numFmtId="0" fontId="44" fillId="3" borderId="7" xfId="0" applyFont="1" applyFill="1" applyBorder="1" applyAlignment="1">
      <alignment vertical="center"/>
    </xf>
    <xf numFmtId="0" fontId="44" fillId="3" borderId="9" xfId="0" applyFont="1" applyFill="1" applyBorder="1" applyAlignment="1">
      <alignment vertical="center"/>
    </xf>
    <xf numFmtId="0" fontId="45" fillId="3" borderId="18" xfId="0" applyFont="1" applyFill="1" applyBorder="1" applyAlignment="1">
      <alignment vertical="center"/>
    </xf>
    <xf numFmtId="0" fontId="44" fillId="3" borderId="0" xfId="0" applyFont="1" applyFill="1" applyAlignment="1">
      <alignment horizontal="center" vertical="center"/>
    </xf>
    <xf numFmtId="0" fontId="46" fillId="3" borderId="11" xfId="0" applyFont="1" applyFill="1" applyBorder="1" applyAlignment="1" applyProtection="1">
      <alignment horizontal="center" vertical="center"/>
      <protection locked="0"/>
    </xf>
    <xf numFmtId="0" fontId="44" fillId="3" borderId="15" xfId="0" applyFont="1" applyFill="1" applyBorder="1" applyAlignment="1">
      <alignment vertical="center"/>
    </xf>
    <xf numFmtId="0" fontId="39" fillId="3" borderId="0" xfId="0" applyFont="1" applyFill="1" applyAlignment="1">
      <alignment horizontal="center" vertical="center"/>
    </xf>
    <xf numFmtId="0" fontId="47" fillId="5" borderId="15" xfId="0" applyFont="1" applyFill="1" applyBorder="1" applyAlignment="1">
      <alignment horizontal="center"/>
    </xf>
    <xf numFmtId="0" fontId="13" fillId="0" borderId="12" xfId="0" applyFont="1" applyBorder="1" applyAlignment="1">
      <alignment vertical="center"/>
    </xf>
    <xf numFmtId="0" fontId="13" fillId="0" borderId="17" xfId="0" applyFont="1" applyBorder="1" applyAlignment="1">
      <alignment vertical="center"/>
    </xf>
    <xf numFmtId="0" fontId="13" fillId="0" borderId="13" xfId="0" applyFont="1" applyBorder="1" applyAlignment="1">
      <alignment vertical="center"/>
    </xf>
    <xf numFmtId="164" fontId="33" fillId="0" borderId="0" xfId="0" applyNumberFormat="1" applyFont="1" applyAlignment="1">
      <alignment horizontal="right"/>
    </xf>
    <xf numFmtId="20" fontId="18" fillId="0" borderId="0" xfId="0" applyNumberFormat="1" applyFont="1" applyAlignment="1">
      <alignment horizontal="center"/>
    </xf>
    <xf numFmtId="0" fontId="14" fillId="0" borderId="0" xfId="1" applyFont="1" applyFill="1" applyAlignment="1" applyProtection="1">
      <alignment vertical="center"/>
    </xf>
    <xf numFmtId="0" fontId="14" fillId="0" borderId="15" xfId="0" applyFont="1" applyBorder="1"/>
    <xf numFmtId="0" fontId="20" fillId="0" borderId="0" xfId="0" applyFont="1" applyAlignment="1">
      <alignment horizontal="right" vertical="center"/>
    </xf>
    <xf numFmtId="0" fontId="27" fillId="0" borderId="0" xfId="0" applyFont="1" applyAlignment="1">
      <alignment vertical="center"/>
    </xf>
    <xf numFmtId="0" fontId="49" fillId="0" borderId="18" xfId="0" applyFont="1" applyBorder="1" applyAlignment="1">
      <alignment horizontal="right" vertical="center"/>
    </xf>
    <xf numFmtId="0" fontId="29" fillId="0" borderId="13" xfId="0" applyFont="1" applyBorder="1" applyAlignment="1" applyProtection="1">
      <alignment horizontal="center" vertical="center"/>
      <protection locked="0"/>
    </xf>
    <xf numFmtId="0" fontId="27" fillId="0" borderId="13" xfId="0" applyFont="1" applyBorder="1" applyAlignment="1">
      <alignment vertical="center"/>
    </xf>
    <xf numFmtId="0" fontId="20" fillId="0" borderId="0" xfId="0" applyFont="1" applyAlignment="1">
      <alignment horizontal="center" vertical="center"/>
    </xf>
    <xf numFmtId="16" fontId="20" fillId="0" borderId="0" xfId="0" applyNumberFormat="1" applyFont="1" applyAlignment="1">
      <alignment horizontal="right" vertical="center"/>
    </xf>
    <xf numFmtId="20" fontId="20" fillId="0" borderId="0" xfId="0" applyNumberFormat="1" applyFont="1" applyAlignment="1">
      <alignment horizontal="center" vertical="center"/>
    </xf>
    <xf numFmtId="0" fontId="23" fillId="0" borderId="0" xfId="0" applyFont="1" applyAlignment="1">
      <alignment vertical="center"/>
    </xf>
    <xf numFmtId="0" fontId="49" fillId="0" borderId="0" xfId="0" applyFont="1" applyAlignment="1">
      <alignment vertical="center"/>
    </xf>
    <xf numFmtId="0" fontId="27" fillId="0" borderId="7" xfId="0" applyFont="1" applyBorder="1" applyAlignment="1">
      <alignment vertical="center"/>
    </xf>
    <xf numFmtId="0" fontId="27" fillId="0" borderId="9" xfId="0" applyFont="1" applyBorder="1" applyAlignment="1">
      <alignment vertical="center"/>
    </xf>
    <xf numFmtId="0" fontId="50" fillId="0" borderId="18" xfId="0" applyFont="1" applyBorder="1" applyAlignment="1">
      <alignment vertical="center"/>
    </xf>
    <xf numFmtId="0" fontId="29" fillId="0" borderId="11" xfId="0" applyFont="1" applyBorder="1" applyAlignment="1" applyProtection="1">
      <alignment horizontal="center" vertical="center"/>
      <protection locked="0"/>
    </xf>
    <xf numFmtId="0" fontId="27" fillId="0" borderId="15" xfId="0" applyFont="1" applyBorder="1" applyAlignment="1">
      <alignment vertical="center"/>
    </xf>
    <xf numFmtId="0" fontId="29" fillId="0" borderId="0" xfId="0" applyFont="1" applyAlignment="1">
      <alignment horizontal="right" vertical="center"/>
    </xf>
    <xf numFmtId="0" fontId="13" fillId="0" borderId="0" xfId="0" applyFont="1" applyAlignment="1">
      <alignment horizontal="center" vertical="center"/>
    </xf>
    <xf numFmtId="164" fontId="33" fillId="0" borderId="0" xfId="0" applyNumberFormat="1" applyFont="1" applyAlignment="1">
      <alignment horizontal="right" vertical="top"/>
    </xf>
    <xf numFmtId="20" fontId="18" fillId="0" borderId="0" xfId="0" applyNumberFormat="1" applyFont="1" applyAlignment="1">
      <alignment horizontal="center" vertical="top"/>
    </xf>
    <xf numFmtId="0" fontId="51" fillId="0" borderId="18" xfId="0" applyFont="1" applyBorder="1" applyAlignment="1">
      <alignment horizontal="right" vertical="center"/>
    </xf>
    <xf numFmtId="0" fontId="53" fillId="0" borderId="0" xfId="0" applyFont="1" applyAlignment="1">
      <alignment horizontal="center" vertical="center"/>
    </xf>
    <xf numFmtId="16" fontId="53" fillId="0" borderId="0" xfId="0" applyNumberFormat="1" applyFont="1" applyAlignment="1">
      <alignment horizontal="right" vertical="center"/>
    </xf>
    <xf numFmtId="20" fontId="53" fillId="0" borderId="0" xfId="0" applyNumberFormat="1" applyFont="1" applyAlignment="1">
      <alignment horizontal="center" vertical="center"/>
    </xf>
    <xf numFmtId="0" fontId="54" fillId="0" borderId="0" xfId="0" applyFont="1" applyAlignment="1">
      <alignment vertical="center"/>
    </xf>
    <xf numFmtId="0" fontId="13" fillId="0" borderId="22" xfId="0" applyFont="1" applyBorder="1" applyAlignment="1">
      <alignment vertical="center"/>
    </xf>
    <xf numFmtId="22" fontId="18" fillId="0" borderId="0" xfId="0" applyNumberFormat="1" applyFont="1" applyAlignment="1">
      <alignment horizontal="center" vertical="top"/>
    </xf>
    <xf numFmtId="0" fontId="55" fillId="0" borderId="0" xfId="0" applyFont="1" applyAlignment="1">
      <alignment horizontal="right" vertical="center"/>
    </xf>
    <xf numFmtId="0" fontId="55" fillId="0" borderId="17" xfId="0" applyFont="1" applyBorder="1" applyAlignment="1">
      <alignment horizontal="left" vertical="center"/>
    </xf>
    <xf numFmtId="0" fontId="31" fillId="0" borderId="0" xfId="0" applyFont="1" applyAlignment="1">
      <alignment vertical="center"/>
    </xf>
    <xf numFmtId="0" fontId="20" fillId="0" borderId="22" xfId="0" applyFont="1" applyBorder="1" applyAlignment="1">
      <alignment horizontal="right" vertical="center"/>
    </xf>
    <xf numFmtId="0" fontId="56" fillId="0" borderId="13" xfId="0" applyFont="1" applyBorder="1" applyAlignment="1" applyProtection="1">
      <alignment horizontal="center" vertical="center"/>
      <protection locked="0"/>
    </xf>
    <xf numFmtId="0" fontId="19" fillId="0" borderId="22" xfId="0" applyFont="1" applyBorder="1" applyAlignment="1">
      <alignment horizontal="right" vertical="center"/>
    </xf>
    <xf numFmtId="0" fontId="27" fillId="0" borderId="23" xfId="0" applyFont="1" applyBorder="1" applyAlignment="1">
      <alignment vertical="center"/>
    </xf>
    <xf numFmtId="0" fontId="50" fillId="0" borderId="6" xfId="0" applyFont="1" applyBorder="1" applyAlignment="1">
      <alignment vertical="center"/>
    </xf>
    <xf numFmtId="0" fontId="56" fillId="0" borderId="11" xfId="0" applyFont="1" applyBorder="1" applyAlignment="1" applyProtection="1">
      <alignment horizontal="center" vertical="center"/>
      <protection locked="0"/>
    </xf>
    <xf numFmtId="0" fontId="51" fillId="0" borderId="0" xfId="0" applyFont="1" applyAlignment="1">
      <alignment horizontal="right" vertical="center"/>
    </xf>
    <xf numFmtId="0" fontId="52" fillId="0" borderId="0" xfId="0" applyFont="1" applyAlignment="1">
      <alignment horizontal="center" vertical="center"/>
    </xf>
    <xf numFmtId="0" fontId="29" fillId="0" borderId="0" xfId="0" applyFont="1" applyAlignment="1">
      <alignment horizontal="center" vertical="center"/>
    </xf>
    <xf numFmtId="0" fontId="20" fillId="0" borderId="12" xfId="0" applyFont="1" applyBorder="1" applyAlignment="1">
      <alignment horizontal="right" vertical="center"/>
    </xf>
    <xf numFmtId="0" fontId="57" fillId="0" borderId="17" xfId="0" applyFont="1" applyBorder="1" applyAlignment="1">
      <alignment vertical="center"/>
    </xf>
    <xf numFmtId="0" fontId="14" fillId="0" borderId="15" xfId="0" applyFont="1" applyBorder="1" applyAlignment="1">
      <alignment vertical="center"/>
    </xf>
    <xf numFmtId="0" fontId="52" fillId="0" borderId="18" xfId="0" applyFont="1" applyBorder="1" applyAlignment="1">
      <alignment horizontal="right" vertical="center"/>
    </xf>
    <xf numFmtId="0" fontId="58" fillId="0" borderId="0" xfId="0" applyFont="1" applyAlignment="1" applyProtection="1">
      <alignment horizontal="center" vertical="center"/>
      <protection locked="0"/>
    </xf>
    <xf numFmtId="0" fontId="59" fillId="0" borderId="0" xfId="0" applyFont="1" applyAlignment="1">
      <alignment horizontal="right" vertical="center"/>
    </xf>
    <xf numFmtId="0" fontId="60" fillId="0" borderId="0" xfId="0" applyFont="1" applyAlignment="1">
      <alignment horizontal="right" vertical="center"/>
    </xf>
    <xf numFmtId="16" fontId="60" fillId="0" borderId="0" xfId="0" applyNumberFormat="1" applyFont="1" applyAlignment="1">
      <alignment horizontal="right" vertical="center"/>
    </xf>
    <xf numFmtId="0" fontId="61" fillId="0" borderId="0" xfId="0" applyFont="1" applyAlignment="1">
      <alignment vertical="center"/>
    </xf>
    <xf numFmtId="0" fontId="12" fillId="0" borderId="0" xfId="0" applyFont="1" applyAlignment="1">
      <alignment vertical="center"/>
    </xf>
    <xf numFmtId="0" fontId="63" fillId="5" borderId="15" xfId="0" applyFont="1" applyFill="1" applyBorder="1" applyAlignment="1">
      <alignment horizontal="center"/>
    </xf>
    <xf numFmtId="0" fontId="64" fillId="0" borderId="0" xfId="0" applyFont="1" applyAlignment="1">
      <alignment vertical="center"/>
    </xf>
    <xf numFmtId="3" fontId="65" fillId="3" borderId="7" xfId="0" applyNumberFormat="1" applyFont="1" applyFill="1" applyBorder="1" applyAlignment="1">
      <alignment horizontal="right" vertical="center"/>
    </xf>
    <xf numFmtId="0" fontId="66" fillId="6" borderId="19" xfId="0" applyFont="1" applyFill="1" applyBorder="1"/>
    <xf numFmtId="0" fontId="66" fillId="6" borderId="20" xfId="0" applyFont="1" applyFill="1" applyBorder="1"/>
    <xf numFmtId="3" fontId="66" fillId="6" borderId="21" xfId="0" applyNumberFormat="1" applyFont="1" applyFill="1" applyBorder="1"/>
    <xf numFmtId="0" fontId="2" fillId="0" borderId="24" xfId="0" applyFont="1" applyBorder="1" applyAlignment="1">
      <alignment horizontal="center" vertical="center"/>
    </xf>
    <xf numFmtId="1" fontId="2" fillId="0" borderId="0" xfId="0" applyNumberFormat="1" applyFont="1" applyAlignment="1">
      <alignment horizontal="center" vertical="center"/>
    </xf>
    <xf numFmtId="0" fontId="14" fillId="6" borderId="18" xfId="0" applyFont="1" applyFill="1" applyBorder="1" applyAlignment="1" applyProtection="1">
      <alignment horizontal="center" vertical="center"/>
      <protection locked="0"/>
    </xf>
    <xf numFmtId="1" fontId="67" fillId="0" borderId="0" xfId="0" applyNumberFormat="1" applyFont="1" applyAlignment="1">
      <alignment horizontal="center" vertical="center"/>
    </xf>
    <xf numFmtId="0" fontId="68" fillId="3" borderId="0" xfId="0" applyFont="1" applyFill="1" applyAlignment="1">
      <alignment vertical="center"/>
    </xf>
    <xf numFmtId="0" fontId="69" fillId="7" borderId="18" xfId="0" applyFont="1" applyFill="1" applyBorder="1" applyAlignment="1">
      <alignment horizontal="right" vertical="center"/>
    </xf>
    <xf numFmtId="0" fontId="69" fillId="8" borderId="18" xfId="0" applyFont="1" applyFill="1" applyBorder="1" applyAlignment="1">
      <alignment horizontal="right" vertical="center"/>
    </xf>
    <xf numFmtId="0" fontId="70" fillId="3" borderId="0" xfId="0" applyFont="1" applyFill="1" applyAlignment="1">
      <alignment vertical="center"/>
    </xf>
    <xf numFmtId="0" fontId="69" fillId="9" borderId="18" xfId="0" applyFont="1" applyFill="1" applyBorder="1" applyAlignment="1">
      <alignment horizontal="right" vertical="center"/>
    </xf>
    <xf numFmtId="0" fontId="69" fillId="10" borderId="18" xfId="0" applyFont="1" applyFill="1" applyBorder="1" applyAlignment="1">
      <alignment horizontal="right" vertical="center"/>
    </xf>
    <xf numFmtId="0" fontId="10" fillId="3" borderId="0" xfId="0" applyFont="1" applyFill="1" applyAlignment="1">
      <alignment vertical="center"/>
    </xf>
    <xf numFmtId="0" fontId="69" fillId="11" borderId="18" xfId="0" applyFont="1" applyFill="1" applyBorder="1" applyAlignment="1">
      <alignment horizontal="right" vertical="center"/>
    </xf>
    <xf numFmtId="0" fontId="69" fillId="12" borderId="18" xfId="0" applyFont="1" applyFill="1" applyBorder="1" applyAlignment="1">
      <alignment horizontal="right" vertical="center"/>
    </xf>
    <xf numFmtId="0" fontId="69" fillId="13" borderId="18" xfId="0" applyFont="1" applyFill="1" applyBorder="1" applyAlignment="1">
      <alignment horizontal="right" vertical="center"/>
    </xf>
    <xf numFmtId="0" fontId="69" fillId="2" borderId="18" xfId="0" applyFont="1" applyFill="1" applyBorder="1" applyAlignment="1">
      <alignment horizontal="right" vertical="center"/>
    </xf>
    <xf numFmtId="0" fontId="10" fillId="0" borderId="0" xfId="0" applyFont="1" applyAlignment="1">
      <alignment vertical="center"/>
    </xf>
    <xf numFmtId="0" fontId="10" fillId="0" borderId="0" xfId="0" applyFont="1"/>
    <xf numFmtId="1" fontId="46" fillId="3" borderId="13" xfId="0" applyNumberFormat="1" applyFont="1" applyFill="1" applyBorder="1" applyAlignment="1" applyProtection="1">
      <alignment horizontal="center" vertical="center"/>
      <protection locked="0"/>
    </xf>
    <xf numFmtId="1" fontId="46" fillId="3" borderId="11" xfId="0" applyNumberFormat="1" applyFont="1" applyFill="1" applyBorder="1" applyAlignment="1" applyProtection="1">
      <alignment horizontal="center" vertical="center"/>
      <protection locked="0"/>
    </xf>
    <xf numFmtId="0" fontId="10" fillId="0" borderId="0" xfId="0" applyFont="1" applyAlignment="1">
      <alignment horizontal="center" vertical="center"/>
    </xf>
    <xf numFmtId="1" fontId="0" fillId="0" borderId="0" xfId="0" applyNumberFormat="1" applyAlignment="1">
      <alignment horizontal="center"/>
    </xf>
    <xf numFmtId="1" fontId="2" fillId="15" borderId="6" xfId="0" applyNumberFormat="1" applyFont="1" applyFill="1" applyBorder="1" applyAlignment="1">
      <alignment horizontal="center" vertical="center"/>
    </xf>
    <xf numFmtId="0" fontId="10" fillId="0" borderId="5"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2" xfId="0" applyFont="1" applyBorder="1" applyAlignment="1">
      <alignment vertical="center"/>
    </xf>
    <xf numFmtId="0" fontId="14" fillId="3" borderId="0" xfId="1" applyFont="1" applyFill="1" applyAlignment="1" applyProtection="1"/>
    <xf numFmtId="0" fontId="14" fillId="0" borderId="0" xfId="1" applyFont="1" applyFill="1" applyAlignment="1" applyProtection="1"/>
    <xf numFmtId="0" fontId="5" fillId="18" borderId="0" xfId="0" applyFont="1" applyFill="1" applyAlignment="1">
      <alignment horizontal="center" vertical="center"/>
    </xf>
    <xf numFmtId="0" fontId="0" fillId="18" borderId="0" xfId="0" applyFill="1" applyAlignment="1">
      <alignment vertical="center"/>
    </xf>
    <xf numFmtId="0" fontId="41" fillId="5" borderId="15" xfId="0" applyFont="1" applyFill="1" applyBorder="1" applyAlignment="1">
      <alignment horizontal="center"/>
    </xf>
    <xf numFmtId="0" fontId="48" fillId="0" borderId="15" xfId="0" applyFont="1" applyBorder="1" applyAlignment="1">
      <alignment horizontal="center"/>
    </xf>
    <xf numFmtId="0" fontId="48" fillId="0" borderId="15" xfId="0" applyFont="1" applyBorder="1" applyAlignment="1">
      <alignment horizontal="center" vertical="center"/>
    </xf>
    <xf numFmtId="0" fontId="73" fillId="18" borderId="0" xfId="0" applyFont="1" applyFill="1" applyAlignment="1">
      <alignment vertical="center"/>
    </xf>
    <xf numFmtId="0" fontId="74" fillId="18" borderId="0" xfId="0" applyFont="1" applyFill="1"/>
    <xf numFmtId="0" fontId="73" fillId="18" borderId="0" xfId="0" applyFont="1" applyFill="1" applyAlignment="1">
      <alignment horizontal="center" vertical="center"/>
    </xf>
    <xf numFmtId="0" fontId="13" fillId="3" borderId="8" xfId="0" applyFont="1" applyFill="1" applyBorder="1"/>
    <xf numFmtId="20" fontId="13" fillId="3" borderId="0" xfId="0" applyNumberFormat="1" applyFont="1" applyFill="1" applyAlignment="1">
      <alignment horizontal="center"/>
    </xf>
    <xf numFmtId="0" fontId="14" fillId="5" borderId="15" xfId="0" applyFont="1" applyFill="1" applyBorder="1"/>
    <xf numFmtId="0" fontId="18" fillId="3" borderId="0" xfId="0" applyFont="1" applyFill="1" applyAlignment="1">
      <alignment horizontal="center"/>
    </xf>
    <xf numFmtId="16" fontId="34" fillId="3" borderId="7" xfId="0" applyNumberFormat="1" applyFont="1" applyFill="1" applyBorder="1" applyAlignment="1">
      <alignment horizontal="center" vertical="center"/>
    </xf>
    <xf numFmtId="0" fontId="19" fillId="3" borderId="0" xfId="0" applyFont="1" applyFill="1" applyAlignment="1">
      <alignment horizontal="right" vertical="center"/>
    </xf>
    <xf numFmtId="16" fontId="20" fillId="3" borderId="7" xfId="0" applyNumberFormat="1" applyFont="1" applyFill="1" applyBorder="1" applyAlignment="1">
      <alignment horizontal="center" vertical="center"/>
    </xf>
    <xf numFmtId="3" fontId="34" fillId="3" borderId="7" xfId="0" applyNumberFormat="1" applyFont="1" applyFill="1" applyBorder="1" applyAlignment="1">
      <alignment horizontal="right" vertical="center"/>
    </xf>
    <xf numFmtId="165" fontId="13" fillId="3" borderId="0" xfId="0" applyNumberFormat="1" applyFont="1" applyFill="1"/>
    <xf numFmtId="0" fontId="22" fillId="3" borderId="0" xfId="0" applyFont="1" applyFill="1" applyAlignment="1">
      <alignment horizontal="center"/>
    </xf>
    <xf numFmtId="0" fontId="24" fillId="3" borderId="0" xfId="0" applyFont="1" applyFill="1" applyAlignment="1">
      <alignment horizontal="center"/>
    </xf>
    <xf numFmtId="0" fontId="13" fillId="3" borderId="0" xfId="0" applyFont="1" applyFill="1" applyAlignment="1">
      <alignment horizontal="right"/>
    </xf>
    <xf numFmtId="0" fontId="13" fillId="3" borderId="0" xfId="0" applyFont="1" applyFill="1" applyAlignment="1">
      <alignment horizontal="center"/>
    </xf>
    <xf numFmtId="0" fontId="13" fillId="3" borderId="0" xfId="0" applyFont="1" applyFill="1" applyAlignment="1">
      <alignment horizontal="left"/>
    </xf>
    <xf numFmtId="0" fontId="25" fillId="3" borderId="0" xfId="0" applyFont="1" applyFill="1" applyAlignment="1">
      <alignment horizontal="left"/>
    </xf>
    <xf numFmtId="20" fontId="26" fillId="3" borderId="11" xfId="0" applyNumberFormat="1" applyFont="1" applyFill="1" applyBorder="1" applyAlignment="1">
      <alignment horizontal="left" vertical="top"/>
    </xf>
    <xf numFmtId="22" fontId="27" fillId="3" borderId="0" xfId="0" applyNumberFormat="1" applyFont="1" applyFill="1" applyAlignment="1">
      <alignment horizontal="center"/>
    </xf>
    <xf numFmtId="20" fontId="13" fillId="3" borderId="8" xfId="0" applyNumberFormat="1" applyFont="1" applyFill="1" applyBorder="1" applyAlignment="1">
      <alignment horizontal="center"/>
    </xf>
    <xf numFmtId="20" fontId="13" fillId="3" borderId="12" xfId="0" applyNumberFormat="1" applyFont="1" applyFill="1" applyBorder="1" applyAlignment="1">
      <alignment horizontal="center"/>
    </xf>
    <xf numFmtId="0" fontId="13" fillId="3" borderId="13" xfId="0" applyFont="1" applyFill="1" applyBorder="1"/>
    <xf numFmtId="0" fontId="23" fillId="3" borderId="0" xfId="0" applyFont="1" applyFill="1" applyAlignment="1">
      <alignment horizontal="center" vertical="center"/>
    </xf>
    <xf numFmtId="0" fontId="23" fillId="3" borderId="11" xfId="0" applyFont="1" applyFill="1" applyBorder="1" applyAlignment="1">
      <alignment horizontal="center" vertical="center"/>
    </xf>
    <xf numFmtId="0" fontId="28" fillId="3" borderId="0" xfId="0" applyFont="1" applyFill="1" applyAlignment="1">
      <alignment horizontal="center"/>
    </xf>
    <xf numFmtId="0" fontId="29" fillId="3" borderId="0" xfId="0" applyFont="1" applyFill="1" applyAlignment="1">
      <alignment horizontal="right" vertical="center"/>
    </xf>
    <xf numFmtId="0" fontId="23" fillId="3" borderId="7" xfId="0" applyFont="1" applyFill="1" applyBorder="1" applyAlignment="1">
      <alignment vertical="center"/>
    </xf>
    <xf numFmtId="0" fontId="18" fillId="3" borderId="0" xfId="0" applyFont="1" applyFill="1" applyAlignment="1">
      <alignment horizontal="left" vertical="center"/>
    </xf>
    <xf numFmtId="0" fontId="20" fillId="3" borderId="7" xfId="0" applyFont="1" applyFill="1" applyBorder="1" applyAlignment="1">
      <alignment vertical="center"/>
    </xf>
    <xf numFmtId="0" fontId="14" fillId="4" borderId="19" xfId="0" applyFont="1" applyFill="1" applyBorder="1"/>
    <xf numFmtId="0" fontId="14" fillId="4" borderId="20" xfId="0" applyFont="1" applyFill="1" applyBorder="1"/>
    <xf numFmtId="3" fontId="14" fillId="4" borderId="21" xfId="0" applyNumberFormat="1" applyFont="1" applyFill="1" applyBorder="1"/>
    <xf numFmtId="0" fontId="13" fillId="3" borderId="14" xfId="0" applyFont="1" applyFill="1" applyBorder="1"/>
    <xf numFmtId="0" fontId="18" fillId="3" borderId="0" xfId="0" applyFont="1" applyFill="1"/>
    <xf numFmtId="0" fontId="31" fillId="3" borderId="0" xfId="0" applyFont="1" applyFill="1"/>
    <xf numFmtId="0" fontId="32" fillId="3" borderId="0" xfId="0" applyFont="1" applyFill="1"/>
    <xf numFmtId="0" fontId="18" fillId="0" borderId="0" xfId="0" applyFont="1" applyAlignment="1">
      <alignment horizontal="right"/>
    </xf>
    <xf numFmtId="164" fontId="33" fillId="0" borderId="16" xfId="0" applyNumberFormat="1" applyFont="1" applyBorder="1" applyAlignment="1">
      <alignment horizontal="right"/>
    </xf>
    <xf numFmtId="20" fontId="18" fillId="0" borderId="16" xfId="0" applyNumberFormat="1" applyFont="1" applyBorder="1" applyAlignment="1">
      <alignment horizontal="center"/>
    </xf>
    <xf numFmtId="0" fontId="5" fillId="18" borderId="0" xfId="0" applyFont="1" applyFill="1" applyAlignment="1">
      <alignment vertical="center"/>
    </xf>
    <xf numFmtId="0" fontId="0" fillId="18" borderId="0" xfId="0" applyFill="1"/>
    <xf numFmtId="0" fontId="0" fillId="3" borderId="0" xfId="0" applyFill="1"/>
    <xf numFmtId="0" fontId="23" fillId="3" borderId="8" xfId="0" applyFont="1" applyFill="1" applyBorder="1" applyAlignment="1">
      <alignment horizontal="center" vertical="center"/>
    </xf>
    <xf numFmtId="0" fontId="13" fillId="0" borderId="8" xfId="0" applyFont="1" applyBorder="1"/>
    <xf numFmtId="20" fontId="13" fillId="0" borderId="0" xfId="0" applyNumberFormat="1" applyFont="1" applyAlignment="1">
      <alignment horizontal="center"/>
    </xf>
    <xf numFmtId="0" fontId="18" fillId="0" borderId="0" xfId="0" applyFont="1" applyAlignment="1">
      <alignment horizontal="center"/>
    </xf>
    <xf numFmtId="0" fontId="19" fillId="0" borderId="0" xfId="0" applyFont="1" applyAlignment="1">
      <alignment horizontal="right" vertical="center"/>
    </xf>
    <xf numFmtId="16" fontId="20" fillId="0" borderId="7" xfId="0" applyNumberFormat="1" applyFont="1" applyBorder="1" applyAlignment="1">
      <alignment horizontal="center" vertical="center"/>
    </xf>
    <xf numFmtId="0" fontId="22" fillId="0" borderId="0" xfId="0" applyFont="1" applyAlignment="1">
      <alignment horizontal="center"/>
    </xf>
    <xf numFmtId="0" fontId="24" fillId="0" borderId="0" xfId="0" applyFont="1" applyAlignment="1">
      <alignment horizontal="center"/>
    </xf>
    <xf numFmtId="0" fontId="13" fillId="0" borderId="0" xfId="0" applyFont="1" applyAlignment="1">
      <alignment horizontal="right"/>
    </xf>
    <xf numFmtId="0" fontId="13" fillId="0" borderId="0" xfId="0" applyFont="1" applyAlignment="1">
      <alignment horizontal="center"/>
    </xf>
    <xf numFmtId="0" fontId="13" fillId="0" borderId="0" xfId="0" applyFont="1" applyAlignment="1">
      <alignment horizontal="left"/>
    </xf>
    <xf numFmtId="0" fontId="25" fillId="0" borderId="0" xfId="0" applyFont="1" applyAlignment="1">
      <alignment horizontal="left"/>
    </xf>
    <xf numFmtId="20" fontId="26" fillId="0" borderId="11" xfId="0" applyNumberFormat="1" applyFont="1" applyBorder="1" applyAlignment="1">
      <alignment horizontal="left" vertical="top"/>
    </xf>
    <xf numFmtId="22" fontId="27" fillId="0" borderId="0" xfId="0" applyNumberFormat="1" applyFont="1" applyAlignment="1">
      <alignment horizontal="center"/>
    </xf>
    <xf numFmtId="20" fontId="13" fillId="0" borderId="8" xfId="0" applyNumberFormat="1" applyFont="1" applyBorder="1" applyAlignment="1">
      <alignment horizontal="center"/>
    </xf>
    <xf numFmtId="0" fontId="13" fillId="0" borderId="13" xfId="0" applyFont="1" applyBorder="1"/>
    <xf numFmtId="0" fontId="23" fillId="0" borderId="0" xfId="0" applyFont="1" applyAlignment="1">
      <alignment horizontal="center" vertical="center"/>
    </xf>
    <xf numFmtId="0" fontId="23" fillId="0" borderId="8" xfId="0" applyFont="1" applyBorder="1" applyAlignment="1">
      <alignment horizontal="center" vertical="center"/>
    </xf>
    <xf numFmtId="0" fontId="28" fillId="0" borderId="0" xfId="0" applyFont="1" applyAlignment="1">
      <alignment horizontal="center"/>
    </xf>
    <xf numFmtId="0" fontId="23" fillId="0" borderId="7" xfId="0" applyFont="1" applyBorder="1" applyAlignment="1">
      <alignment vertical="center"/>
    </xf>
    <xf numFmtId="0" fontId="18" fillId="0" borderId="0" xfId="0" applyFont="1" applyAlignment="1">
      <alignment horizontal="left" vertical="center"/>
    </xf>
    <xf numFmtId="0" fontId="20" fillId="0" borderId="7" xfId="0" applyFont="1" applyBorder="1" applyAlignment="1">
      <alignment vertical="center"/>
    </xf>
    <xf numFmtId="0" fontId="14" fillId="6" borderId="19" xfId="0" applyFont="1" applyFill="1" applyBorder="1"/>
    <xf numFmtId="0" fontId="14" fillId="6" borderId="20" xfId="0" applyFont="1" applyFill="1" applyBorder="1"/>
    <xf numFmtId="3" fontId="14" fillId="6" borderId="21" xfId="0" applyNumberFormat="1" applyFont="1" applyFill="1" applyBorder="1"/>
    <xf numFmtId="0" fontId="13" fillId="0" borderId="14" xfId="0" applyFont="1" applyBorder="1"/>
    <xf numFmtId="0" fontId="18" fillId="0" borderId="0" xfId="0" applyFont="1"/>
    <xf numFmtId="0" fontId="31" fillId="0" borderId="0" xfId="0" applyFont="1"/>
    <xf numFmtId="0" fontId="32" fillId="0" borderId="0" xfId="0" applyFont="1"/>
    <xf numFmtId="0" fontId="8" fillId="18" borderId="0" xfId="0" applyFont="1" applyFill="1" applyAlignment="1">
      <alignment vertical="center"/>
    </xf>
    <xf numFmtId="0" fontId="13" fillId="3" borderId="18" xfId="0" applyFont="1" applyFill="1" applyBorder="1" applyAlignment="1">
      <alignment horizontal="center" vertical="center"/>
    </xf>
    <xf numFmtId="0" fontId="13" fillId="3" borderId="7" xfId="0" applyFont="1" applyFill="1" applyBorder="1" applyAlignment="1">
      <alignment vertical="center"/>
    </xf>
    <xf numFmtId="0" fontId="13" fillId="0" borderId="7" xfId="0" applyFont="1" applyBorder="1" applyAlignment="1">
      <alignment vertical="center"/>
    </xf>
    <xf numFmtId="0" fontId="39" fillId="3" borderId="0" xfId="0" applyFont="1" applyFill="1"/>
    <xf numFmtId="0" fontId="40" fillId="3" borderId="0" xfId="0" applyFont="1" applyFill="1" applyAlignment="1">
      <alignment vertical="center"/>
    </xf>
    <xf numFmtId="0" fontId="13" fillId="0" borderId="15" xfId="0" applyFont="1" applyBorder="1"/>
    <xf numFmtId="0" fontId="76" fillId="0" borderId="0" xfId="0" applyFont="1"/>
    <xf numFmtId="0" fontId="77" fillId="0" borderId="0" xfId="0" applyFont="1"/>
    <xf numFmtId="0" fontId="0" fillId="19" borderId="0" xfId="0" applyFill="1"/>
    <xf numFmtId="14" fontId="0" fillId="19" borderId="0" xfId="0" applyNumberFormat="1" applyFill="1"/>
    <xf numFmtId="166" fontId="0" fillId="19" borderId="0" xfId="0" applyNumberFormat="1" applyFill="1"/>
    <xf numFmtId="0" fontId="0" fillId="19" borderId="0" xfId="0" applyFill="1" applyAlignment="1">
      <alignment wrapText="1"/>
    </xf>
    <xf numFmtId="0" fontId="0" fillId="20" borderId="0" xfId="0" applyFill="1"/>
    <xf numFmtId="14" fontId="0" fillId="20" borderId="0" xfId="0" applyNumberFormat="1" applyFill="1"/>
    <xf numFmtId="166" fontId="0" fillId="20" borderId="0" xfId="0" applyNumberFormat="1" applyFill="1"/>
    <xf numFmtId="0" fontId="0" fillId="21" borderId="0" xfId="0" applyFill="1"/>
    <xf numFmtId="14" fontId="0" fillId="21" borderId="0" xfId="0" applyNumberFormat="1" applyFill="1"/>
    <xf numFmtId="166" fontId="0" fillId="21" borderId="0" xfId="0" applyNumberFormat="1" applyFill="1"/>
    <xf numFmtId="0" fontId="0" fillId="22" borderId="0" xfId="0" applyFill="1"/>
    <xf numFmtId="14" fontId="0" fillId="22" borderId="0" xfId="0" applyNumberFormat="1" applyFill="1"/>
    <xf numFmtId="166" fontId="0" fillId="22" borderId="0" xfId="0" applyNumberFormat="1" applyFill="1"/>
    <xf numFmtId="0" fontId="0" fillId="23" borderId="0" xfId="0" applyFill="1"/>
    <xf numFmtId="14" fontId="0" fillId="23" borderId="0" xfId="0" applyNumberFormat="1" applyFill="1"/>
    <xf numFmtId="166" fontId="0" fillId="23" borderId="0" xfId="0" applyNumberFormat="1" applyFill="1"/>
    <xf numFmtId="0" fontId="0" fillId="24" borderId="0" xfId="0" applyFill="1"/>
    <xf numFmtId="14" fontId="0" fillId="24" borderId="0" xfId="0" applyNumberFormat="1" applyFill="1"/>
    <xf numFmtId="166" fontId="0" fillId="24" borderId="0" xfId="0" applyNumberFormat="1" applyFill="1"/>
    <xf numFmtId="0" fontId="0" fillId="25" borderId="0" xfId="0" applyFill="1"/>
    <xf numFmtId="14" fontId="0" fillId="25" borderId="0" xfId="0" applyNumberFormat="1" applyFill="1"/>
    <xf numFmtId="166" fontId="0" fillId="25" borderId="0" xfId="0" applyNumberFormat="1" applyFill="1"/>
    <xf numFmtId="0" fontId="0" fillId="26" borderId="0" xfId="0" applyFill="1"/>
    <xf numFmtId="14" fontId="0" fillId="26" borderId="0" xfId="0" applyNumberFormat="1" applyFill="1"/>
    <xf numFmtId="166" fontId="0" fillId="26" borderId="0" xfId="0" applyNumberFormat="1" applyFill="1"/>
    <xf numFmtId="14" fontId="0" fillId="0" borderId="0" xfId="0" applyNumberFormat="1"/>
    <xf numFmtId="166" fontId="0" fillId="0" borderId="0" xfId="0" applyNumberFormat="1"/>
    <xf numFmtId="0" fontId="78" fillId="28" borderId="9" xfId="0" applyFont="1" applyFill="1" applyBorder="1" applyAlignment="1">
      <alignment horizontal="right" vertical="center"/>
    </xf>
    <xf numFmtId="0" fontId="78" fillId="29" borderId="9" xfId="0" applyFont="1" applyFill="1" applyBorder="1" applyAlignment="1">
      <alignment horizontal="right" vertical="center"/>
    </xf>
    <xf numFmtId="0" fontId="78" fillId="30" borderId="9" xfId="0" applyFont="1" applyFill="1" applyBorder="1" applyAlignment="1">
      <alignment horizontal="right" vertical="center"/>
    </xf>
    <xf numFmtId="0" fontId="14" fillId="31" borderId="9" xfId="0" applyFont="1" applyFill="1" applyBorder="1" applyAlignment="1">
      <alignment horizontal="right" vertical="center"/>
    </xf>
    <xf numFmtId="0" fontId="14" fillId="31" borderId="10" xfId="0" applyFont="1" applyFill="1" applyBorder="1" applyAlignment="1">
      <alignment vertical="center"/>
    </xf>
    <xf numFmtId="0" fontId="78" fillId="30" borderId="10" xfId="0" applyFont="1" applyFill="1" applyBorder="1" applyAlignment="1">
      <alignment vertical="center"/>
    </xf>
    <xf numFmtId="0" fontId="78" fillId="29" borderId="10" xfId="0" applyFont="1" applyFill="1" applyBorder="1" applyAlignment="1">
      <alignment vertical="center"/>
    </xf>
    <xf numFmtId="0" fontId="78" fillId="28" borderId="10" xfId="0" applyFont="1" applyFill="1" applyBorder="1" applyAlignment="1">
      <alignment vertical="center"/>
    </xf>
    <xf numFmtId="0" fontId="78" fillId="32" borderId="18" xfId="0" applyFont="1" applyFill="1" applyBorder="1" applyAlignment="1" applyProtection="1">
      <alignment horizontal="center" vertical="center"/>
      <protection locked="0"/>
    </xf>
    <xf numFmtId="0" fontId="79" fillId="3" borderId="9" xfId="0" applyFont="1" applyFill="1" applyBorder="1" applyAlignment="1">
      <alignment horizontal="right" vertical="center"/>
    </xf>
    <xf numFmtId="0" fontId="79" fillId="3" borderId="10" xfId="0" applyFont="1" applyFill="1" applyBorder="1" applyAlignment="1">
      <alignment vertical="center"/>
    </xf>
    <xf numFmtId="0" fontId="78" fillId="27" borderId="10" xfId="0" applyFont="1" applyFill="1" applyBorder="1" applyAlignment="1">
      <alignment vertical="center"/>
    </xf>
    <xf numFmtId="0" fontId="78" fillId="27" borderId="9" xfId="0" applyFont="1" applyFill="1" applyBorder="1" applyAlignment="1">
      <alignment horizontal="right" vertical="center"/>
    </xf>
    <xf numFmtId="0" fontId="80" fillId="33" borderId="10" xfId="0" applyFont="1" applyFill="1" applyBorder="1" applyAlignment="1">
      <alignment vertical="center"/>
    </xf>
    <xf numFmtId="0" fontId="80" fillId="33" borderId="9" xfId="0" applyFont="1" applyFill="1" applyBorder="1" applyAlignment="1">
      <alignment horizontal="right" vertical="center"/>
    </xf>
    <xf numFmtId="0" fontId="80" fillId="34" borderId="9" xfId="0" applyFont="1" applyFill="1" applyBorder="1" applyAlignment="1">
      <alignment horizontal="right" vertical="center"/>
    </xf>
    <xf numFmtId="0" fontId="80" fillId="34" borderId="10" xfId="0" applyFont="1" applyFill="1" applyBorder="1" applyAlignment="1">
      <alignment vertical="center"/>
    </xf>
    <xf numFmtId="0" fontId="78" fillId="35" borderId="9" xfId="0" applyFont="1" applyFill="1" applyBorder="1" applyAlignment="1">
      <alignment horizontal="right" vertical="center"/>
    </xf>
    <xf numFmtId="0" fontId="78" fillId="35" borderId="10" xfId="0" applyFont="1" applyFill="1" applyBorder="1" applyAlignment="1">
      <alignment vertical="center"/>
    </xf>
    <xf numFmtId="0" fontId="80" fillId="36" borderId="10" xfId="0" applyFont="1" applyFill="1" applyBorder="1" applyAlignment="1">
      <alignment vertical="center"/>
    </xf>
    <xf numFmtId="0" fontId="80" fillId="36" borderId="9" xfId="0" applyFont="1" applyFill="1" applyBorder="1" applyAlignment="1">
      <alignment horizontal="right" vertical="center"/>
    </xf>
    <xf numFmtId="0" fontId="80" fillId="0" borderId="10" xfId="0" applyFont="1" applyBorder="1" applyAlignment="1">
      <alignment vertical="center"/>
    </xf>
    <xf numFmtId="0" fontId="81" fillId="18" borderId="9" xfId="0" applyFont="1" applyFill="1" applyBorder="1" applyAlignment="1">
      <alignment horizontal="right" vertical="center"/>
    </xf>
    <xf numFmtId="0" fontId="81" fillId="18" borderId="10" xfId="0" applyFont="1" applyFill="1" applyBorder="1" applyAlignment="1">
      <alignment vertical="center"/>
    </xf>
    <xf numFmtId="0" fontId="78" fillId="38" borderId="9" xfId="0" applyFont="1" applyFill="1" applyBorder="1" applyAlignment="1">
      <alignment horizontal="right" vertical="center"/>
    </xf>
    <xf numFmtId="0" fontId="78" fillId="38" borderId="10" xfId="0" applyFont="1" applyFill="1" applyBorder="1" applyAlignment="1">
      <alignment vertical="center"/>
    </xf>
    <xf numFmtId="0" fontId="81" fillId="31" borderId="9" xfId="0" applyFont="1" applyFill="1" applyBorder="1" applyAlignment="1">
      <alignment horizontal="right" vertical="center"/>
    </xf>
    <xf numFmtId="0" fontId="81" fillId="31" borderId="10" xfId="0" applyFont="1" applyFill="1" applyBorder="1" applyAlignment="1">
      <alignment vertical="center"/>
    </xf>
    <xf numFmtId="0" fontId="78" fillId="39" borderId="9" xfId="0" applyFont="1" applyFill="1" applyBorder="1" applyAlignment="1">
      <alignment horizontal="right" vertical="center"/>
    </xf>
    <xf numFmtId="0" fontId="78" fillId="39" borderId="10" xfId="0" applyFont="1" applyFill="1" applyBorder="1" applyAlignment="1">
      <alignment vertical="center"/>
    </xf>
    <xf numFmtId="0" fontId="80" fillId="18" borderId="9" xfId="0" applyFont="1" applyFill="1" applyBorder="1" applyAlignment="1">
      <alignment horizontal="right" vertical="center"/>
    </xf>
    <xf numFmtId="0" fontId="80" fillId="0" borderId="9" xfId="0" applyFont="1" applyBorder="1" applyAlignment="1">
      <alignment horizontal="right" vertical="center"/>
    </xf>
    <xf numFmtId="0" fontId="82" fillId="39" borderId="9" xfId="0" applyFont="1" applyFill="1" applyBorder="1" applyAlignment="1">
      <alignment horizontal="right" vertical="center"/>
    </xf>
    <xf numFmtId="0" fontId="82" fillId="39" borderId="10" xfId="0" applyFont="1" applyFill="1" applyBorder="1" applyAlignment="1">
      <alignment vertical="center"/>
    </xf>
    <xf numFmtId="0" fontId="80" fillId="37" borderId="10" xfId="0" applyFont="1" applyFill="1" applyBorder="1" applyAlignment="1">
      <alignment vertical="center"/>
    </xf>
    <xf numFmtId="0" fontId="80" fillId="37" borderId="9" xfId="0" applyFont="1" applyFill="1" applyBorder="1" applyAlignment="1">
      <alignment horizontal="right" vertical="center"/>
    </xf>
    <xf numFmtId="0" fontId="80" fillId="18" borderId="10" xfId="0" applyFont="1" applyFill="1" applyBorder="1" applyAlignment="1">
      <alignment vertical="center"/>
    </xf>
    <xf numFmtId="0" fontId="83" fillId="32" borderId="10" xfId="0" applyFont="1" applyFill="1" applyBorder="1" applyAlignment="1">
      <alignment vertical="center"/>
    </xf>
    <xf numFmtId="0" fontId="83" fillId="32" borderId="9" xfId="0" applyFont="1" applyFill="1" applyBorder="1" applyAlignment="1">
      <alignment horizontal="right" vertical="center"/>
    </xf>
    <xf numFmtId="0" fontId="82" fillId="27" borderId="9" xfId="0" applyFont="1" applyFill="1" applyBorder="1" applyAlignment="1">
      <alignment horizontal="right" vertical="center"/>
    </xf>
    <xf numFmtId="0" fontId="82" fillId="27" borderId="10" xfId="0" applyFont="1" applyFill="1" applyBorder="1" applyAlignment="1">
      <alignment vertical="center"/>
    </xf>
    <xf numFmtId="0" fontId="80" fillId="40" borderId="10" xfId="0" applyFont="1" applyFill="1" applyBorder="1" applyAlignment="1">
      <alignment vertical="center"/>
    </xf>
    <xf numFmtId="0" fontId="80" fillId="40" borderId="9" xfId="0" applyFont="1" applyFill="1" applyBorder="1" applyAlignment="1">
      <alignment horizontal="right" vertical="center"/>
    </xf>
    <xf numFmtId="0" fontId="84" fillId="31" borderId="9" xfId="0" applyFont="1" applyFill="1" applyBorder="1" applyAlignment="1">
      <alignment horizontal="right" vertical="center"/>
    </xf>
    <xf numFmtId="0" fontId="84" fillId="31" borderId="10" xfId="0" applyFont="1" applyFill="1" applyBorder="1" applyAlignment="1">
      <alignment vertical="center"/>
    </xf>
    <xf numFmtId="0" fontId="82" fillId="36" borderId="10" xfId="0" applyFont="1" applyFill="1" applyBorder="1" applyAlignment="1">
      <alignment vertical="center"/>
    </xf>
    <xf numFmtId="0" fontId="82" fillId="36" borderId="9" xfId="0" applyFont="1" applyFill="1" applyBorder="1" applyAlignment="1">
      <alignment horizontal="right" vertical="center"/>
    </xf>
    <xf numFmtId="0" fontId="80" fillId="38" borderId="10" xfId="0" applyFont="1" applyFill="1" applyBorder="1" applyAlignment="1">
      <alignment vertical="center"/>
    </xf>
    <xf numFmtId="0" fontId="80" fillId="38" borderId="9" xfId="0" applyFont="1" applyFill="1" applyBorder="1" applyAlignment="1">
      <alignment horizontal="right" vertical="center"/>
    </xf>
    <xf numFmtId="0" fontId="78" fillId="41" borderId="9" xfId="0" applyFont="1" applyFill="1" applyBorder="1" applyAlignment="1">
      <alignment horizontal="right" vertical="center"/>
    </xf>
    <xf numFmtId="0" fontId="78" fillId="41" borderId="10" xfId="0" applyFont="1" applyFill="1" applyBorder="1" applyAlignment="1">
      <alignment vertical="center"/>
    </xf>
    <xf numFmtId="0" fontId="84" fillId="27" borderId="9" xfId="0" applyFont="1" applyFill="1" applyBorder="1" applyAlignment="1">
      <alignment horizontal="right" vertical="center"/>
    </xf>
    <xf numFmtId="0" fontId="84" fillId="27" borderId="10" xfId="0" applyFont="1" applyFill="1" applyBorder="1" applyAlignment="1">
      <alignment vertical="center"/>
    </xf>
    <xf numFmtId="0" fontId="82" fillId="34" borderId="10" xfId="0" applyFont="1" applyFill="1" applyBorder="1" applyAlignment="1">
      <alignment vertical="center"/>
    </xf>
    <xf numFmtId="0" fontId="82" fillId="34" borderId="9" xfId="0" applyFont="1" applyFill="1" applyBorder="1" applyAlignment="1">
      <alignment horizontal="right" vertical="center"/>
    </xf>
    <xf numFmtId="20" fontId="20" fillId="3" borderId="7" xfId="0" applyNumberFormat="1" applyFont="1" applyFill="1" applyBorder="1" applyAlignment="1">
      <alignment horizontal="center" vertical="center"/>
    </xf>
    <xf numFmtId="16" fontId="20" fillId="3" borderId="7" xfId="0" applyNumberFormat="1" applyFont="1" applyFill="1" applyBorder="1" applyAlignment="1">
      <alignment horizontal="center" vertical="center"/>
    </xf>
    <xf numFmtId="0" fontId="14" fillId="3" borderId="0" xfId="1" applyFont="1" applyFill="1" applyAlignment="1" applyProtection="1">
      <alignment horizontal="center"/>
    </xf>
    <xf numFmtId="0" fontId="23" fillId="3" borderId="7" xfId="0" applyFont="1" applyFill="1" applyBorder="1" applyAlignment="1">
      <alignment horizontal="center" vertical="center"/>
    </xf>
    <xf numFmtId="16" fontId="34" fillId="3" borderId="7" xfId="0" applyNumberFormat="1" applyFont="1" applyFill="1" applyBorder="1" applyAlignment="1">
      <alignment horizontal="center" vertical="center"/>
    </xf>
    <xf numFmtId="0" fontId="72" fillId="18" borderId="0" xfId="0" applyFont="1" applyFill="1" applyAlignment="1">
      <alignment horizontal="center" vertical="center"/>
    </xf>
    <xf numFmtId="0" fontId="18" fillId="3" borderId="13" xfId="0" applyFont="1" applyFill="1" applyBorder="1" applyAlignment="1">
      <alignment horizontal="center"/>
    </xf>
    <xf numFmtId="20" fontId="21" fillId="3" borderId="7" xfId="0" applyNumberFormat="1" applyFont="1" applyFill="1" applyBorder="1" applyAlignment="1">
      <alignment horizontal="center" vertical="center"/>
    </xf>
    <xf numFmtId="0" fontId="14" fillId="5" borderId="15" xfId="0" applyFont="1" applyFill="1" applyBorder="1" applyAlignment="1">
      <alignment horizontal="center"/>
    </xf>
    <xf numFmtId="0" fontId="15"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xf>
    <xf numFmtId="0" fontId="8" fillId="18" borderId="0" xfId="0" applyFont="1" applyFill="1" applyAlignment="1">
      <alignment horizontal="center" vertical="center"/>
    </xf>
    <xf numFmtId="0" fontId="35" fillId="3" borderId="0" xfId="0" applyFont="1" applyFill="1" applyAlignment="1">
      <alignment horizontal="center"/>
    </xf>
    <xf numFmtId="0" fontId="37" fillId="3" borderId="0" xfId="0" applyFont="1" applyFill="1" applyAlignment="1">
      <alignment horizontal="center"/>
    </xf>
    <xf numFmtId="0" fontId="14" fillId="0" borderId="0" xfId="1" applyFont="1" applyFill="1" applyAlignment="1" applyProtection="1">
      <alignment horizontal="center"/>
    </xf>
    <xf numFmtId="0" fontId="14" fillId="0" borderId="15" xfId="0" applyFont="1" applyBorder="1" applyAlignment="1">
      <alignment horizontal="center"/>
    </xf>
    <xf numFmtId="16" fontId="20" fillId="0" borderId="7" xfId="0" applyNumberFormat="1" applyFont="1" applyBorder="1" applyAlignment="1">
      <alignment horizontal="center" vertical="center"/>
    </xf>
    <xf numFmtId="20" fontId="20" fillId="0" borderId="7" xfId="0" applyNumberFormat="1" applyFont="1" applyBorder="1" applyAlignment="1">
      <alignment horizontal="center" vertical="center"/>
    </xf>
    <xf numFmtId="0" fontId="18" fillId="0" borderId="13" xfId="0" applyFont="1" applyBorder="1" applyAlignment="1">
      <alignment horizontal="center"/>
    </xf>
    <xf numFmtId="20" fontId="21" fillId="0" borderId="7" xfId="0" applyNumberFormat="1" applyFont="1" applyBorder="1" applyAlignment="1">
      <alignment horizontal="center" vertical="center"/>
    </xf>
    <xf numFmtId="0" fontId="23" fillId="0" borderId="7" xfId="0" applyFont="1" applyBorder="1" applyAlignment="1">
      <alignment horizontal="center" vertical="center"/>
    </xf>
    <xf numFmtId="0" fontId="18" fillId="0" borderId="0" xfId="0" applyFont="1" applyAlignment="1">
      <alignment horizontal="center"/>
    </xf>
    <xf numFmtId="0" fontId="35" fillId="0" borderId="0" xfId="0" applyFont="1" applyAlignment="1">
      <alignment horizontal="center"/>
    </xf>
    <xf numFmtId="0" fontId="37" fillId="0" borderId="0" xfId="0" applyFont="1" applyAlignment="1">
      <alignment horizontal="center"/>
    </xf>
    <xf numFmtId="0" fontId="23" fillId="18" borderId="7" xfId="0" applyFont="1" applyFill="1" applyBorder="1" applyAlignment="1">
      <alignment horizontal="center" vertical="center"/>
    </xf>
    <xf numFmtId="0" fontId="41" fillId="5" borderId="15" xfId="0" applyFont="1" applyFill="1" applyBorder="1" applyAlignment="1">
      <alignment horizontal="center"/>
    </xf>
    <xf numFmtId="0" fontId="42" fillId="5" borderId="15" xfId="0" applyFont="1" applyFill="1" applyBorder="1" applyAlignment="1">
      <alignment horizontal="left"/>
    </xf>
    <xf numFmtId="0" fontId="47" fillId="5" borderId="7" xfId="0" applyFont="1" applyFill="1" applyBorder="1" applyAlignment="1">
      <alignment horizontal="center"/>
    </xf>
    <xf numFmtId="0" fontId="48" fillId="0" borderId="15" xfId="0" applyFont="1" applyBorder="1" applyAlignment="1">
      <alignment horizontal="center"/>
    </xf>
    <xf numFmtId="0" fontId="21" fillId="0" borderId="15" xfId="0" applyFont="1" applyBorder="1" applyAlignment="1">
      <alignment horizontal="left"/>
    </xf>
    <xf numFmtId="0" fontId="14" fillId="6" borderId="19" xfId="0" applyFont="1" applyFill="1" applyBorder="1" applyAlignment="1" applyProtection="1">
      <alignment horizontal="center" vertical="center"/>
      <protection locked="0"/>
    </xf>
    <xf numFmtId="0" fontId="14" fillId="6" borderId="20" xfId="0" applyFont="1" applyFill="1" applyBorder="1" applyAlignment="1" applyProtection="1">
      <alignment horizontal="center" vertical="center"/>
      <protection locked="0"/>
    </xf>
    <xf numFmtId="0" fontId="14" fillId="6" borderId="21" xfId="0" applyFont="1" applyFill="1" applyBorder="1" applyAlignment="1" applyProtection="1">
      <alignment horizontal="center" vertical="center"/>
      <protection locked="0"/>
    </xf>
    <xf numFmtId="0" fontId="61" fillId="0" borderId="0" xfId="0" applyFont="1" applyAlignment="1">
      <alignment horizontal="center" vertical="center"/>
    </xf>
    <xf numFmtId="0" fontId="48" fillId="0" borderId="15" xfId="0" applyFont="1" applyBorder="1" applyAlignment="1">
      <alignment horizontal="center" vertical="center"/>
    </xf>
    <xf numFmtId="0" fontId="21" fillId="0" borderId="15" xfId="0" applyFont="1" applyBorder="1" applyAlignment="1">
      <alignment horizontal="left"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27" fillId="0" borderId="15" xfId="0" applyFont="1" applyBorder="1" applyAlignment="1">
      <alignment horizontal="center"/>
    </xf>
    <xf numFmtId="0" fontId="29" fillId="0" borderId="15" xfId="0" applyFont="1" applyBorder="1" applyAlignment="1">
      <alignment horizontal="left"/>
    </xf>
    <xf numFmtId="0" fontId="63" fillId="5" borderId="7" xfId="0" applyFont="1" applyFill="1" applyBorder="1" applyAlignment="1">
      <alignment horizontal="center"/>
    </xf>
    <xf numFmtId="0" fontId="10" fillId="14" borderId="27" xfId="0" applyFont="1" applyFill="1" applyBorder="1" applyAlignment="1">
      <alignment horizontal="left" vertical="center"/>
    </xf>
    <xf numFmtId="0" fontId="10" fillId="14" borderId="28" xfId="0" applyFont="1" applyFill="1" applyBorder="1" applyAlignment="1">
      <alignment horizontal="left" vertical="center"/>
    </xf>
    <xf numFmtId="0" fontId="10" fillId="15" borderId="27" xfId="0" applyFont="1" applyFill="1" applyBorder="1" applyAlignment="1">
      <alignment horizontal="center" vertical="center"/>
    </xf>
    <xf numFmtId="0" fontId="10" fillId="15" borderId="28" xfId="0" applyFont="1" applyFill="1" applyBorder="1" applyAlignment="1">
      <alignment horizontal="center" vertical="center"/>
    </xf>
    <xf numFmtId="0" fontId="10" fillId="14" borderId="27" xfId="0" applyFont="1" applyFill="1" applyBorder="1" applyAlignment="1">
      <alignment horizontal="right" vertical="center"/>
    </xf>
    <xf numFmtId="0" fontId="10" fillId="14" borderId="28" xfId="0" applyFont="1" applyFill="1" applyBorder="1" applyAlignment="1">
      <alignment horizontal="right" vertical="center"/>
    </xf>
    <xf numFmtId="0" fontId="10" fillId="0" borderId="0" xfId="0" applyFont="1" applyAlignment="1">
      <alignment horizontal="center" vertical="center"/>
    </xf>
    <xf numFmtId="0" fontId="3" fillId="0" borderId="0" xfId="1" applyFont="1" applyAlignment="1" applyProtection="1">
      <alignment horizontal="center" vertical="center"/>
    </xf>
    <xf numFmtId="0" fontId="10" fillId="15" borderId="29" xfId="0" applyFont="1" applyFill="1" applyBorder="1" applyAlignment="1">
      <alignment horizontal="center" vertical="center"/>
    </xf>
    <xf numFmtId="0" fontId="10" fillId="15" borderId="30" xfId="0" applyFont="1" applyFill="1" applyBorder="1" applyAlignment="1">
      <alignment horizontal="center" vertical="center"/>
    </xf>
    <xf numFmtId="0" fontId="10" fillId="14" borderId="29" xfId="0" applyFont="1" applyFill="1" applyBorder="1" applyAlignment="1">
      <alignment horizontal="right" vertical="center"/>
    </xf>
    <xf numFmtId="0" fontId="10" fillId="14" borderId="30" xfId="0" applyFont="1" applyFill="1" applyBorder="1" applyAlignment="1">
      <alignment horizontal="right" vertical="center"/>
    </xf>
    <xf numFmtId="0" fontId="71" fillId="14" borderId="29" xfId="0" applyFont="1" applyFill="1" applyBorder="1" applyAlignment="1">
      <alignment horizontal="center" vertical="center"/>
    </xf>
    <xf numFmtId="0" fontId="71" fillId="14" borderId="30" xfId="0" applyFont="1" applyFill="1" applyBorder="1" applyAlignment="1">
      <alignment horizontal="center" vertical="center"/>
    </xf>
    <xf numFmtId="0" fontId="4" fillId="0" borderId="31" xfId="0" applyFont="1" applyBorder="1" applyAlignment="1">
      <alignment horizontal="left" vertical="center"/>
    </xf>
    <xf numFmtId="0" fontId="4" fillId="0" borderId="32" xfId="0" applyFont="1" applyBorder="1" applyAlignment="1">
      <alignment horizontal="left" vertical="center"/>
    </xf>
    <xf numFmtId="0" fontId="4" fillId="0" borderId="33" xfId="0" applyFont="1" applyBorder="1" applyAlignment="1">
      <alignment horizontal="left" vertical="center"/>
    </xf>
    <xf numFmtId="0" fontId="11" fillId="0" borderId="0" xfId="0" applyFont="1" applyAlignment="1">
      <alignment horizontal="center" vertical="center"/>
    </xf>
    <xf numFmtId="0" fontId="4" fillId="0" borderId="34" xfId="0" applyFont="1" applyBorder="1" applyAlignment="1">
      <alignment horizontal="left" vertical="center"/>
    </xf>
    <xf numFmtId="0" fontId="4" fillId="0" borderId="35" xfId="0" applyFont="1" applyBorder="1" applyAlignment="1">
      <alignment horizontal="left" vertical="center"/>
    </xf>
    <xf numFmtId="0" fontId="4" fillId="0" borderId="36" xfId="0" applyFont="1" applyBorder="1" applyAlignment="1">
      <alignment horizontal="left" vertical="center"/>
    </xf>
    <xf numFmtId="0" fontId="4" fillId="0" borderId="37" xfId="0" applyFont="1" applyBorder="1" applyAlignment="1">
      <alignment horizontal="left" vertical="center"/>
    </xf>
    <xf numFmtId="0" fontId="4" fillId="0" borderId="38" xfId="0" applyFont="1" applyBorder="1" applyAlignment="1">
      <alignment horizontal="left" vertical="center"/>
    </xf>
    <xf numFmtId="0" fontId="4" fillId="0" borderId="39" xfId="0" applyFont="1" applyBorder="1" applyAlignment="1">
      <alignment horizontal="left" vertical="center"/>
    </xf>
    <xf numFmtId="0" fontId="75" fillId="14" borderId="19" xfId="0" applyFont="1" applyFill="1" applyBorder="1" applyAlignment="1">
      <alignment horizontal="center" vertical="center"/>
    </xf>
    <xf numFmtId="0" fontId="75" fillId="14" borderId="20" xfId="0" applyFont="1" applyFill="1" applyBorder="1" applyAlignment="1">
      <alignment horizontal="center" vertical="center"/>
    </xf>
    <xf numFmtId="0" fontId="75" fillId="14" borderId="21" xfId="0" applyFont="1" applyFill="1" applyBorder="1" applyAlignment="1">
      <alignment horizontal="center" vertical="center"/>
    </xf>
    <xf numFmtId="0" fontId="2" fillId="0" borderId="0" xfId="0" applyFont="1" applyAlignment="1">
      <alignment horizontal="center" vertical="center"/>
    </xf>
    <xf numFmtId="0" fontId="7" fillId="7" borderId="31" xfId="0" applyFont="1" applyFill="1" applyBorder="1" applyAlignment="1">
      <alignment horizontal="left" vertical="center"/>
    </xf>
    <xf numFmtId="0" fontId="7" fillId="7" borderId="32" xfId="0" applyFont="1" applyFill="1" applyBorder="1" applyAlignment="1">
      <alignment horizontal="left" vertical="center"/>
    </xf>
    <xf numFmtId="0" fontId="7" fillId="7" borderId="33" xfId="0" applyFont="1" applyFill="1" applyBorder="1" applyAlignment="1">
      <alignment horizontal="left" vertical="center"/>
    </xf>
    <xf numFmtId="0" fontId="7" fillId="8" borderId="31" xfId="0" applyFont="1" applyFill="1" applyBorder="1" applyAlignment="1">
      <alignment horizontal="left" vertical="center"/>
    </xf>
    <xf numFmtId="0" fontId="7" fillId="8" borderId="32" xfId="0" applyFont="1" applyFill="1" applyBorder="1" applyAlignment="1">
      <alignment horizontal="left" vertical="center"/>
    </xf>
    <xf numFmtId="0" fontId="7" fillId="8" borderId="33" xfId="0" applyFont="1" applyFill="1" applyBorder="1" applyAlignment="1">
      <alignment horizontal="left" vertical="center"/>
    </xf>
    <xf numFmtId="0" fontId="7" fillId="16" borderId="31" xfId="0" applyFont="1" applyFill="1" applyBorder="1" applyAlignment="1">
      <alignment horizontal="left" vertical="center"/>
    </xf>
    <xf numFmtId="0" fontId="7" fillId="16" borderId="32" xfId="0" applyFont="1" applyFill="1" applyBorder="1" applyAlignment="1">
      <alignment horizontal="left" vertical="center"/>
    </xf>
    <xf numFmtId="0" fontId="7" fillId="16" borderId="33" xfId="0" applyFont="1" applyFill="1" applyBorder="1" applyAlignment="1">
      <alignment horizontal="left" vertical="center"/>
    </xf>
    <xf numFmtId="0" fontId="7" fillId="17" borderId="31" xfId="0" applyFont="1" applyFill="1" applyBorder="1" applyAlignment="1">
      <alignment horizontal="left" vertical="center"/>
    </xf>
    <xf numFmtId="0" fontId="7" fillId="17" borderId="32" xfId="0" applyFont="1" applyFill="1" applyBorder="1" applyAlignment="1">
      <alignment horizontal="left" vertical="center"/>
    </xf>
    <xf numFmtId="0" fontId="7" fillId="17" borderId="33" xfId="0" applyFont="1" applyFill="1" applyBorder="1" applyAlignment="1">
      <alignment horizontal="left" vertical="center"/>
    </xf>
    <xf numFmtId="0" fontId="7" fillId="11" borderId="31" xfId="0" applyFont="1" applyFill="1" applyBorder="1" applyAlignment="1">
      <alignment horizontal="left" vertical="center"/>
    </xf>
    <xf numFmtId="0" fontId="7" fillId="11" borderId="32" xfId="0" applyFont="1" applyFill="1" applyBorder="1" applyAlignment="1">
      <alignment horizontal="left" vertical="center"/>
    </xf>
    <xf numFmtId="0" fontId="7" fillId="11" borderId="33" xfId="0" applyFont="1" applyFill="1" applyBorder="1" applyAlignment="1">
      <alignment horizontal="left" vertical="center"/>
    </xf>
    <xf numFmtId="0" fontId="7" fillId="12" borderId="31" xfId="0" applyFont="1" applyFill="1" applyBorder="1" applyAlignment="1">
      <alignment horizontal="left" vertical="center"/>
    </xf>
    <xf numFmtId="0" fontId="7" fillId="12" borderId="32" xfId="0" applyFont="1" applyFill="1" applyBorder="1" applyAlignment="1">
      <alignment horizontal="left" vertical="center"/>
    </xf>
    <xf numFmtId="0" fontId="7" fillId="12" borderId="33" xfId="0" applyFont="1" applyFill="1" applyBorder="1" applyAlignment="1">
      <alignment horizontal="left" vertical="center"/>
    </xf>
    <xf numFmtId="0" fontId="7" fillId="2" borderId="31" xfId="0" applyFont="1" applyFill="1" applyBorder="1" applyAlignment="1">
      <alignment horizontal="left" vertical="center"/>
    </xf>
    <xf numFmtId="0" fontId="7" fillId="2" borderId="32" xfId="0" applyFont="1" applyFill="1" applyBorder="1" applyAlignment="1">
      <alignment horizontal="left" vertical="center"/>
    </xf>
    <xf numFmtId="0" fontId="7" fillId="2" borderId="33" xfId="0" applyFont="1" applyFill="1" applyBorder="1" applyAlignment="1">
      <alignment horizontal="left" vertical="center"/>
    </xf>
    <xf numFmtId="0" fontId="7" fillId="13" borderId="31" xfId="0" applyFont="1" applyFill="1" applyBorder="1" applyAlignment="1">
      <alignment horizontal="left" vertical="center"/>
    </xf>
    <xf numFmtId="0" fontId="7" fillId="13" borderId="32" xfId="0" applyFont="1" applyFill="1" applyBorder="1" applyAlignment="1">
      <alignment horizontal="left" vertical="center"/>
    </xf>
    <xf numFmtId="0" fontId="7" fillId="13" borderId="33" xfId="0" applyFont="1" applyFill="1" applyBorder="1" applyAlignment="1">
      <alignment horizontal="left" vertical="center"/>
    </xf>
    <xf numFmtId="0" fontId="0" fillId="0" borderId="0" xfId="0" applyAlignment="1">
      <alignment horizontal="center"/>
    </xf>
    <xf numFmtId="0" fontId="2" fillId="0" borderId="29" xfId="0" applyFont="1" applyBorder="1" applyAlignment="1">
      <alignment horizontal="right" vertical="center"/>
    </xf>
    <xf numFmtId="0" fontId="2" fillId="0" borderId="30" xfId="0" applyFont="1" applyBorder="1" applyAlignment="1">
      <alignment horizontal="right"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27" xfId="0" applyFont="1" applyBorder="1" applyAlignment="1">
      <alignment horizontal="left" vertical="center"/>
    </xf>
    <xf numFmtId="0" fontId="2" fillId="0" borderId="28" xfId="0" applyFont="1" applyBorder="1" applyAlignment="1">
      <alignment horizontal="left"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7" xfId="0" applyFont="1" applyBorder="1" applyAlignment="1">
      <alignment horizontal="right" vertical="center"/>
    </xf>
    <xf numFmtId="0" fontId="2" fillId="0" borderId="28" xfId="0" applyFont="1" applyBorder="1" applyAlignment="1">
      <alignment horizontal="right" vertical="center"/>
    </xf>
    <xf numFmtId="0" fontId="0" fillId="0" borderId="27" xfId="0" applyBorder="1" applyAlignment="1">
      <alignment horizontal="center" vertical="center"/>
    </xf>
    <xf numFmtId="0" fontId="0" fillId="0" borderId="28" xfId="0" applyBorder="1" applyAlignment="1">
      <alignment horizontal="center" vertical="center"/>
    </xf>
    <xf numFmtId="0" fontId="2" fillId="0" borderId="6" xfId="0" applyFont="1" applyBorder="1" applyAlignment="1">
      <alignment horizontal="center" vertical="center"/>
    </xf>
  </cellXfs>
  <cellStyles count="2">
    <cellStyle name="Hyperlink" xfId="1" builtinId="8"/>
    <cellStyle name="Normal" xfId="0" builtinId="0"/>
  </cellStyles>
  <dxfs count="172">
    <dxf>
      <font>
        <b/>
        <i val="0"/>
        <condense val="0"/>
        <extend val="0"/>
      </font>
      <fill>
        <patternFill>
          <bgColor indexed="47"/>
        </patternFill>
      </fill>
      <border>
        <left style="thin">
          <color indexed="64"/>
        </left>
        <right style="thin">
          <color indexed="64"/>
        </right>
        <top style="thin">
          <color indexed="64"/>
        </top>
        <bottom style="thin">
          <color indexed="64"/>
        </bottom>
      </border>
    </dxf>
    <dxf>
      <font>
        <b/>
        <i val="0"/>
        <condense val="0"/>
        <extend val="0"/>
      </font>
      <fill>
        <patternFill>
          <bgColor indexed="47"/>
        </patternFill>
      </fill>
      <border>
        <left style="thin">
          <color indexed="64"/>
        </left>
        <right style="thin">
          <color indexed="64"/>
        </right>
        <top style="thin">
          <color indexed="64"/>
        </top>
        <bottom style="thin">
          <color indexed="64"/>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52"/>
        </patternFill>
      </fill>
    </dxf>
    <dxf>
      <fill>
        <patternFill>
          <bgColor indexed="47"/>
        </patternFill>
      </fill>
      <border>
        <left style="thin">
          <color indexed="60"/>
        </left>
        <right style="thin">
          <color indexed="60"/>
        </right>
        <top style="thin">
          <color indexed="60"/>
        </top>
        <bottom style="thin">
          <color indexed="60"/>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E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7.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0.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1.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2.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5</xdr:col>
      <xdr:colOff>77932</xdr:colOff>
      <xdr:row>2</xdr:row>
      <xdr:rowOff>63436</xdr:rowOff>
    </xdr:to>
    <xdr:pic>
      <xdr:nvPicPr>
        <xdr:cNvPr id="29" name="Picture 28">
          <a:extLst>
            <a:ext uri="{FF2B5EF4-FFF2-40B4-BE49-F238E27FC236}">
              <a16:creationId xmlns:a16="http://schemas.microsoft.com/office/drawing/2014/main" id="{B8CCE258-BDEC-39F1-3329-43B4C65FC3CB}"/>
            </a:ext>
          </a:extLst>
        </xdr:cNvPr>
        <xdr:cNvPicPr>
          <a:picLocks noChangeAspect="1"/>
        </xdr:cNvPicPr>
      </xdr:nvPicPr>
      <xdr:blipFill>
        <a:blip xmlns:r="http://schemas.openxmlformats.org/officeDocument/2006/relationships" r:embed="rId1"/>
        <a:stretch>
          <a:fillRect/>
        </a:stretch>
      </xdr:blipFill>
      <xdr:spPr>
        <a:xfrm>
          <a:off x="0" y="1"/>
          <a:ext cx="1879023" cy="946662"/>
        </a:xfrm>
        <a:prstGeom prst="rect">
          <a:avLst/>
        </a:prstGeom>
      </xdr:spPr>
    </xdr:pic>
    <xdr:clientData/>
  </xdr:twoCellAnchor>
  <xdr:twoCellAnchor editAs="oneCell">
    <xdr:from>
      <xdr:col>1</xdr:col>
      <xdr:colOff>35278</xdr:colOff>
      <xdr:row>13</xdr:row>
      <xdr:rowOff>77611</xdr:rowOff>
    </xdr:from>
    <xdr:to>
      <xdr:col>4</xdr:col>
      <xdr:colOff>15020</xdr:colOff>
      <xdr:row>19</xdr:row>
      <xdr:rowOff>42333</xdr:rowOff>
    </xdr:to>
    <xdr:pic>
      <xdr:nvPicPr>
        <xdr:cNvPr id="3" name="Picture 2">
          <a:extLst>
            <a:ext uri="{FF2B5EF4-FFF2-40B4-BE49-F238E27FC236}">
              <a16:creationId xmlns:a16="http://schemas.microsoft.com/office/drawing/2014/main" id="{A0E4C70D-AF03-4133-7EF5-B168725F9BD4}"/>
            </a:ext>
          </a:extLst>
        </xdr:cNvPr>
        <xdr:cNvPicPr>
          <a:picLocks noChangeAspect="1"/>
        </xdr:cNvPicPr>
      </xdr:nvPicPr>
      <xdr:blipFill>
        <a:blip xmlns:r="http://schemas.openxmlformats.org/officeDocument/2006/relationships" r:embed="rId2"/>
        <a:stretch>
          <a:fillRect/>
        </a:stretch>
      </xdr:blipFill>
      <xdr:spPr>
        <a:xfrm>
          <a:off x="225778" y="2970389"/>
          <a:ext cx="1440242" cy="945444"/>
        </a:xfrm>
        <a:prstGeom prst="rect">
          <a:avLst/>
        </a:prstGeom>
      </xdr:spPr>
    </xdr:pic>
    <xdr:clientData/>
  </xdr:twoCellAnchor>
  <xdr:twoCellAnchor editAs="oneCell">
    <xdr:from>
      <xdr:col>18</xdr:col>
      <xdr:colOff>7057</xdr:colOff>
      <xdr:row>1</xdr:row>
      <xdr:rowOff>418358</xdr:rowOff>
    </xdr:from>
    <xdr:to>
      <xdr:col>24</xdr:col>
      <xdr:colOff>176390</xdr:colOff>
      <xdr:row>13</xdr:row>
      <xdr:rowOff>91872</xdr:rowOff>
    </xdr:to>
    <xdr:pic>
      <xdr:nvPicPr>
        <xdr:cNvPr id="7" name="Picture 6">
          <a:extLst>
            <a:ext uri="{FF2B5EF4-FFF2-40B4-BE49-F238E27FC236}">
              <a16:creationId xmlns:a16="http://schemas.microsoft.com/office/drawing/2014/main" id="{236636AD-BE32-A623-5DF4-F160568D4178}"/>
            </a:ext>
          </a:extLst>
        </xdr:cNvPr>
        <xdr:cNvPicPr>
          <a:picLocks noChangeAspect="1"/>
        </xdr:cNvPicPr>
      </xdr:nvPicPr>
      <xdr:blipFill>
        <a:blip xmlns:r="http://schemas.openxmlformats.org/officeDocument/2006/relationships" r:embed="rId3"/>
        <a:stretch>
          <a:fillRect/>
        </a:stretch>
      </xdr:blipFill>
      <xdr:spPr>
        <a:xfrm>
          <a:off x="7612946" y="862858"/>
          <a:ext cx="1905000" cy="21217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2" name="Picture 1">
          <a:extLst>
            <a:ext uri="{FF2B5EF4-FFF2-40B4-BE49-F238E27FC236}">
              <a16:creationId xmlns:a16="http://schemas.microsoft.com/office/drawing/2014/main" id="{751CB715-EBD0-886F-763D-DC6319FC3E5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xdr:col>
      <xdr:colOff>0</xdr:colOff>
      <xdr:row>14</xdr:row>
      <xdr:rowOff>0</xdr:rowOff>
    </xdr:from>
    <xdr:to>
      <xdr:col>4</xdr:col>
      <xdr:colOff>98225</xdr:colOff>
      <xdr:row>19</xdr:row>
      <xdr:rowOff>133573</xdr:rowOff>
    </xdr:to>
    <xdr:pic>
      <xdr:nvPicPr>
        <xdr:cNvPr id="4" name="Picture 3">
          <a:extLst>
            <a:ext uri="{FF2B5EF4-FFF2-40B4-BE49-F238E27FC236}">
              <a16:creationId xmlns:a16="http://schemas.microsoft.com/office/drawing/2014/main" id="{5D6528C8-2107-9FAA-E014-E8AEBEBA3377}"/>
            </a:ext>
          </a:extLst>
        </xdr:cNvPr>
        <xdr:cNvPicPr>
          <a:picLocks noChangeAspect="1"/>
        </xdr:cNvPicPr>
      </xdr:nvPicPr>
      <xdr:blipFill>
        <a:blip xmlns:r="http://schemas.openxmlformats.org/officeDocument/2006/relationships" r:embed="rId2"/>
        <a:stretch>
          <a:fillRect/>
        </a:stretch>
      </xdr:blipFill>
      <xdr:spPr>
        <a:xfrm>
          <a:off x="190500" y="3062111"/>
          <a:ext cx="1438781" cy="944962"/>
        </a:xfrm>
        <a:prstGeom prst="rect">
          <a:avLst/>
        </a:prstGeom>
      </xdr:spPr>
    </xdr:pic>
    <xdr:clientData/>
  </xdr:twoCellAnchor>
  <xdr:twoCellAnchor editAs="oneCell">
    <xdr:from>
      <xdr:col>17</xdr:col>
      <xdr:colOff>331610</xdr:colOff>
      <xdr:row>1</xdr:row>
      <xdr:rowOff>98777</xdr:rowOff>
    </xdr:from>
    <xdr:to>
      <xdr:col>23</xdr:col>
      <xdr:colOff>265589</xdr:colOff>
      <xdr:row>13</xdr:row>
      <xdr:rowOff>55888</xdr:rowOff>
    </xdr:to>
    <xdr:pic>
      <xdr:nvPicPr>
        <xdr:cNvPr id="9" name="Picture 8">
          <a:extLst>
            <a:ext uri="{FF2B5EF4-FFF2-40B4-BE49-F238E27FC236}">
              <a16:creationId xmlns:a16="http://schemas.microsoft.com/office/drawing/2014/main" id="{87181CBB-B1CB-5E40-E66D-5AA9653D75A6}"/>
            </a:ext>
          </a:extLst>
        </xdr:cNvPr>
        <xdr:cNvPicPr>
          <a:picLocks noChangeAspect="1"/>
        </xdr:cNvPicPr>
      </xdr:nvPicPr>
      <xdr:blipFill>
        <a:blip xmlns:r="http://schemas.openxmlformats.org/officeDocument/2006/relationships" r:embed="rId3"/>
        <a:stretch>
          <a:fillRect/>
        </a:stretch>
      </xdr:blipFill>
      <xdr:spPr>
        <a:xfrm>
          <a:off x="7048499" y="543277"/>
          <a:ext cx="2170590" cy="24053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3" name="Picture 2">
          <a:extLst>
            <a:ext uri="{FF2B5EF4-FFF2-40B4-BE49-F238E27FC236}">
              <a16:creationId xmlns:a16="http://schemas.microsoft.com/office/drawing/2014/main" id="{B3D3A93F-DD4B-B41D-9803-F83CAB3A263A}"/>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296335</xdr:colOff>
      <xdr:row>1</xdr:row>
      <xdr:rowOff>141724</xdr:rowOff>
    </xdr:from>
    <xdr:to>
      <xdr:col>23</xdr:col>
      <xdr:colOff>275168</xdr:colOff>
      <xdr:row>14</xdr:row>
      <xdr:rowOff>3680</xdr:rowOff>
    </xdr:to>
    <xdr:pic>
      <xdr:nvPicPr>
        <xdr:cNvPr id="5" name="Picture 4">
          <a:extLst>
            <a:ext uri="{FF2B5EF4-FFF2-40B4-BE49-F238E27FC236}">
              <a16:creationId xmlns:a16="http://schemas.microsoft.com/office/drawing/2014/main" id="{B096F741-2110-A782-B846-1A45C63571A3}"/>
            </a:ext>
          </a:extLst>
        </xdr:cNvPr>
        <xdr:cNvPicPr>
          <a:picLocks noChangeAspect="1"/>
        </xdr:cNvPicPr>
      </xdr:nvPicPr>
      <xdr:blipFill>
        <a:blip xmlns:r="http://schemas.openxmlformats.org/officeDocument/2006/relationships" r:embed="rId2"/>
        <a:stretch>
          <a:fillRect/>
        </a:stretch>
      </xdr:blipFill>
      <xdr:spPr>
        <a:xfrm>
          <a:off x="7591779" y="586224"/>
          <a:ext cx="2201333" cy="2472512"/>
        </a:xfrm>
        <a:prstGeom prst="rect">
          <a:avLst/>
        </a:prstGeom>
      </xdr:spPr>
    </xdr:pic>
    <xdr:clientData/>
  </xdr:twoCellAnchor>
  <xdr:twoCellAnchor editAs="oneCell">
    <xdr:from>
      <xdr:col>1</xdr:col>
      <xdr:colOff>0</xdr:colOff>
      <xdr:row>14</xdr:row>
      <xdr:rowOff>0</xdr:rowOff>
    </xdr:from>
    <xdr:to>
      <xdr:col>4</xdr:col>
      <xdr:colOff>98225</xdr:colOff>
      <xdr:row>19</xdr:row>
      <xdr:rowOff>133574</xdr:rowOff>
    </xdr:to>
    <xdr:pic>
      <xdr:nvPicPr>
        <xdr:cNvPr id="7" name="Picture 6">
          <a:extLst>
            <a:ext uri="{FF2B5EF4-FFF2-40B4-BE49-F238E27FC236}">
              <a16:creationId xmlns:a16="http://schemas.microsoft.com/office/drawing/2014/main" id="{4815442D-A563-5351-4233-30FF7CEF6E54}"/>
            </a:ext>
          </a:extLst>
        </xdr:cNvPr>
        <xdr:cNvPicPr>
          <a:picLocks noChangeAspect="1"/>
        </xdr:cNvPicPr>
      </xdr:nvPicPr>
      <xdr:blipFill>
        <a:blip xmlns:r="http://schemas.openxmlformats.org/officeDocument/2006/relationships" r:embed="rId3"/>
        <a:stretch>
          <a:fillRect/>
        </a:stretch>
      </xdr:blipFill>
      <xdr:spPr>
        <a:xfrm>
          <a:off x="190500" y="3055056"/>
          <a:ext cx="1438781" cy="944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EF7B7E5B-55F4-4028-DD5F-A61CE123E1F2}"/>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395112</xdr:colOff>
      <xdr:row>1</xdr:row>
      <xdr:rowOff>416278</xdr:rowOff>
    </xdr:from>
    <xdr:to>
      <xdr:col>23</xdr:col>
      <xdr:colOff>175693</xdr:colOff>
      <xdr:row>13</xdr:row>
      <xdr:rowOff>168723</xdr:rowOff>
    </xdr:to>
    <xdr:pic>
      <xdr:nvPicPr>
        <xdr:cNvPr id="11" name="Picture 10">
          <a:extLst>
            <a:ext uri="{FF2B5EF4-FFF2-40B4-BE49-F238E27FC236}">
              <a16:creationId xmlns:a16="http://schemas.microsoft.com/office/drawing/2014/main" id="{15AB1F42-6760-6284-988D-096BBDC1B9D5}"/>
            </a:ext>
          </a:extLst>
        </xdr:cNvPr>
        <xdr:cNvPicPr>
          <a:picLocks noChangeAspect="1"/>
        </xdr:cNvPicPr>
      </xdr:nvPicPr>
      <xdr:blipFill>
        <a:blip xmlns:r="http://schemas.openxmlformats.org/officeDocument/2006/relationships" r:embed="rId2"/>
        <a:stretch>
          <a:fillRect/>
        </a:stretch>
      </xdr:blipFill>
      <xdr:spPr>
        <a:xfrm>
          <a:off x="7690556" y="860778"/>
          <a:ext cx="1988970" cy="2200723"/>
        </a:xfrm>
        <a:prstGeom prst="rect">
          <a:avLst/>
        </a:prstGeom>
      </xdr:spPr>
    </xdr:pic>
    <xdr:clientData/>
  </xdr:twoCellAnchor>
  <xdr:twoCellAnchor editAs="oneCell">
    <xdr:from>
      <xdr:col>1</xdr:col>
      <xdr:colOff>0</xdr:colOff>
      <xdr:row>15</xdr:row>
      <xdr:rowOff>0</xdr:rowOff>
    </xdr:from>
    <xdr:to>
      <xdr:col>4</xdr:col>
      <xdr:colOff>98225</xdr:colOff>
      <xdr:row>20</xdr:row>
      <xdr:rowOff>133573</xdr:rowOff>
    </xdr:to>
    <xdr:pic>
      <xdr:nvPicPr>
        <xdr:cNvPr id="13" name="Picture 12">
          <a:extLst>
            <a:ext uri="{FF2B5EF4-FFF2-40B4-BE49-F238E27FC236}">
              <a16:creationId xmlns:a16="http://schemas.microsoft.com/office/drawing/2014/main" id="{CDF5D990-BB39-52E4-89A7-60699657CC47}"/>
            </a:ext>
          </a:extLst>
        </xdr:cNvPr>
        <xdr:cNvPicPr>
          <a:picLocks noChangeAspect="1"/>
        </xdr:cNvPicPr>
      </xdr:nvPicPr>
      <xdr:blipFill>
        <a:blip xmlns:r="http://schemas.openxmlformats.org/officeDocument/2006/relationships" r:embed="rId3"/>
        <a:stretch>
          <a:fillRect/>
        </a:stretch>
      </xdr:blipFill>
      <xdr:spPr>
        <a:xfrm>
          <a:off x="190500" y="3224389"/>
          <a:ext cx="1438781" cy="9449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3" name="Picture 2">
          <a:extLst>
            <a:ext uri="{FF2B5EF4-FFF2-40B4-BE49-F238E27FC236}">
              <a16:creationId xmlns:a16="http://schemas.microsoft.com/office/drawing/2014/main" id="{1F262A35-2B0B-1F2D-645F-70D4F919732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444500</xdr:colOff>
      <xdr:row>1</xdr:row>
      <xdr:rowOff>388055</xdr:rowOff>
    </xdr:from>
    <xdr:to>
      <xdr:col>23</xdr:col>
      <xdr:colOff>215295</xdr:colOff>
      <xdr:row>13</xdr:row>
      <xdr:rowOff>111589</xdr:rowOff>
    </xdr:to>
    <xdr:pic>
      <xdr:nvPicPr>
        <xdr:cNvPr id="5" name="Picture 4">
          <a:extLst>
            <a:ext uri="{FF2B5EF4-FFF2-40B4-BE49-F238E27FC236}">
              <a16:creationId xmlns:a16="http://schemas.microsoft.com/office/drawing/2014/main" id="{5E4DF680-C4C5-F686-7674-052C3B41AAB9}"/>
            </a:ext>
          </a:extLst>
        </xdr:cNvPr>
        <xdr:cNvPicPr>
          <a:picLocks noChangeAspect="1"/>
        </xdr:cNvPicPr>
      </xdr:nvPicPr>
      <xdr:blipFill>
        <a:blip xmlns:r="http://schemas.openxmlformats.org/officeDocument/2006/relationships" r:embed="rId2"/>
        <a:stretch>
          <a:fillRect/>
        </a:stretch>
      </xdr:blipFill>
      <xdr:spPr>
        <a:xfrm>
          <a:off x="7739944" y="832555"/>
          <a:ext cx="1936850" cy="2171812"/>
        </a:xfrm>
        <a:prstGeom prst="rect">
          <a:avLst/>
        </a:prstGeom>
      </xdr:spPr>
    </xdr:pic>
    <xdr:clientData/>
  </xdr:twoCellAnchor>
  <xdr:twoCellAnchor editAs="oneCell">
    <xdr:from>
      <xdr:col>0</xdr:col>
      <xdr:colOff>98778</xdr:colOff>
      <xdr:row>13</xdr:row>
      <xdr:rowOff>141111</xdr:rowOff>
    </xdr:from>
    <xdr:to>
      <xdr:col>4</xdr:col>
      <xdr:colOff>6503</xdr:colOff>
      <xdr:row>19</xdr:row>
      <xdr:rowOff>105351</xdr:rowOff>
    </xdr:to>
    <xdr:pic>
      <xdr:nvPicPr>
        <xdr:cNvPr id="7" name="Picture 6">
          <a:extLst>
            <a:ext uri="{FF2B5EF4-FFF2-40B4-BE49-F238E27FC236}">
              <a16:creationId xmlns:a16="http://schemas.microsoft.com/office/drawing/2014/main" id="{83A976F8-5E98-4030-EC35-07B5516A35D4}"/>
            </a:ext>
          </a:extLst>
        </xdr:cNvPr>
        <xdr:cNvPicPr>
          <a:picLocks noChangeAspect="1"/>
        </xdr:cNvPicPr>
      </xdr:nvPicPr>
      <xdr:blipFill>
        <a:blip xmlns:r="http://schemas.openxmlformats.org/officeDocument/2006/relationships" r:embed="rId3"/>
        <a:stretch>
          <a:fillRect/>
        </a:stretch>
      </xdr:blipFill>
      <xdr:spPr>
        <a:xfrm>
          <a:off x="98778" y="3033889"/>
          <a:ext cx="1438781" cy="9449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0427425C-D8BA-5C34-F2A5-9F0C9D50CC7D}"/>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507999</xdr:colOff>
      <xdr:row>1</xdr:row>
      <xdr:rowOff>373944</xdr:rowOff>
    </xdr:from>
    <xdr:to>
      <xdr:col>23</xdr:col>
      <xdr:colOff>164490</xdr:colOff>
      <xdr:row>13</xdr:row>
      <xdr:rowOff>46675</xdr:rowOff>
    </xdr:to>
    <xdr:pic>
      <xdr:nvPicPr>
        <xdr:cNvPr id="5" name="Picture 4">
          <a:extLst>
            <a:ext uri="{FF2B5EF4-FFF2-40B4-BE49-F238E27FC236}">
              <a16:creationId xmlns:a16="http://schemas.microsoft.com/office/drawing/2014/main" id="{665486E0-CE65-F829-1013-546F867A76EF}"/>
            </a:ext>
          </a:extLst>
        </xdr:cNvPr>
        <xdr:cNvPicPr>
          <a:picLocks noChangeAspect="1"/>
        </xdr:cNvPicPr>
      </xdr:nvPicPr>
      <xdr:blipFill>
        <a:blip xmlns:r="http://schemas.openxmlformats.org/officeDocument/2006/relationships" r:embed="rId2"/>
        <a:stretch>
          <a:fillRect/>
        </a:stretch>
      </xdr:blipFill>
      <xdr:spPr>
        <a:xfrm>
          <a:off x="7732888" y="818444"/>
          <a:ext cx="1886047" cy="2121009"/>
        </a:xfrm>
        <a:prstGeom prst="rect">
          <a:avLst/>
        </a:prstGeom>
      </xdr:spPr>
    </xdr:pic>
    <xdr:clientData/>
  </xdr:twoCellAnchor>
  <xdr:twoCellAnchor editAs="oneCell">
    <xdr:from>
      <xdr:col>1</xdr:col>
      <xdr:colOff>0</xdr:colOff>
      <xdr:row>16</xdr:row>
      <xdr:rowOff>0</xdr:rowOff>
    </xdr:from>
    <xdr:to>
      <xdr:col>4</xdr:col>
      <xdr:colOff>98225</xdr:colOff>
      <xdr:row>21</xdr:row>
      <xdr:rowOff>133573</xdr:rowOff>
    </xdr:to>
    <xdr:pic>
      <xdr:nvPicPr>
        <xdr:cNvPr id="7" name="Picture 6">
          <a:extLst>
            <a:ext uri="{FF2B5EF4-FFF2-40B4-BE49-F238E27FC236}">
              <a16:creationId xmlns:a16="http://schemas.microsoft.com/office/drawing/2014/main" id="{D17D9B2B-D827-3976-CAE5-6122FB42FA74}"/>
            </a:ext>
          </a:extLst>
        </xdr:cNvPr>
        <xdr:cNvPicPr>
          <a:picLocks noChangeAspect="1"/>
        </xdr:cNvPicPr>
      </xdr:nvPicPr>
      <xdr:blipFill>
        <a:blip xmlns:r="http://schemas.openxmlformats.org/officeDocument/2006/relationships" r:embed="rId3"/>
        <a:stretch>
          <a:fillRect/>
        </a:stretch>
      </xdr:blipFill>
      <xdr:spPr>
        <a:xfrm>
          <a:off x="190500" y="3386667"/>
          <a:ext cx="1438781" cy="9449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A2C39F28-DA44-3E1E-E2B4-8803D7E7B59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388055</xdr:colOff>
      <xdr:row>1</xdr:row>
      <xdr:rowOff>430389</xdr:rowOff>
    </xdr:from>
    <xdr:to>
      <xdr:col>23</xdr:col>
      <xdr:colOff>136268</xdr:colOff>
      <xdr:row>13</xdr:row>
      <xdr:rowOff>77719</xdr:rowOff>
    </xdr:to>
    <xdr:pic>
      <xdr:nvPicPr>
        <xdr:cNvPr id="5" name="Picture 4">
          <a:extLst>
            <a:ext uri="{FF2B5EF4-FFF2-40B4-BE49-F238E27FC236}">
              <a16:creationId xmlns:a16="http://schemas.microsoft.com/office/drawing/2014/main" id="{7EBA139A-0C64-204A-23EE-39B3B5483A77}"/>
            </a:ext>
          </a:extLst>
        </xdr:cNvPr>
        <xdr:cNvPicPr>
          <a:picLocks noChangeAspect="1"/>
        </xdr:cNvPicPr>
      </xdr:nvPicPr>
      <xdr:blipFill>
        <a:blip xmlns:r="http://schemas.openxmlformats.org/officeDocument/2006/relationships" r:embed="rId2"/>
        <a:stretch>
          <a:fillRect/>
        </a:stretch>
      </xdr:blipFill>
      <xdr:spPr>
        <a:xfrm>
          <a:off x="7612944" y="874889"/>
          <a:ext cx="1886047" cy="2095608"/>
        </a:xfrm>
        <a:prstGeom prst="rect">
          <a:avLst/>
        </a:prstGeom>
      </xdr:spPr>
    </xdr:pic>
    <xdr:clientData/>
  </xdr:twoCellAnchor>
  <xdr:twoCellAnchor editAs="oneCell">
    <xdr:from>
      <xdr:col>1</xdr:col>
      <xdr:colOff>0</xdr:colOff>
      <xdr:row>16</xdr:row>
      <xdr:rowOff>0</xdr:rowOff>
    </xdr:from>
    <xdr:to>
      <xdr:col>4</xdr:col>
      <xdr:colOff>98225</xdr:colOff>
      <xdr:row>21</xdr:row>
      <xdr:rowOff>133573</xdr:rowOff>
    </xdr:to>
    <xdr:pic>
      <xdr:nvPicPr>
        <xdr:cNvPr id="7" name="Picture 6">
          <a:extLst>
            <a:ext uri="{FF2B5EF4-FFF2-40B4-BE49-F238E27FC236}">
              <a16:creationId xmlns:a16="http://schemas.microsoft.com/office/drawing/2014/main" id="{1C7C0359-C23D-514C-9AFD-D88B088D2F64}"/>
            </a:ext>
          </a:extLst>
        </xdr:cNvPr>
        <xdr:cNvPicPr>
          <a:picLocks noChangeAspect="1"/>
        </xdr:cNvPicPr>
      </xdr:nvPicPr>
      <xdr:blipFill>
        <a:blip xmlns:r="http://schemas.openxmlformats.org/officeDocument/2006/relationships" r:embed="rId3"/>
        <a:stretch>
          <a:fillRect/>
        </a:stretch>
      </xdr:blipFill>
      <xdr:spPr>
        <a:xfrm>
          <a:off x="190500" y="3386667"/>
          <a:ext cx="1438781" cy="9449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7" name="Picture 6">
          <a:extLst>
            <a:ext uri="{FF2B5EF4-FFF2-40B4-BE49-F238E27FC236}">
              <a16:creationId xmlns:a16="http://schemas.microsoft.com/office/drawing/2014/main" id="{36E27B60-1C3E-F4FC-B68E-1B64CDF51E01}"/>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402167</xdr:colOff>
      <xdr:row>2</xdr:row>
      <xdr:rowOff>35278</xdr:rowOff>
    </xdr:from>
    <xdr:to>
      <xdr:col>23</xdr:col>
      <xdr:colOff>227995</xdr:colOff>
      <xdr:row>13</xdr:row>
      <xdr:rowOff>101706</xdr:rowOff>
    </xdr:to>
    <xdr:pic>
      <xdr:nvPicPr>
        <xdr:cNvPr id="4" name="Picture 3">
          <a:extLst>
            <a:ext uri="{FF2B5EF4-FFF2-40B4-BE49-F238E27FC236}">
              <a16:creationId xmlns:a16="http://schemas.microsoft.com/office/drawing/2014/main" id="{6C658260-0A08-81AC-B4C1-C3C2129BD705}"/>
            </a:ext>
          </a:extLst>
        </xdr:cNvPr>
        <xdr:cNvPicPr>
          <a:picLocks noChangeAspect="1"/>
        </xdr:cNvPicPr>
      </xdr:nvPicPr>
      <xdr:blipFill>
        <a:blip xmlns:r="http://schemas.openxmlformats.org/officeDocument/2006/relationships" r:embed="rId2"/>
        <a:stretch>
          <a:fillRect/>
        </a:stretch>
      </xdr:blipFill>
      <xdr:spPr>
        <a:xfrm>
          <a:off x="7627056" y="924278"/>
          <a:ext cx="1949550" cy="2070206"/>
        </a:xfrm>
        <a:prstGeom prst="rect">
          <a:avLst/>
        </a:prstGeom>
      </xdr:spPr>
    </xdr:pic>
    <xdr:clientData/>
  </xdr:twoCellAnchor>
  <xdr:twoCellAnchor editAs="oneCell">
    <xdr:from>
      <xdr:col>1</xdr:col>
      <xdr:colOff>0</xdr:colOff>
      <xdr:row>16</xdr:row>
      <xdr:rowOff>0</xdr:rowOff>
    </xdr:from>
    <xdr:to>
      <xdr:col>4</xdr:col>
      <xdr:colOff>98225</xdr:colOff>
      <xdr:row>21</xdr:row>
      <xdr:rowOff>133573</xdr:rowOff>
    </xdr:to>
    <xdr:pic>
      <xdr:nvPicPr>
        <xdr:cNvPr id="8" name="Picture 7">
          <a:extLst>
            <a:ext uri="{FF2B5EF4-FFF2-40B4-BE49-F238E27FC236}">
              <a16:creationId xmlns:a16="http://schemas.microsoft.com/office/drawing/2014/main" id="{105FF1EF-B00C-D1B0-2D6E-A67B0A408596}"/>
            </a:ext>
          </a:extLst>
        </xdr:cNvPr>
        <xdr:cNvPicPr>
          <a:picLocks noChangeAspect="1"/>
        </xdr:cNvPicPr>
      </xdr:nvPicPr>
      <xdr:blipFill>
        <a:blip xmlns:r="http://schemas.openxmlformats.org/officeDocument/2006/relationships" r:embed="rId3"/>
        <a:stretch>
          <a:fillRect/>
        </a:stretch>
      </xdr:blipFill>
      <xdr:spPr>
        <a:xfrm>
          <a:off x="190500" y="3386667"/>
          <a:ext cx="1438781" cy="9449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0</xdr:colOff>
      <xdr:row>9</xdr:row>
      <xdr:rowOff>85725</xdr:rowOff>
    </xdr:from>
    <xdr:to>
      <xdr:col>8</xdr:col>
      <xdr:colOff>742950</xdr:colOff>
      <xdr:row>9</xdr:row>
      <xdr:rowOff>85725</xdr:rowOff>
    </xdr:to>
    <xdr:sp macro="" textlink="">
      <xdr:nvSpPr>
        <xdr:cNvPr id="11383" name="Line 2">
          <a:extLst>
            <a:ext uri="{FF2B5EF4-FFF2-40B4-BE49-F238E27FC236}">
              <a16:creationId xmlns:a16="http://schemas.microsoft.com/office/drawing/2014/main" id="{00000000-0008-0000-0900-0000772C0000}"/>
            </a:ext>
          </a:extLst>
        </xdr:cNvPr>
        <xdr:cNvSpPr>
          <a:spLocks noChangeShapeType="1"/>
        </xdr:cNvSpPr>
      </xdr:nvSpPr>
      <xdr:spPr bwMode="auto">
        <a:xfrm>
          <a:off x="3876675" y="14859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13</xdr:row>
      <xdr:rowOff>85725</xdr:rowOff>
    </xdr:from>
    <xdr:to>
      <xdr:col>8</xdr:col>
      <xdr:colOff>742950</xdr:colOff>
      <xdr:row>13</xdr:row>
      <xdr:rowOff>85725</xdr:rowOff>
    </xdr:to>
    <xdr:sp macro="" textlink="">
      <xdr:nvSpPr>
        <xdr:cNvPr id="11384" name="Line 3">
          <a:extLst>
            <a:ext uri="{FF2B5EF4-FFF2-40B4-BE49-F238E27FC236}">
              <a16:creationId xmlns:a16="http://schemas.microsoft.com/office/drawing/2014/main" id="{00000000-0008-0000-0900-0000782C0000}"/>
            </a:ext>
          </a:extLst>
        </xdr:cNvPr>
        <xdr:cNvSpPr>
          <a:spLocks noChangeShapeType="1"/>
        </xdr:cNvSpPr>
      </xdr:nvSpPr>
      <xdr:spPr bwMode="auto">
        <a:xfrm>
          <a:off x="3876675" y="20478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17</xdr:row>
      <xdr:rowOff>85725</xdr:rowOff>
    </xdr:from>
    <xdr:to>
      <xdr:col>8</xdr:col>
      <xdr:colOff>742950</xdr:colOff>
      <xdr:row>17</xdr:row>
      <xdr:rowOff>85725</xdr:rowOff>
    </xdr:to>
    <xdr:sp macro="" textlink="">
      <xdr:nvSpPr>
        <xdr:cNvPr id="11385" name="Line 4">
          <a:extLst>
            <a:ext uri="{FF2B5EF4-FFF2-40B4-BE49-F238E27FC236}">
              <a16:creationId xmlns:a16="http://schemas.microsoft.com/office/drawing/2014/main" id="{00000000-0008-0000-0900-0000792C0000}"/>
            </a:ext>
          </a:extLst>
        </xdr:cNvPr>
        <xdr:cNvSpPr>
          <a:spLocks noChangeShapeType="1"/>
        </xdr:cNvSpPr>
      </xdr:nvSpPr>
      <xdr:spPr bwMode="auto">
        <a:xfrm>
          <a:off x="3876675" y="25908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21</xdr:row>
      <xdr:rowOff>85725</xdr:rowOff>
    </xdr:from>
    <xdr:to>
      <xdr:col>8</xdr:col>
      <xdr:colOff>742950</xdr:colOff>
      <xdr:row>21</xdr:row>
      <xdr:rowOff>85725</xdr:rowOff>
    </xdr:to>
    <xdr:sp macro="" textlink="">
      <xdr:nvSpPr>
        <xdr:cNvPr id="11386" name="Line 5">
          <a:extLst>
            <a:ext uri="{FF2B5EF4-FFF2-40B4-BE49-F238E27FC236}">
              <a16:creationId xmlns:a16="http://schemas.microsoft.com/office/drawing/2014/main" id="{00000000-0008-0000-0900-00007A2C0000}"/>
            </a:ext>
          </a:extLst>
        </xdr:cNvPr>
        <xdr:cNvSpPr>
          <a:spLocks noChangeShapeType="1"/>
        </xdr:cNvSpPr>
      </xdr:nvSpPr>
      <xdr:spPr bwMode="auto">
        <a:xfrm>
          <a:off x="3876675" y="31051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25</xdr:row>
      <xdr:rowOff>85725</xdr:rowOff>
    </xdr:from>
    <xdr:to>
      <xdr:col>8</xdr:col>
      <xdr:colOff>742950</xdr:colOff>
      <xdr:row>25</xdr:row>
      <xdr:rowOff>85725</xdr:rowOff>
    </xdr:to>
    <xdr:sp macro="" textlink="">
      <xdr:nvSpPr>
        <xdr:cNvPr id="11387" name="Line 6">
          <a:extLst>
            <a:ext uri="{FF2B5EF4-FFF2-40B4-BE49-F238E27FC236}">
              <a16:creationId xmlns:a16="http://schemas.microsoft.com/office/drawing/2014/main" id="{00000000-0008-0000-0900-00007B2C0000}"/>
            </a:ext>
          </a:extLst>
        </xdr:cNvPr>
        <xdr:cNvSpPr>
          <a:spLocks noChangeShapeType="1"/>
        </xdr:cNvSpPr>
      </xdr:nvSpPr>
      <xdr:spPr bwMode="auto">
        <a:xfrm>
          <a:off x="3876675" y="36099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31</xdr:row>
      <xdr:rowOff>85725</xdr:rowOff>
    </xdr:from>
    <xdr:to>
      <xdr:col>8</xdr:col>
      <xdr:colOff>742950</xdr:colOff>
      <xdr:row>31</xdr:row>
      <xdr:rowOff>85725</xdr:rowOff>
    </xdr:to>
    <xdr:sp macro="" textlink="">
      <xdr:nvSpPr>
        <xdr:cNvPr id="11388" name="Line 7">
          <a:extLst>
            <a:ext uri="{FF2B5EF4-FFF2-40B4-BE49-F238E27FC236}">
              <a16:creationId xmlns:a16="http://schemas.microsoft.com/office/drawing/2014/main" id="{00000000-0008-0000-0900-00007C2C0000}"/>
            </a:ext>
          </a:extLst>
        </xdr:cNvPr>
        <xdr:cNvSpPr>
          <a:spLocks noChangeShapeType="1"/>
        </xdr:cNvSpPr>
      </xdr:nvSpPr>
      <xdr:spPr bwMode="auto">
        <a:xfrm>
          <a:off x="3876675" y="41338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35</xdr:row>
      <xdr:rowOff>85725</xdr:rowOff>
    </xdr:from>
    <xdr:to>
      <xdr:col>8</xdr:col>
      <xdr:colOff>742950</xdr:colOff>
      <xdr:row>35</xdr:row>
      <xdr:rowOff>85725</xdr:rowOff>
    </xdr:to>
    <xdr:sp macro="" textlink="">
      <xdr:nvSpPr>
        <xdr:cNvPr id="11389" name="Line 8">
          <a:extLst>
            <a:ext uri="{FF2B5EF4-FFF2-40B4-BE49-F238E27FC236}">
              <a16:creationId xmlns:a16="http://schemas.microsoft.com/office/drawing/2014/main" id="{00000000-0008-0000-0900-00007D2C0000}"/>
            </a:ext>
          </a:extLst>
        </xdr:cNvPr>
        <xdr:cNvSpPr>
          <a:spLocks noChangeShapeType="1"/>
        </xdr:cNvSpPr>
      </xdr:nvSpPr>
      <xdr:spPr bwMode="auto">
        <a:xfrm>
          <a:off x="3876675" y="46672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39</xdr:row>
      <xdr:rowOff>85725</xdr:rowOff>
    </xdr:from>
    <xdr:to>
      <xdr:col>8</xdr:col>
      <xdr:colOff>742950</xdr:colOff>
      <xdr:row>39</xdr:row>
      <xdr:rowOff>85725</xdr:rowOff>
    </xdr:to>
    <xdr:sp macro="" textlink="">
      <xdr:nvSpPr>
        <xdr:cNvPr id="11390" name="Line 10">
          <a:extLst>
            <a:ext uri="{FF2B5EF4-FFF2-40B4-BE49-F238E27FC236}">
              <a16:creationId xmlns:a16="http://schemas.microsoft.com/office/drawing/2014/main" id="{00000000-0008-0000-0900-00007E2C0000}"/>
            </a:ext>
          </a:extLst>
        </xdr:cNvPr>
        <xdr:cNvSpPr>
          <a:spLocks noChangeShapeType="1"/>
        </xdr:cNvSpPr>
      </xdr:nvSpPr>
      <xdr:spPr bwMode="auto">
        <a:xfrm>
          <a:off x="3876675" y="52006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4</xdr:row>
      <xdr:rowOff>18439</xdr:rowOff>
    </xdr:to>
    <xdr:pic>
      <xdr:nvPicPr>
        <xdr:cNvPr id="3" name="Picture 2">
          <a:extLst>
            <a:ext uri="{FF2B5EF4-FFF2-40B4-BE49-F238E27FC236}">
              <a16:creationId xmlns:a16="http://schemas.microsoft.com/office/drawing/2014/main" id="{FD7D2F8D-00F5-299F-2405-364E5E4BE9C8}"/>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7</xdr:row>
      <xdr:rowOff>85725</xdr:rowOff>
    </xdr:from>
    <xdr:to>
      <xdr:col>8</xdr:col>
      <xdr:colOff>742950</xdr:colOff>
      <xdr:row>7</xdr:row>
      <xdr:rowOff>85725</xdr:rowOff>
    </xdr:to>
    <xdr:sp macro="" textlink="">
      <xdr:nvSpPr>
        <xdr:cNvPr id="12367" name="Line 2">
          <a:extLst>
            <a:ext uri="{FF2B5EF4-FFF2-40B4-BE49-F238E27FC236}">
              <a16:creationId xmlns:a16="http://schemas.microsoft.com/office/drawing/2014/main" id="{00000000-0008-0000-0A00-00004F300000}"/>
            </a:ext>
          </a:extLst>
        </xdr:cNvPr>
        <xdr:cNvSpPr>
          <a:spLocks noChangeShapeType="1"/>
        </xdr:cNvSpPr>
      </xdr:nvSpPr>
      <xdr:spPr bwMode="auto">
        <a:xfrm>
          <a:off x="3876675" y="180022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11</xdr:row>
      <xdr:rowOff>85725</xdr:rowOff>
    </xdr:from>
    <xdr:to>
      <xdr:col>8</xdr:col>
      <xdr:colOff>742950</xdr:colOff>
      <xdr:row>11</xdr:row>
      <xdr:rowOff>85725</xdr:rowOff>
    </xdr:to>
    <xdr:sp macro="" textlink="">
      <xdr:nvSpPr>
        <xdr:cNvPr id="12368" name="Line 3">
          <a:extLst>
            <a:ext uri="{FF2B5EF4-FFF2-40B4-BE49-F238E27FC236}">
              <a16:creationId xmlns:a16="http://schemas.microsoft.com/office/drawing/2014/main" id="{00000000-0008-0000-0A00-000050300000}"/>
            </a:ext>
          </a:extLst>
        </xdr:cNvPr>
        <xdr:cNvSpPr>
          <a:spLocks noChangeShapeType="1"/>
        </xdr:cNvSpPr>
      </xdr:nvSpPr>
      <xdr:spPr bwMode="auto">
        <a:xfrm>
          <a:off x="3876675" y="25336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15</xdr:row>
      <xdr:rowOff>85725</xdr:rowOff>
    </xdr:from>
    <xdr:to>
      <xdr:col>8</xdr:col>
      <xdr:colOff>742950</xdr:colOff>
      <xdr:row>15</xdr:row>
      <xdr:rowOff>85725</xdr:rowOff>
    </xdr:to>
    <xdr:sp macro="" textlink="">
      <xdr:nvSpPr>
        <xdr:cNvPr id="12369" name="Line 4">
          <a:extLst>
            <a:ext uri="{FF2B5EF4-FFF2-40B4-BE49-F238E27FC236}">
              <a16:creationId xmlns:a16="http://schemas.microsoft.com/office/drawing/2014/main" id="{00000000-0008-0000-0A00-000051300000}"/>
            </a:ext>
          </a:extLst>
        </xdr:cNvPr>
        <xdr:cNvSpPr>
          <a:spLocks noChangeShapeType="1"/>
        </xdr:cNvSpPr>
      </xdr:nvSpPr>
      <xdr:spPr bwMode="auto">
        <a:xfrm>
          <a:off x="3876675" y="32670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19</xdr:row>
      <xdr:rowOff>85725</xdr:rowOff>
    </xdr:from>
    <xdr:to>
      <xdr:col>8</xdr:col>
      <xdr:colOff>742950</xdr:colOff>
      <xdr:row>19</xdr:row>
      <xdr:rowOff>85725</xdr:rowOff>
    </xdr:to>
    <xdr:sp macro="" textlink="">
      <xdr:nvSpPr>
        <xdr:cNvPr id="12370" name="Line 5">
          <a:extLst>
            <a:ext uri="{FF2B5EF4-FFF2-40B4-BE49-F238E27FC236}">
              <a16:creationId xmlns:a16="http://schemas.microsoft.com/office/drawing/2014/main" id="{00000000-0008-0000-0A00-000052300000}"/>
            </a:ext>
          </a:extLst>
        </xdr:cNvPr>
        <xdr:cNvSpPr>
          <a:spLocks noChangeShapeType="1"/>
        </xdr:cNvSpPr>
      </xdr:nvSpPr>
      <xdr:spPr bwMode="auto">
        <a:xfrm>
          <a:off x="3876675" y="40005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22</xdr:row>
      <xdr:rowOff>0</xdr:rowOff>
    </xdr:from>
    <xdr:to>
      <xdr:col>8</xdr:col>
      <xdr:colOff>742950</xdr:colOff>
      <xdr:row>22</xdr:row>
      <xdr:rowOff>0</xdr:rowOff>
    </xdr:to>
    <xdr:sp macro="" textlink="">
      <xdr:nvSpPr>
        <xdr:cNvPr id="12371" name="Line 6">
          <a:extLst>
            <a:ext uri="{FF2B5EF4-FFF2-40B4-BE49-F238E27FC236}">
              <a16:creationId xmlns:a16="http://schemas.microsoft.com/office/drawing/2014/main" id="{00000000-0008-0000-0A00-000053300000}"/>
            </a:ext>
          </a:extLst>
        </xdr:cNvPr>
        <xdr:cNvSpPr>
          <a:spLocks noChangeShapeType="1"/>
        </xdr:cNvSpPr>
      </xdr:nvSpPr>
      <xdr:spPr bwMode="auto">
        <a:xfrm>
          <a:off x="3876675" y="446722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3" name="Picture 2">
          <a:extLst>
            <a:ext uri="{FF2B5EF4-FFF2-40B4-BE49-F238E27FC236}">
              <a16:creationId xmlns:a16="http://schemas.microsoft.com/office/drawing/2014/main" id="{460513BC-8E12-8A58-161B-7289C637AB3F}"/>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7</xdr:row>
      <xdr:rowOff>85725</xdr:rowOff>
    </xdr:from>
    <xdr:to>
      <xdr:col>8</xdr:col>
      <xdr:colOff>742950</xdr:colOff>
      <xdr:row>7</xdr:row>
      <xdr:rowOff>85725</xdr:rowOff>
    </xdr:to>
    <xdr:sp macro="" textlink="">
      <xdr:nvSpPr>
        <xdr:cNvPr id="13352" name="Line 2">
          <a:extLst>
            <a:ext uri="{FF2B5EF4-FFF2-40B4-BE49-F238E27FC236}">
              <a16:creationId xmlns:a16="http://schemas.microsoft.com/office/drawing/2014/main" id="{00000000-0008-0000-0B00-000028340000}"/>
            </a:ext>
          </a:extLst>
        </xdr:cNvPr>
        <xdr:cNvSpPr>
          <a:spLocks noChangeShapeType="1"/>
        </xdr:cNvSpPr>
      </xdr:nvSpPr>
      <xdr:spPr bwMode="auto">
        <a:xfrm>
          <a:off x="3876675" y="19050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11</xdr:row>
      <xdr:rowOff>85725</xdr:rowOff>
    </xdr:from>
    <xdr:to>
      <xdr:col>8</xdr:col>
      <xdr:colOff>742950</xdr:colOff>
      <xdr:row>11</xdr:row>
      <xdr:rowOff>85725</xdr:rowOff>
    </xdr:to>
    <xdr:sp macro="" textlink="">
      <xdr:nvSpPr>
        <xdr:cNvPr id="13353" name="Line 3">
          <a:extLst>
            <a:ext uri="{FF2B5EF4-FFF2-40B4-BE49-F238E27FC236}">
              <a16:creationId xmlns:a16="http://schemas.microsoft.com/office/drawing/2014/main" id="{00000000-0008-0000-0B00-000029340000}"/>
            </a:ext>
          </a:extLst>
        </xdr:cNvPr>
        <xdr:cNvSpPr>
          <a:spLocks noChangeShapeType="1"/>
        </xdr:cNvSpPr>
      </xdr:nvSpPr>
      <xdr:spPr bwMode="auto">
        <a:xfrm>
          <a:off x="3876675" y="28765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4" name="Picture 3">
          <a:extLst>
            <a:ext uri="{FF2B5EF4-FFF2-40B4-BE49-F238E27FC236}">
              <a16:creationId xmlns:a16="http://schemas.microsoft.com/office/drawing/2014/main" id="{A131778E-AAF9-6ED9-8817-E1795C9F1D60}"/>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8</xdr:row>
      <xdr:rowOff>85725</xdr:rowOff>
    </xdr:from>
    <xdr:to>
      <xdr:col>8</xdr:col>
      <xdr:colOff>638175</xdr:colOff>
      <xdr:row>8</xdr:row>
      <xdr:rowOff>85725</xdr:rowOff>
    </xdr:to>
    <xdr:sp macro="" textlink="">
      <xdr:nvSpPr>
        <xdr:cNvPr id="14376" name="Line 2">
          <a:extLst>
            <a:ext uri="{FF2B5EF4-FFF2-40B4-BE49-F238E27FC236}">
              <a16:creationId xmlns:a16="http://schemas.microsoft.com/office/drawing/2014/main" id="{00000000-0008-0000-0C00-000028380000}"/>
            </a:ext>
          </a:extLst>
        </xdr:cNvPr>
        <xdr:cNvSpPr>
          <a:spLocks noChangeShapeType="1"/>
        </xdr:cNvSpPr>
      </xdr:nvSpPr>
      <xdr:spPr bwMode="auto">
        <a:xfrm>
          <a:off x="3876675" y="1876425"/>
          <a:ext cx="638175"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15</xdr:row>
      <xdr:rowOff>114300</xdr:rowOff>
    </xdr:from>
    <xdr:to>
      <xdr:col>8</xdr:col>
      <xdr:colOff>676275</xdr:colOff>
      <xdr:row>15</xdr:row>
      <xdr:rowOff>114300</xdr:rowOff>
    </xdr:to>
    <xdr:sp macro="" textlink="">
      <xdr:nvSpPr>
        <xdr:cNvPr id="14377" name="Line 3">
          <a:extLst>
            <a:ext uri="{FF2B5EF4-FFF2-40B4-BE49-F238E27FC236}">
              <a16:creationId xmlns:a16="http://schemas.microsoft.com/office/drawing/2014/main" id="{00000000-0008-0000-0C00-000029380000}"/>
            </a:ext>
          </a:extLst>
        </xdr:cNvPr>
        <xdr:cNvSpPr>
          <a:spLocks noChangeShapeType="1"/>
        </xdr:cNvSpPr>
      </xdr:nvSpPr>
      <xdr:spPr bwMode="auto">
        <a:xfrm>
          <a:off x="3876675" y="3400425"/>
          <a:ext cx="676275"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3" name="Picture 2">
          <a:extLst>
            <a:ext uri="{FF2B5EF4-FFF2-40B4-BE49-F238E27FC236}">
              <a16:creationId xmlns:a16="http://schemas.microsoft.com/office/drawing/2014/main" id="{E9126340-8413-D714-EA58-504CD7D7CFF3}"/>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760708</xdr:colOff>
      <xdr:row>1</xdr:row>
      <xdr:rowOff>693848</xdr:rowOff>
    </xdr:to>
    <xdr:pic>
      <xdr:nvPicPr>
        <xdr:cNvPr id="3" name="Picture 2">
          <a:extLst>
            <a:ext uri="{FF2B5EF4-FFF2-40B4-BE49-F238E27FC236}">
              <a16:creationId xmlns:a16="http://schemas.microsoft.com/office/drawing/2014/main" id="{C2252853-2FAE-78B5-F4B0-1FD53DD9BB34}"/>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L65"/>
  <sheetViews>
    <sheetView showOutlineSymbols="0" workbookViewId="0">
      <selection activeCell="J16" sqref="J16"/>
    </sheetView>
  </sheetViews>
  <sheetFormatPr defaultRowHeight="12.6"/>
  <cols>
    <col min="2" max="2" width="11.42578125" bestFit="1" customWidth="1"/>
    <col min="3" max="4" width="6.85546875" bestFit="1" customWidth="1"/>
    <col min="5" max="5" width="6.42578125" bestFit="1" customWidth="1"/>
    <col min="6" max="6" width="6" bestFit="1" customWidth="1"/>
    <col min="7" max="7" width="27.140625" bestFit="1" customWidth="1"/>
    <col min="9" max="10" width="12" bestFit="1" customWidth="1"/>
    <col min="11" max="12" width="16.7109375" bestFit="1" customWidth="1"/>
  </cols>
  <sheetData>
    <row r="1" spans="1:12" ht="14.45">
      <c r="A1" s="219" t="s">
        <v>0</v>
      </c>
      <c r="B1" s="219" t="s">
        <v>1</v>
      </c>
      <c r="C1" s="219" t="s">
        <v>2</v>
      </c>
      <c r="D1" s="219" t="s">
        <v>3</v>
      </c>
      <c r="E1" s="219" t="s">
        <v>4</v>
      </c>
      <c r="F1" s="219" t="s">
        <v>5</v>
      </c>
      <c r="G1" s="219" t="s">
        <v>6</v>
      </c>
      <c r="H1" s="219" t="s">
        <v>7</v>
      </c>
      <c r="I1" s="220" t="s">
        <v>8</v>
      </c>
      <c r="J1" s="220" t="s">
        <v>9</v>
      </c>
      <c r="K1" s="220" t="s">
        <v>10</v>
      </c>
      <c r="L1" s="220" t="s">
        <v>11</v>
      </c>
    </row>
    <row r="2" spans="1:12">
      <c r="A2" s="221">
        <v>1</v>
      </c>
      <c r="B2" s="222">
        <v>44885</v>
      </c>
      <c r="C2" s="221" t="s">
        <v>12</v>
      </c>
      <c r="D2" s="221" t="s">
        <v>13</v>
      </c>
      <c r="E2" s="221" t="s">
        <v>14</v>
      </c>
      <c r="F2" s="223">
        <v>0.79166666666666663</v>
      </c>
      <c r="G2" s="221" t="s">
        <v>15</v>
      </c>
      <c r="H2" s="221" t="s">
        <v>4</v>
      </c>
      <c r="I2" s="224" t="s">
        <v>16</v>
      </c>
      <c r="J2" s="221" t="s">
        <v>17</v>
      </c>
      <c r="K2" s="221" cm="1">
        <f t="array" aca="1" ref="K2" ca="1">INDIRECT("Fixture!"&amp;I2)</f>
        <v>10</v>
      </c>
      <c r="L2" s="221" cm="1">
        <f t="array" aca="1" ref="L2" ca="1">INDIRECT("Fixture!"&amp;J2)</f>
        <v>1</v>
      </c>
    </row>
    <row r="3" spans="1:12">
      <c r="A3" s="221">
        <v>2</v>
      </c>
      <c r="B3" s="222">
        <v>44886</v>
      </c>
      <c r="C3" s="221" t="s">
        <v>18</v>
      </c>
      <c r="D3" s="221" t="s">
        <v>19</v>
      </c>
      <c r="E3" s="221" t="s">
        <v>14</v>
      </c>
      <c r="F3" s="223">
        <v>0.79166666666666663</v>
      </c>
      <c r="G3" s="221" t="s">
        <v>20</v>
      </c>
      <c r="H3" s="221" t="s">
        <v>4</v>
      </c>
      <c r="I3" s="221" t="s">
        <v>21</v>
      </c>
      <c r="J3" s="221" t="s">
        <v>22</v>
      </c>
      <c r="K3" s="221" cm="1">
        <f t="array" aca="1" ref="K3" ca="1">INDIRECT("Fixture!"&amp;I3)</f>
        <v>0</v>
      </c>
      <c r="L3" s="221" cm="1">
        <f t="array" aca="1" ref="L3" ca="1">INDIRECT("Fixture!"&amp;J3)</f>
        <v>4</v>
      </c>
    </row>
    <row r="4" spans="1:12">
      <c r="A4" s="225">
        <v>3</v>
      </c>
      <c r="B4" s="226">
        <v>44886</v>
      </c>
      <c r="C4" s="225" t="s">
        <v>23</v>
      </c>
      <c r="D4" s="225" t="s">
        <v>24</v>
      </c>
      <c r="E4" s="225" t="s">
        <v>25</v>
      </c>
      <c r="F4" s="227">
        <v>0.66666666666666663</v>
      </c>
      <c r="G4" s="225" t="s">
        <v>26</v>
      </c>
      <c r="H4" s="225" t="s">
        <v>4</v>
      </c>
      <c r="I4" s="225" t="s">
        <v>27</v>
      </c>
      <c r="J4" s="225" t="s">
        <v>28</v>
      </c>
      <c r="K4" s="225" cm="1">
        <f t="array" aca="1" ref="K4" ca="1">INDIRECT("Fixture!"&amp;I4)</f>
        <v>0</v>
      </c>
      <c r="L4" s="225" cm="1">
        <f t="array" aca="1" ref="L4" ca="1">INDIRECT("Fixture!"&amp;J4)</f>
        <v>6</v>
      </c>
    </row>
    <row r="5" spans="1:12">
      <c r="A5" s="225">
        <v>4</v>
      </c>
      <c r="B5" s="226">
        <v>44886</v>
      </c>
      <c r="C5" s="225" t="s">
        <v>29</v>
      </c>
      <c r="D5" s="225" t="s">
        <v>30</v>
      </c>
      <c r="E5" s="225" t="s">
        <v>25</v>
      </c>
      <c r="F5" s="227">
        <v>0.91666666666666663</v>
      </c>
      <c r="G5" s="225" t="s">
        <v>31</v>
      </c>
      <c r="H5" s="225" t="s">
        <v>4</v>
      </c>
      <c r="I5" s="225" t="s">
        <v>32</v>
      </c>
      <c r="J5" s="225" t="s">
        <v>33</v>
      </c>
      <c r="K5" s="225" cm="1">
        <f t="array" aca="1" ref="K5" ca="1">INDIRECT("Fixture!"&amp;I5)</f>
        <v>3</v>
      </c>
      <c r="L5" s="225" cm="1">
        <f t="array" aca="1" ref="L5" ca="1">INDIRECT("Fixture!"&amp;J5)</f>
        <v>1</v>
      </c>
    </row>
    <row r="6" spans="1:12">
      <c r="A6" s="228">
        <v>5</v>
      </c>
      <c r="B6" s="229">
        <v>44887</v>
      </c>
      <c r="C6" s="228" t="s">
        <v>34</v>
      </c>
      <c r="D6" s="228" t="s">
        <v>35</v>
      </c>
      <c r="E6" s="228" t="s">
        <v>36</v>
      </c>
      <c r="F6" s="230">
        <v>0.91666666666666663</v>
      </c>
      <c r="G6" s="228" t="s">
        <v>37</v>
      </c>
      <c r="H6" s="228" t="s">
        <v>4</v>
      </c>
      <c r="I6" s="228" t="s">
        <v>38</v>
      </c>
      <c r="J6" s="228" t="s">
        <v>39</v>
      </c>
      <c r="K6" s="228" cm="1">
        <f t="array" aca="1" ref="K6" ca="1">INDIRECT("Fixture!"&amp;I6)</f>
        <v>6</v>
      </c>
      <c r="L6" s="228" cm="1">
        <f t="array" aca="1" ref="L6" ca="1">INDIRECT("Fixture!"&amp;J6)</f>
        <v>9</v>
      </c>
    </row>
    <row r="7" spans="1:12">
      <c r="A7" s="228">
        <v>6</v>
      </c>
      <c r="B7" s="229">
        <v>44887</v>
      </c>
      <c r="C7" s="228" t="s">
        <v>40</v>
      </c>
      <c r="D7" s="228" t="s">
        <v>41</v>
      </c>
      <c r="E7" s="228" t="s">
        <v>36</v>
      </c>
      <c r="F7" s="230">
        <v>0.66666666666666663</v>
      </c>
      <c r="G7" s="228" t="s">
        <v>42</v>
      </c>
      <c r="H7" s="228" t="s">
        <v>4</v>
      </c>
      <c r="I7" s="228" t="s">
        <v>43</v>
      </c>
      <c r="J7" s="228" t="s">
        <v>44</v>
      </c>
      <c r="K7" s="228" cm="1">
        <f t="array" aca="1" ref="K7" ca="1">INDIRECT("Fixture!"&amp;I7)</f>
        <v>1</v>
      </c>
      <c r="L7" s="228" cm="1">
        <f t="array" aca="1" ref="L7" ca="1">INDIRECT("Fixture!"&amp;J7)</f>
        <v>0</v>
      </c>
    </row>
    <row r="8" spans="1:12">
      <c r="A8" s="231">
        <v>7</v>
      </c>
      <c r="B8" s="232">
        <v>44887</v>
      </c>
      <c r="C8" s="231" t="s">
        <v>45</v>
      </c>
      <c r="D8" s="231" t="s">
        <v>46</v>
      </c>
      <c r="E8" s="231" t="s">
        <v>47</v>
      </c>
      <c r="F8" s="233">
        <v>0.79166666666666663</v>
      </c>
      <c r="G8" s="231" t="s">
        <v>48</v>
      </c>
      <c r="H8" s="231" t="s">
        <v>4</v>
      </c>
      <c r="I8" s="231" t="s">
        <v>49</v>
      </c>
      <c r="J8" s="231" t="s">
        <v>50</v>
      </c>
      <c r="K8" s="231" cm="1">
        <f t="array" aca="1" ref="K8" ca="1">INDIRECT("Fixture!"&amp;I8)</f>
        <v>3</v>
      </c>
      <c r="L8" s="231" cm="1">
        <f t="array" aca="1" ref="L8" ca="1">INDIRECT("Fixture!"&amp;J8)</f>
        <v>7</v>
      </c>
    </row>
    <row r="9" spans="1:12">
      <c r="A9" s="231">
        <v>8</v>
      </c>
      <c r="B9" s="232">
        <v>44887</v>
      </c>
      <c r="C9" s="231" t="s">
        <v>51</v>
      </c>
      <c r="D9" s="231" t="s">
        <v>52</v>
      </c>
      <c r="E9" s="231" t="s">
        <v>47</v>
      </c>
      <c r="F9" s="233">
        <v>0.54166666666666663</v>
      </c>
      <c r="G9" s="231" t="s">
        <v>53</v>
      </c>
      <c r="H9" s="231" t="s">
        <v>4</v>
      </c>
      <c r="I9" s="231" t="s">
        <v>54</v>
      </c>
      <c r="J9" s="231" t="s">
        <v>55</v>
      </c>
      <c r="K9" s="231" cm="1">
        <f t="array" aca="1" ref="K9" ca="1">INDIRECT("Fixture!"&amp;I9)</f>
        <v>0</v>
      </c>
      <c r="L9" s="231" cm="1">
        <f t="array" aca="1" ref="L9" ca="1">INDIRECT("Fixture!"&amp;J9)</f>
        <v>10</v>
      </c>
    </row>
    <row r="10" spans="1:12">
      <c r="A10" s="234">
        <v>9</v>
      </c>
      <c r="B10" s="235">
        <v>44888</v>
      </c>
      <c r="C10" s="234" t="s">
        <v>56</v>
      </c>
      <c r="D10" s="234" t="s">
        <v>57</v>
      </c>
      <c r="E10" s="234" t="s">
        <v>58</v>
      </c>
      <c r="F10" s="236">
        <v>0.91666666666666663</v>
      </c>
      <c r="G10" s="234" t="s">
        <v>31</v>
      </c>
      <c r="H10" s="234" t="s">
        <v>4</v>
      </c>
      <c r="I10" s="234" t="s">
        <v>59</v>
      </c>
      <c r="J10" s="234" t="s">
        <v>60</v>
      </c>
      <c r="K10" s="234" cm="1">
        <f t="array" aca="1" ref="K10" ca="1">INDIRECT("Fixture!"&amp;I10)</f>
        <v>10</v>
      </c>
      <c r="L10" s="234" cm="1">
        <f t="array" aca="1" ref="L10" ca="1">INDIRECT("Fixture!"&amp;J10)</f>
        <v>8</v>
      </c>
    </row>
    <row r="11" spans="1:12">
      <c r="A11" s="237">
        <v>10</v>
      </c>
      <c r="B11" s="238">
        <v>44888</v>
      </c>
      <c r="C11" s="237" t="s">
        <v>61</v>
      </c>
      <c r="D11" s="237" t="s">
        <v>62</v>
      </c>
      <c r="E11" s="237" t="s">
        <v>63</v>
      </c>
      <c r="F11" s="239">
        <v>0.79166666666666663</v>
      </c>
      <c r="G11" s="237" t="s">
        <v>20</v>
      </c>
      <c r="H11" s="237" t="s">
        <v>4</v>
      </c>
      <c r="I11" s="237" t="s">
        <v>64</v>
      </c>
      <c r="J11" s="237" t="s">
        <v>65</v>
      </c>
      <c r="K11" s="237" cm="1">
        <f t="array" aca="1" ref="K11" ca="1">INDIRECT("Fixture!"&amp;I11)</f>
        <v>5</v>
      </c>
      <c r="L11" s="237" cm="1">
        <f t="array" aca="1" ref="L11" ca="1">INDIRECT("Fixture!"&amp;J11)</f>
        <v>0</v>
      </c>
    </row>
    <row r="12" spans="1:12">
      <c r="A12" s="237">
        <v>11</v>
      </c>
      <c r="B12" s="238">
        <v>44888</v>
      </c>
      <c r="C12" s="237" t="s">
        <v>66</v>
      </c>
      <c r="D12" s="237" t="s">
        <v>67</v>
      </c>
      <c r="E12" s="237" t="s">
        <v>63</v>
      </c>
      <c r="F12" s="239">
        <v>0.66666666666666663</v>
      </c>
      <c r="G12" s="237" t="s">
        <v>26</v>
      </c>
      <c r="H12" s="237" t="s">
        <v>4</v>
      </c>
      <c r="I12" s="237" t="s">
        <v>68</v>
      </c>
      <c r="J12" s="237" t="s">
        <v>69</v>
      </c>
      <c r="K12" s="237" cm="1">
        <f t="array" aca="1" ref="K12" ca="1">INDIRECT("Fixture!"&amp;I12)</f>
        <v>9</v>
      </c>
      <c r="L12" s="237" cm="1">
        <f t="array" aca="1" ref="L12" ca="1">INDIRECT("Fixture!"&amp;J12)</f>
        <v>3</v>
      </c>
    </row>
    <row r="13" spans="1:12">
      <c r="A13" s="234">
        <v>12</v>
      </c>
      <c r="B13" s="235">
        <v>44888</v>
      </c>
      <c r="C13" s="234" t="s">
        <v>70</v>
      </c>
      <c r="D13" s="234" t="s">
        <v>71</v>
      </c>
      <c r="E13" s="234" t="s">
        <v>58</v>
      </c>
      <c r="F13" s="236">
        <v>0.54166666666666663</v>
      </c>
      <c r="G13" s="234" t="s">
        <v>15</v>
      </c>
      <c r="H13" s="234" t="s">
        <v>4</v>
      </c>
      <c r="I13" s="234" t="s">
        <v>72</v>
      </c>
      <c r="J13" s="234" t="s">
        <v>73</v>
      </c>
      <c r="K13" s="234" cm="1">
        <f t="array" aca="1" ref="K13" ca="1">INDIRECT("Fixture!"&amp;I13)</f>
        <v>1</v>
      </c>
      <c r="L13" s="234" cm="1">
        <f t="array" aca="1" ref="L13" ca="1">INDIRECT("Fixture!"&amp;J13)</f>
        <v>8</v>
      </c>
    </row>
    <row r="14" spans="1:12">
      <c r="A14" s="240">
        <v>13</v>
      </c>
      <c r="B14" s="241">
        <v>44889</v>
      </c>
      <c r="C14" s="240" t="s">
        <v>74</v>
      </c>
      <c r="D14" s="240" t="s">
        <v>75</v>
      </c>
      <c r="E14" s="240" t="s">
        <v>76</v>
      </c>
      <c r="F14" s="242">
        <v>0.54166666666666663</v>
      </c>
      <c r="G14" s="240" t="s">
        <v>37</v>
      </c>
      <c r="H14" s="240" t="s">
        <v>4</v>
      </c>
      <c r="I14" s="240" t="s">
        <v>77</v>
      </c>
      <c r="J14" s="240" t="s">
        <v>78</v>
      </c>
      <c r="K14" s="240" cm="1">
        <f t="array" aca="1" ref="K14" ca="1">INDIRECT("Fixture!"&amp;I14)</f>
        <v>1</v>
      </c>
      <c r="L14" s="240" cm="1">
        <f t="array" aca="1" ref="L14" ca="1">INDIRECT("Fixture!"&amp;J14)</f>
        <v>10</v>
      </c>
    </row>
    <row r="15" spans="1:12">
      <c r="A15" s="243">
        <v>14</v>
      </c>
      <c r="B15" s="244">
        <v>44889</v>
      </c>
      <c r="C15" s="243" t="s">
        <v>79</v>
      </c>
      <c r="D15" s="243" t="s">
        <v>80</v>
      </c>
      <c r="E15" s="243" t="s">
        <v>81</v>
      </c>
      <c r="F15" s="245">
        <v>0.66666666666666663</v>
      </c>
      <c r="G15" s="243" t="s">
        <v>42</v>
      </c>
      <c r="H15" s="243" t="s">
        <v>4</v>
      </c>
      <c r="I15" s="243" t="s">
        <v>82</v>
      </c>
      <c r="J15" s="243" t="s">
        <v>83</v>
      </c>
      <c r="K15" s="243" cm="1">
        <f t="array" aca="1" ref="K15" ca="1">INDIRECT("Fixture!"&amp;I15)</f>
        <v>7</v>
      </c>
      <c r="L15" s="243" cm="1">
        <f t="array" aca="1" ref="L15" ca="1">INDIRECT("Fixture!"&amp;J15)</f>
        <v>7</v>
      </c>
    </row>
    <row r="16" spans="1:12">
      <c r="A16" s="243">
        <v>15</v>
      </c>
      <c r="B16" s="244">
        <v>44889</v>
      </c>
      <c r="C16" s="243" t="s">
        <v>84</v>
      </c>
      <c r="D16" s="243" t="s">
        <v>85</v>
      </c>
      <c r="E16" s="243" t="s">
        <v>81</v>
      </c>
      <c r="F16" s="245">
        <v>0.79166666666666663</v>
      </c>
      <c r="G16" s="243" t="s">
        <v>48</v>
      </c>
      <c r="H16" s="243" t="s">
        <v>4</v>
      </c>
      <c r="I16" s="243" t="s">
        <v>86</v>
      </c>
      <c r="J16" s="243" t="s">
        <v>87</v>
      </c>
      <c r="K16" s="243" cm="1">
        <f t="array" aca="1" ref="K16" ca="1">INDIRECT("Fixture!"&amp;I16)</f>
        <v>9</v>
      </c>
      <c r="L16" s="243" cm="1">
        <f t="array" aca="1" ref="L16" ca="1">INDIRECT("Fixture!"&amp;J16)</f>
        <v>10</v>
      </c>
    </row>
    <row r="17" spans="1:12">
      <c r="A17" s="240">
        <v>16</v>
      </c>
      <c r="B17" s="241">
        <v>44889</v>
      </c>
      <c r="C17" s="240" t="s">
        <v>88</v>
      </c>
      <c r="D17" s="240" t="s">
        <v>89</v>
      </c>
      <c r="E17" s="240" t="s">
        <v>76</v>
      </c>
      <c r="F17" s="242">
        <v>0.91666666666666663</v>
      </c>
      <c r="G17" s="240" t="s">
        <v>53</v>
      </c>
      <c r="H17" s="240" t="s">
        <v>4</v>
      </c>
      <c r="I17" s="240" t="s">
        <v>90</v>
      </c>
      <c r="J17" s="240" t="s">
        <v>91</v>
      </c>
      <c r="K17" s="240" cm="1">
        <f t="array" aca="1" ref="K17" ca="1">INDIRECT("Fixture!"&amp;I17)</f>
        <v>3</v>
      </c>
      <c r="L17" s="240" cm="1">
        <f t="array" aca="1" ref="L17" ca="1">INDIRECT("Fixture!"&amp;J17)</f>
        <v>3</v>
      </c>
    </row>
    <row r="18" spans="1:12">
      <c r="A18" s="225">
        <v>17</v>
      </c>
      <c r="B18" s="226">
        <v>44890</v>
      </c>
      <c r="C18" s="225" t="s">
        <v>24</v>
      </c>
      <c r="D18" s="225" t="s">
        <v>30</v>
      </c>
      <c r="E18" s="225" t="s">
        <v>25</v>
      </c>
      <c r="F18" s="227">
        <v>0.54166666666666663</v>
      </c>
      <c r="G18" s="225" t="s">
        <v>31</v>
      </c>
      <c r="H18" s="225" t="s">
        <v>4</v>
      </c>
      <c r="I18" s="225" t="s">
        <v>92</v>
      </c>
      <c r="J18" s="225" t="s">
        <v>93</v>
      </c>
      <c r="K18" s="225" cm="1">
        <f t="array" aca="1" ref="K18" ca="1">INDIRECT("Fixture!"&amp;I18)</f>
        <v>4</v>
      </c>
      <c r="L18" s="225" cm="1">
        <f t="array" aca="1" ref="L18" ca="1">INDIRECT("Fixture!"&amp;J18)</f>
        <v>1</v>
      </c>
    </row>
    <row r="19" spans="1:12">
      <c r="A19" s="221">
        <v>18</v>
      </c>
      <c r="B19" s="222">
        <v>44890</v>
      </c>
      <c r="C19" s="221" t="s">
        <v>12</v>
      </c>
      <c r="D19" s="221" t="s">
        <v>18</v>
      </c>
      <c r="E19" s="221" t="s">
        <v>14</v>
      </c>
      <c r="F19" s="223">
        <v>0.66666666666666663</v>
      </c>
      <c r="G19" s="221" t="s">
        <v>20</v>
      </c>
      <c r="H19" s="221" t="s">
        <v>4</v>
      </c>
      <c r="I19" s="221" t="s">
        <v>94</v>
      </c>
      <c r="J19" s="221" t="s">
        <v>95</v>
      </c>
      <c r="K19" s="221" cm="1">
        <f t="array" aca="1" ref="K19" ca="1">INDIRECT("Fixture!"&amp;I19)</f>
        <v>4</v>
      </c>
      <c r="L19" s="221" cm="1">
        <f t="array" aca="1" ref="L19" ca="1">INDIRECT("Fixture!"&amp;J19)</f>
        <v>2</v>
      </c>
    </row>
    <row r="20" spans="1:12">
      <c r="A20" s="221">
        <v>19</v>
      </c>
      <c r="B20" s="222">
        <v>44890</v>
      </c>
      <c r="C20" s="221" t="s">
        <v>19</v>
      </c>
      <c r="D20" s="221" t="s">
        <v>13</v>
      </c>
      <c r="E20" s="221" t="s">
        <v>14</v>
      </c>
      <c r="F20" s="223">
        <v>0.79166666666666663</v>
      </c>
      <c r="G20" s="221" t="s">
        <v>26</v>
      </c>
      <c r="H20" s="221" t="s">
        <v>4</v>
      </c>
      <c r="I20" s="221" t="s">
        <v>96</v>
      </c>
      <c r="J20" s="221" t="s">
        <v>97</v>
      </c>
      <c r="K20" s="221" cm="1">
        <f t="array" aca="1" ref="K20" ca="1">INDIRECT("Fixture!"&amp;I20)</f>
        <v>7</v>
      </c>
      <c r="L20" s="221" cm="1">
        <f t="array" aca="1" ref="L20" ca="1">INDIRECT("Fixture!"&amp;J20)</f>
        <v>2</v>
      </c>
    </row>
    <row r="21" spans="1:12">
      <c r="A21" s="225">
        <v>20</v>
      </c>
      <c r="B21" s="226">
        <v>44890</v>
      </c>
      <c r="C21" s="225" t="s">
        <v>23</v>
      </c>
      <c r="D21" s="225" t="s">
        <v>29</v>
      </c>
      <c r="E21" s="225" t="s">
        <v>25</v>
      </c>
      <c r="F21" s="227">
        <v>0.91666666666666663</v>
      </c>
      <c r="G21" s="225" t="s">
        <v>15</v>
      </c>
      <c r="H21" s="225" t="s">
        <v>4</v>
      </c>
      <c r="I21" s="225" t="s">
        <v>98</v>
      </c>
      <c r="J21" s="225" t="s">
        <v>99</v>
      </c>
      <c r="K21" s="225" cm="1">
        <f t="array" aca="1" ref="K21" ca="1">INDIRECT("Fixture!"&amp;I21)</f>
        <v>10</v>
      </c>
      <c r="L21" s="225" cm="1">
        <f t="array" aca="1" ref="L21" ca="1">INDIRECT("Fixture!"&amp;J21)</f>
        <v>0</v>
      </c>
    </row>
    <row r="22" spans="1:12">
      <c r="A22" s="228">
        <v>21</v>
      </c>
      <c r="B22" s="229">
        <v>44891</v>
      </c>
      <c r="C22" s="228" t="s">
        <v>41</v>
      </c>
      <c r="D22" s="228" t="s">
        <v>35</v>
      </c>
      <c r="E22" s="228" t="s">
        <v>36</v>
      </c>
      <c r="F22" s="230">
        <v>0.54166666666666663</v>
      </c>
      <c r="G22" s="228" t="s">
        <v>37</v>
      </c>
      <c r="H22" s="228" t="s">
        <v>4</v>
      </c>
      <c r="I22" s="228" t="s">
        <v>100</v>
      </c>
      <c r="J22" s="228" t="s">
        <v>101</v>
      </c>
      <c r="K22" s="228" cm="1">
        <f t="array" aca="1" ref="K22" ca="1">INDIRECT("Fixture!"&amp;I22)</f>
        <v>0</v>
      </c>
      <c r="L22" s="228" cm="1">
        <f t="array" aca="1" ref="L22" ca="1">INDIRECT("Fixture!"&amp;J22)</f>
        <v>2</v>
      </c>
    </row>
    <row r="23" spans="1:12">
      <c r="A23" s="231">
        <v>22</v>
      </c>
      <c r="B23" s="232">
        <v>44891</v>
      </c>
      <c r="C23" s="231" t="s">
        <v>46</v>
      </c>
      <c r="D23" s="231" t="s">
        <v>52</v>
      </c>
      <c r="E23" s="231" t="s">
        <v>47</v>
      </c>
      <c r="F23" s="233">
        <v>0.66666666666666663</v>
      </c>
      <c r="G23" s="231" t="s">
        <v>42</v>
      </c>
      <c r="H23" s="231" t="s">
        <v>4</v>
      </c>
      <c r="I23" s="231" t="s">
        <v>102</v>
      </c>
      <c r="J23" s="231" t="s">
        <v>103</v>
      </c>
      <c r="K23" s="231" cm="1">
        <f t="array" aca="1" ref="K23" ca="1">INDIRECT("Fixture!"&amp;I23)</f>
        <v>7</v>
      </c>
      <c r="L23" s="231" cm="1">
        <f t="array" aca="1" ref="L23" ca="1">INDIRECT("Fixture!"&amp;J23)</f>
        <v>9</v>
      </c>
    </row>
    <row r="24" spans="1:12">
      <c r="A24" s="228">
        <v>23</v>
      </c>
      <c r="B24" s="229">
        <v>44891</v>
      </c>
      <c r="C24" s="228" t="s">
        <v>34</v>
      </c>
      <c r="D24" s="228" t="s">
        <v>40</v>
      </c>
      <c r="E24" s="228" t="s">
        <v>36</v>
      </c>
      <c r="F24" s="230">
        <v>0.79166666666666663</v>
      </c>
      <c r="G24" s="228" t="s">
        <v>48</v>
      </c>
      <c r="H24" s="228" t="s">
        <v>4</v>
      </c>
      <c r="I24" s="228" t="s">
        <v>104</v>
      </c>
      <c r="J24" s="228" t="s">
        <v>105</v>
      </c>
      <c r="K24" s="228" cm="1">
        <f t="array" aca="1" ref="K24" ca="1">INDIRECT("Fixture!"&amp;I24)</f>
        <v>2</v>
      </c>
      <c r="L24" s="228" cm="1">
        <f t="array" aca="1" ref="L24" ca="1">INDIRECT("Fixture!"&amp;J24)</f>
        <v>1</v>
      </c>
    </row>
    <row r="25" spans="1:12">
      <c r="A25" s="231">
        <v>24</v>
      </c>
      <c r="B25" s="232">
        <v>44891</v>
      </c>
      <c r="C25" s="231" t="s">
        <v>51</v>
      </c>
      <c r="D25" s="231" t="s">
        <v>45</v>
      </c>
      <c r="E25" s="231" t="s">
        <v>47</v>
      </c>
      <c r="F25" s="233">
        <v>0.91666666666666663</v>
      </c>
      <c r="G25" s="231" t="s">
        <v>53</v>
      </c>
      <c r="H25" s="231" t="s">
        <v>4</v>
      </c>
      <c r="I25" s="231" t="s">
        <v>106</v>
      </c>
      <c r="J25" s="231" t="s">
        <v>107</v>
      </c>
      <c r="K25" s="231" cm="1">
        <f t="array" aca="1" ref="K25" ca="1">INDIRECT("Fixture!"&amp;I25)</f>
        <v>9</v>
      </c>
      <c r="L25" s="231" cm="1">
        <f t="array" aca="1" ref="L25" ca="1">INDIRECT("Fixture!"&amp;J25)</f>
        <v>9</v>
      </c>
    </row>
    <row r="26" spans="1:12">
      <c r="A26" s="237">
        <v>25</v>
      </c>
      <c r="B26" s="238">
        <v>44892</v>
      </c>
      <c r="C26" s="237" t="s">
        <v>67</v>
      </c>
      <c r="D26" s="237" t="s">
        <v>62</v>
      </c>
      <c r="E26" s="237" t="s">
        <v>63</v>
      </c>
      <c r="F26" s="239">
        <v>0.54166666666666663</v>
      </c>
      <c r="G26" s="237" t="s">
        <v>31</v>
      </c>
      <c r="H26" s="237" t="s">
        <v>4</v>
      </c>
      <c r="I26" s="237" t="s">
        <v>108</v>
      </c>
      <c r="J26" s="237" t="s">
        <v>109</v>
      </c>
      <c r="K26" s="237" cm="1">
        <f t="array" aca="1" ref="K26" ca="1">INDIRECT("Fixture!"&amp;I26)</f>
        <v>9</v>
      </c>
      <c r="L26" s="237" cm="1">
        <f t="array" aca="1" ref="L26" ca="1">INDIRECT("Fixture!"&amp;J26)</f>
        <v>8</v>
      </c>
    </row>
    <row r="27" spans="1:12">
      <c r="A27" s="234">
        <v>26</v>
      </c>
      <c r="B27" s="235">
        <v>44892</v>
      </c>
      <c r="C27" s="234" t="s">
        <v>56</v>
      </c>
      <c r="D27" s="234" t="s">
        <v>70</v>
      </c>
      <c r="E27" s="234" t="s">
        <v>58</v>
      </c>
      <c r="F27" s="236">
        <v>0.66666666666666663</v>
      </c>
      <c r="G27" s="234" t="s">
        <v>20</v>
      </c>
      <c r="H27" s="234" t="s">
        <v>4</v>
      </c>
      <c r="I27" s="234" t="s">
        <v>110</v>
      </c>
      <c r="J27" s="234" t="s">
        <v>111</v>
      </c>
      <c r="K27" s="234" cm="1">
        <f t="array" aca="1" ref="K27" ca="1">INDIRECT("Fixture!"&amp;I27)</f>
        <v>2</v>
      </c>
      <c r="L27" s="234" cm="1">
        <f t="array" aca="1" ref="L27" ca="1">INDIRECT("Fixture!"&amp;J27)</f>
        <v>8</v>
      </c>
    </row>
    <row r="28" spans="1:12">
      <c r="A28" s="234">
        <v>27</v>
      </c>
      <c r="B28" s="235">
        <v>44892</v>
      </c>
      <c r="C28" s="234" t="s">
        <v>71</v>
      </c>
      <c r="D28" s="234" t="s">
        <v>57</v>
      </c>
      <c r="E28" s="234" t="s">
        <v>58</v>
      </c>
      <c r="F28" s="236">
        <v>0.79166666666666663</v>
      </c>
      <c r="G28" s="234" t="s">
        <v>26</v>
      </c>
      <c r="H28" s="234" t="s">
        <v>4</v>
      </c>
      <c r="I28" s="234" t="s">
        <v>112</v>
      </c>
      <c r="J28" s="234" t="s">
        <v>113</v>
      </c>
      <c r="K28" s="234" cm="1">
        <f t="array" aca="1" ref="K28" ca="1">INDIRECT("Fixture!"&amp;I28)</f>
        <v>0</v>
      </c>
      <c r="L28" s="234" cm="1">
        <f t="array" aca="1" ref="L28" ca="1">INDIRECT("Fixture!"&amp;J28)</f>
        <v>7</v>
      </c>
    </row>
    <row r="29" spans="1:12">
      <c r="A29" s="237">
        <v>28</v>
      </c>
      <c r="B29" s="238">
        <v>44892</v>
      </c>
      <c r="C29" s="237" t="s">
        <v>61</v>
      </c>
      <c r="D29" s="237" t="s">
        <v>66</v>
      </c>
      <c r="E29" s="237" t="s">
        <v>63</v>
      </c>
      <c r="F29" s="239">
        <v>0.91666666666666663</v>
      </c>
      <c r="G29" s="237" t="s">
        <v>15</v>
      </c>
      <c r="H29" s="237" t="s">
        <v>4</v>
      </c>
      <c r="I29" s="237" t="s">
        <v>114</v>
      </c>
      <c r="J29" s="237" t="s">
        <v>115</v>
      </c>
      <c r="K29" s="237" cm="1">
        <f t="array" aca="1" ref="K29" ca="1">INDIRECT("Fixture!"&amp;I29)</f>
        <v>9</v>
      </c>
      <c r="L29" s="237" cm="1">
        <f t="array" aca="1" ref="L29" ca="1">INDIRECT("Fixture!"&amp;J29)</f>
        <v>1</v>
      </c>
    </row>
    <row r="30" spans="1:12">
      <c r="A30" s="240">
        <v>29</v>
      </c>
      <c r="B30" s="241">
        <v>44893</v>
      </c>
      <c r="C30" s="240" t="s">
        <v>89</v>
      </c>
      <c r="D30" s="240" t="s">
        <v>75</v>
      </c>
      <c r="E30" s="240" t="s">
        <v>76</v>
      </c>
      <c r="F30" s="242">
        <v>0.54166666666666663</v>
      </c>
      <c r="G30" s="240" t="s">
        <v>37</v>
      </c>
      <c r="H30" s="240" t="s">
        <v>4</v>
      </c>
      <c r="I30" s="240" t="s">
        <v>116</v>
      </c>
      <c r="J30" s="240" t="s">
        <v>117</v>
      </c>
      <c r="K30" s="240" cm="1">
        <f t="array" aca="1" ref="K30" ca="1">INDIRECT("Fixture!"&amp;I30)</f>
        <v>9</v>
      </c>
      <c r="L30" s="240" cm="1">
        <f t="array" aca="1" ref="L30" ca="1">INDIRECT("Fixture!"&amp;J30)</f>
        <v>10</v>
      </c>
    </row>
    <row r="31" spans="1:12">
      <c r="A31" s="243">
        <v>30</v>
      </c>
      <c r="B31" s="244">
        <v>44893</v>
      </c>
      <c r="C31" s="243" t="s">
        <v>80</v>
      </c>
      <c r="D31" s="243" t="s">
        <v>85</v>
      </c>
      <c r="E31" s="243" t="s">
        <v>81</v>
      </c>
      <c r="F31" s="245">
        <v>0.66666666666666663</v>
      </c>
      <c r="G31" s="243" t="s">
        <v>42</v>
      </c>
      <c r="H31" s="243" t="s">
        <v>4</v>
      </c>
      <c r="I31" s="243" t="s">
        <v>118</v>
      </c>
      <c r="J31" s="243" t="s">
        <v>119</v>
      </c>
      <c r="K31" s="243" cm="1">
        <f t="array" aca="1" ref="K31" ca="1">INDIRECT("Fixture!"&amp;I31)</f>
        <v>3</v>
      </c>
      <c r="L31" s="243" cm="1">
        <f t="array" aca="1" ref="L31" ca="1">INDIRECT("Fixture!"&amp;J31)</f>
        <v>9</v>
      </c>
    </row>
    <row r="32" spans="1:12">
      <c r="A32" s="240">
        <v>31</v>
      </c>
      <c r="B32" s="241">
        <v>44893</v>
      </c>
      <c r="C32" s="240" t="s">
        <v>88</v>
      </c>
      <c r="D32" s="240" t="s">
        <v>74</v>
      </c>
      <c r="E32" s="240" t="s">
        <v>76</v>
      </c>
      <c r="F32" s="242">
        <v>0.79166666666666663</v>
      </c>
      <c r="G32" s="240" t="s">
        <v>48</v>
      </c>
      <c r="H32" s="240" t="s">
        <v>4</v>
      </c>
      <c r="I32" s="240" t="s">
        <v>120</v>
      </c>
      <c r="J32" s="240" t="s">
        <v>121</v>
      </c>
      <c r="K32" s="240" cm="1">
        <f t="array" aca="1" ref="K32" ca="1">INDIRECT("Fixture!"&amp;I32)</f>
        <v>1</v>
      </c>
      <c r="L32" s="240" cm="1">
        <f t="array" aca="1" ref="L32" ca="1">INDIRECT("Fixture!"&amp;J32)</f>
        <v>7</v>
      </c>
    </row>
    <row r="33" spans="1:12">
      <c r="A33" s="243">
        <v>32</v>
      </c>
      <c r="B33" s="244">
        <v>44893</v>
      </c>
      <c r="C33" s="243" t="s">
        <v>84</v>
      </c>
      <c r="D33" s="243" t="s">
        <v>79</v>
      </c>
      <c r="E33" s="243" t="s">
        <v>81</v>
      </c>
      <c r="F33" s="245">
        <v>0.91666666666666663</v>
      </c>
      <c r="G33" s="243" t="s">
        <v>53</v>
      </c>
      <c r="H33" s="243" t="s">
        <v>4</v>
      </c>
      <c r="I33" s="243" t="s">
        <v>122</v>
      </c>
      <c r="J33" s="243" t="s">
        <v>123</v>
      </c>
      <c r="K33" s="243" cm="1">
        <f t="array" aca="1" ref="K33" ca="1">INDIRECT("Fixture!"&amp;I33)</f>
        <v>10</v>
      </c>
      <c r="L33" s="243" cm="1">
        <f t="array" aca="1" ref="L33" ca="1">INDIRECT("Fixture!"&amp;J33)</f>
        <v>5</v>
      </c>
    </row>
    <row r="34" spans="1:12">
      <c r="A34" s="225">
        <v>33</v>
      </c>
      <c r="B34" s="226">
        <v>44894</v>
      </c>
      <c r="C34" s="225" t="s">
        <v>23</v>
      </c>
      <c r="D34" s="225" t="s">
        <v>30</v>
      </c>
      <c r="E34" s="225" t="s">
        <v>25</v>
      </c>
      <c r="F34" s="227">
        <v>0.91666666666666663</v>
      </c>
      <c r="G34" s="225" t="s">
        <v>31</v>
      </c>
      <c r="H34" s="225" t="s">
        <v>4</v>
      </c>
      <c r="I34" s="225" t="s">
        <v>124</v>
      </c>
      <c r="J34" s="225" t="s">
        <v>125</v>
      </c>
      <c r="K34" s="225" cm="1">
        <f t="array" aca="1" ref="K34" ca="1">INDIRECT("Fixture!"&amp;I34)</f>
        <v>5</v>
      </c>
      <c r="L34" s="225" cm="1">
        <f t="array" aca="1" ref="L34" ca="1">INDIRECT("Fixture!"&amp;J34)</f>
        <v>10</v>
      </c>
    </row>
    <row r="35" spans="1:12">
      <c r="A35" s="225">
        <v>34</v>
      </c>
      <c r="B35" s="226">
        <v>44894</v>
      </c>
      <c r="C35" s="225" t="s">
        <v>24</v>
      </c>
      <c r="D35" s="225" t="s">
        <v>29</v>
      </c>
      <c r="E35" s="225" t="s">
        <v>25</v>
      </c>
      <c r="F35" s="227">
        <v>0.91666666666666663</v>
      </c>
      <c r="G35" s="225" t="s">
        <v>20</v>
      </c>
      <c r="H35" s="225" t="s">
        <v>4</v>
      </c>
      <c r="I35" s="225" t="s">
        <v>126</v>
      </c>
      <c r="J35" s="225" t="s">
        <v>127</v>
      </c>
      <c r="K35" s="225" cm="1">
        <f t="array" aca="1" ref="K35" ca="1">INDIRECT("Fixture!"&amp;I35)</f>
        <v>2</v>
      </c>
      <c r="L35" s="225" cm="1">
        <f t="array" aca="1" ref="L35" ca="1">INDIRECT("Fixture!"&amp;J35)</f>
        <v>6</v>
      </c>
    </row>
    <row r="36" spans="1:12">
      <c r="A36" s="221">
        <v>35</v>
      </c>
      <c r="B36" s="222">
        <v>44894</v>
      </c>
      <c r="C36" s="221" t="s">
        <v>13</v>
      </c>
      <c r="D36" s="221" t="s">
        <v>18</v>
      </c>
      <c r="E36" s="221" t="s">
        <v>14</v>
      </c>
      <c r="F36" s="223">
        <v>0.75</v>
      </c>
      <c r="G36" s="221" t="s">
        <v>26</v>
      </c>
      <c r="H36" s="221" t="s">
        <v>4</v>
      </c>
      <c r="I36" s="221" t="s">
        <v>128</v>
      </c>
      <c r="J36" s="221" t="s">
        <v>129</v>
      </c>
      <c r="K36" s="221" cm="1">
        <f t="array" aca="1" ref="K36" ca="1">INDIRECT("Fixture!"&amp;I36)</f>
        <v>10</v>
      </c>
      <c r="L36" s="221" cm="1">
        <f t="array" aca="1" ref="L36" ca="1">INDIRECT("Fixture!"&amp;J36)</f>
        <v>3</v>
      </c>
    </row>
    <row r="37" spans="1:12">
      <c r="A37" s="221">
        <v>36</v>
      </c>
      <c r="B37" s="222">
        <v>44894</v>
      </c>
      <c r="C37" s="221" t="s">
        <v>19</v>
      </c>
      <c r="D37" s="221" t="s">
        <v>12</v>
      </c>
      <c r="E37" s="221" t="s">
        <v>14</v>
      </c>
      <c r="F37" s="223">
        <v>0.75</v>
      </c>
      <c r="G37" s="221" t="s">
        <v>15</v>
      </c>
      <c r="H37" s="221" t="s">
        <v>4</v>
      </c>
      <c r="I37" s="221" t="s">
        <v>130</v>
      </c>
      <c r="J37" s="221" t="s">
        <v>131</v>
      </c>
      <c r="K37" s="221" cm="1">
        <f t="array" aca="1" ref="K37" ca="1">INDIRECT("Fixture!"&amp;I37)</f>
        <v>3</v>
      </c>
      <c r="L37" s="221" cm="1">
        <f t="array" aca="1" ref="L37" ca="1">INDIRECT("Fixture!"&amp;J37)</f>
        <v>1</v>
      </c>
    </row>
    <row r="38" spans="1:12">
      <c r="A38" s="228">
        <v>37</v>
      </c>
      <c r="B38" s="229">
        <v>44895</v>
      </c>
      <c r="C38" s="228" t="s">
        <v>40</v>
      </c>
      <c r="D38" s="228" t="s">
        <v>35</v>
      </c>
      <c r="E38" s="228" t="s">
        <v>36</v>
      </c>
      <c r="F38" s="230">
        <v>0.75</v>
      </c>
      <c r="G38" s="228" t="s">
        <v>37</v>
      </c>
      <c r="H38" s="228" t="s">
        <v>4</v>
      </c>
      <c r="I38" s="228" t="s">
        <v>132</v>
      </c>
      <c r="J38" s="228" t="s">
        <v>133</v>
      </c>
      <c r="K38" s="228" cm="1">
        <f t="array" aca="1" ref="K38" ca="1">INDIRECT("Fixture!"&amp;I38)</f>
        <v>6</v>
      </c>
      <c r="L38" s="228" cm="1">
        <f t="array" aca="1" ref="L38" ca="1">INDIRECT("Fixture!"&amp;J38)</f>
        <v>6</v>
      </c>
    </row>
    <row r="39" spans="1:12">
      <c r="A39" s="228">
        <v>38</v>
      </c>
      <c r="B39" s="229">
        <v>44895</v>
      </c>
      <c r="C39" s="228" t="s">
        <v>41</v>
      </c>
      <c r="D39" s="228" t="s">
        <v>34</v>
      </c>
      <c r="E39" s="228" t="s">
        <v>36</v>
      </c>
      <c r="F39" s="230">
        <v>0.75</v>
      </c>
      <c r="G39" s="228" t="s">
        <v>42</v>
      </c>
      <c r="H39" s="228" t="s">
        <v>4</v>
      </c>
      <c r="I39" s="228" t="s">
        <v>134</v>
      </c>
      <c r="J39" s="228" t="s">
        <v>135</v>
      </c>
      <c r="K39" s="228" cm="1">
        <f t="array" aca="1" ref="K39" ca="1">INDIRECT("Fixture!"&amp;I39)</f>
        <v>4</v>
      </c>
      <c r="L39" s="228" cm="1">
        <f t="array" aca="1" ref="L39" ca="1">INDIRECT("Fixture!"&amp;J39)</f>
        <v>6</v>
      </c>
    </row>
    <row r="40" spans="1:12">
      <c r="A40" s="231">
        <v>39</v>
      </c>
      <c r="B40" s="232">
        <v>44895</v>
      </c>
      <c r="C40" s="231" t="s">
        <v>46</v>
      </c>
      <c r="D40" s="231" t="s">
        <v>51</v>
      </c>
      <c r="E40" s="231" t="s">
        <v>47</v>
      </c>
      <c r="F40" s="233">
        <v>0.91666666666666663</v>
      </c>
      <c r="G40" s="231" t="s">
        <v>48</v>
      </c>
      <c r="H40" s="231" t="s">
        <v>4</v>
      </c>
      <c r="I40" s="231" t="s">
        <v>136</v>
      </c>
      <c r="J40" s="231" t="s">
        <v>137</v>
      </c>
      <c r="K40" s="231" cm="1">
        <f t="array" aca="1" ref="K40" ca="1">INDIRECT("Fixture!"&amp;I40)</f>
        <v>3</v>
      </c>
      <c r="L40" s="231" cm="1">
        <f t="array" aca="1" ref="L40" ca="1">INDIRECT("Fixture!"&amp;J40)</f>
        <v>1</v>
      </c>
    </row>
    <row r="41" spans="1:12">
      <c r="A41" s="231">
        <v>40</v>
      </c>
      <c r="B41" s="232">
        <v>44895</v>
      </c>
      <c r="C41" s="231" t="s">
        <v>52</v>
      </c>
      <c r="D41" s="231" t="s">
        <v>45</v>
      </c>
      <c r="E41" s="231" t="s">
        <v>47</v>
      </c>
      <c r="F41" s="233">
        <v>0.91666666666666663</v>
      </c>
      <c r="G41" s="231" t="s">
        <v>53</v>
      </c>
      <c r="H41" s="231" t="s">
        <v>4</v>
      </c>
      <c r="I41" s="231" t="s">
        <v>138</v>
      </c>
      <c r="J41" s="231" t="s">
        <v>139</v>
      </c>
      <c r="K41" s="231" cm="1">
        <f t="array" aca="1" ref="K41" ca="1">INDIRECT("Fixture!"&amp;I41)</f>
        <v>1</v>
      </c>
      <c r="L41" s="231" cm="1">
        <f t="array" aca="1" ref="L41" ca="1">INDIRECT("Fixture!"&amp;J41)</f>
        <v>4</v>
      </c>
    </row>
    <row r="42" spans="1:12">
      <c r="A42" s="234">
        <v>41</v>
      </c>
      <c r="B42" s="235">
        <v>44896</v>
      </c>
      <c r="C42" s="234" t="s">
        <v>71</v>
      </c>
      <c r="D42" s="234" t="s">
        <v>56</v>
      </c>
      <c r="E42" s="234" t="s">
        <v>58</v>
      </c>
      <c r="F42" s="236">
        <v>0.75</v>
      </c>
      <c r="G42" s="234" t="s">
        <v>31</v>
      </c>
      <c r="H42" s="234" t="s">
        <v>4</v>
      </c>
      <c r="I42" s="234" t="s">
        <v>140</v>
      </c>
      <c r="J42" s="234" t="s">
        <v>141</v>
      </c>
      <c r="K42" s="234" cm="1">
        <f t="array" aca="1" ref="K42" ca="1">INDIRECT("Fixture!"&amp;I42)</f>
        <v>7</v>
      </c>
      <c r="L42" s="234" cm="1">
        <f t="array" aca="1" ref="L42" ca="1">INDIRECT("Fixture!"&amp;J42)</f>
        <v>3</v>
      </c>
    </row>
    <row r="43" spans="1:12">
      <c r="A43" s="234">
        <v>42</v>
      </c>
      <c r="B43" s="235">
        <v>44896</v>
      </c>
      <c r="C43" s="234" t="s">
        <v>57</v>
      </c>
      <c r="D43" s="234" t="s">
        <v>70</v>
      </c>
      <c r="E43" s="234" t="s">
        <v>58</v>
      </c>
      <c r="F43" s="236">
        <v>0.75</v>
      </c>
      <c r="G43" s="234" t="s">
        <v>20</v>
      </c>
      <c r="H43" s="234" t="s">
        <v>4</v>
      </c>
      <c r="I43" s="234" t="s">
        <v>142</v>
      </c>
      <c r="J43" s="234" t="s">
        <v>143</v>
      </c>
      <c r="K43" s="234" cm="1">
        <f t="array" aca="1" ref="K43" ca="1">INDIRECT("Fixture!"&amp;I43)</f>
        <v>4</v>
      </c>
      <c r="L43" s="234" cm="1">
        <f t="array" aca="1" ref="L43" ca="1">INDIRECT("Fixture!"&amp;J43)</f>
        <v>0</v>
      </c>
    </row>
    <row r="44" spans="1:12">
      <c r="A44" s="237">
        <v>43</v>
      </c>
      <c r="B44" s="238">
        <v>44896</v>
      </c>
      <c r="C44" s="237" t="s">
        <v>67</v>
      </c>
      <c r="D44" s="237" t="s">
        <v>61</v>
      </c>
      <c r="E44" s="237" t="s">
        <v>63</v>
      </c>
      <c r="F44" s="239">
        <v>0.91666666666666663</v>
      </c>
      <c r="G44" s="237" t="s">
        <v>26</v>
      </c>
      <c r="H44" s="237" t="s">
        <v>4</v>
      </c>
      <c r="I44" s="237" t="s">
        <v>144</v>
      </c>
      <c r="J44" s="237" t="s">
        <v>145</v>
      </c>
      <c r="K44" s="237" cm="1">
        <f t="array" aca="1" ref="K44" ca="1">INDIRECT("Fixture!"&amp;I44)</f>
        <v>10</v>
      </c>
      <c r="L44" s="237" cm="1">
        <f t="array" aca="1" ref="L44" ca="1">INDIRECT("Fixture!"&amp;J44)</f>
        <v>8</v>
      </c>
    </row>
    <row r="45" spans="1:12">
      <c r="A45" s="237">
        <v>44</v>
      </c>
      <c r="B45" s="238">
        <v>44896</v>
      </c>
      <c r="C45" s="237" t="s">
        <v>62</v>
      </c>
      <c r="D45" s="237" t="s">
        <v>66</v>
      </c>
      <c r="E45" s="237" t="s">
        <v>63</v>
      </c>
      <c r="F45" s="239">
        <v>0.91666666666666663</v>
      </c>
      <c r="G45" s="237" t="s">
        <v>15</v>
      </c>
      <c r="H45" s="237" t="s">
        <v>4</v>
      </c>
      <c r="I45" s="237" t="s">
        <v>146</v>
      </c>
      <c r="J45" s="237" t="s">
        <v>147</v>
      </c>
      <c r="K45" s="237" cm="1">
        <f t="array" aca="1" ref="K45" ca="1">INDIRECT("Fixture!"&amp;I45)</f>
        <v>9</v>
      </c>
      <c r="L45" s="237" cm="1">
        <f t="array" aca="1" ref="L45" ca="1">INDIRECT("Fixture!"&amp;J45)</f>
        <v>6</v>
      </c>
    </row>
    <row r="46" spans="1:12">
      <c r="A46" s="243">
        <v>45</v>
      </c>
      <c r="B46" s="244">
        <v>44897</v>
      </c>
      <c r="C46" s="243" t="s">
        <v>85</v>
      </c>
      <c r="D46" s="243" t="s">
        <v>79</v>
      </c>
      <c r="E46" s="243" t="s">
        <v>81</v>
      </c>
      <c r="F46" s="245">
        <v>0.75</v>
      </c>
      <c r="G46" s="243" t="s">
        <v>37</v>
      </c>
      <c r="H46" s="243" t="s">
        <v>4</v>
      </c>
      <c r="I46" s="243" t="s">
        <v>148</v>
      </c>
      <c r="J46" s="243" t="s">
        <v>149</v>
      </c>
      <c r="K46" s="243" cm="1">
        <f t="array" aca="1" ref="K46" ca="1">INDIRECT("Fixture!"&amp;I46)</f>
        <v>8</v>
      </c>
      <c r="L46" s="243" cm="1">
        <f t="array" aca="1" ref="L46" ca="1">INDIRECT("Fixture!"&amp;J46)</f>
        <v>1</v>
      </c>
    </row>
    <row r="47" spans="1:12">
      <c r="A47" s="243">
        <v>46</v>
      </c>
      <c r="B47" s="244">
        <v>44897</v>
      </c>
      <c r="C47" s="243" t="s">
        <v>80</v>
      </c>
      <c r="D47" s="243" t="s">
        <v>84</v>
      </c>
      <c r="E47" s="243" t="s">
        <v>81</v>
      </c>
      <c r="F47" s="245">
        <v>0.75</v>
      </c>
      <c r="G47" s="243" t="s">
        <v>42</v>
      </c>
      <c r="H47" s="243" t="s">
        <v>4</v>
      </c>
      <c r="I47" s="243" t="s">
        <v>150</v>
      </c>
      <c r="J47" s="243" t="s">
        <v>151</v>
      </c>
      <c r="K47" s="243" cm="1">
        <f t="array" aca="1" ref="K47" ca="1">INDIRECT("Fixture!"&amp;I47)</f>
        <v>9</v>
      </c>
      <c r="L47" s="243" cm="1">
        <f t="array" aca="1" ref="L47" ca="1">INDIRECT("Fixture!"&amp;J47)</f>
        <v>7</v>
      </c>
    </row>
    <row r="48" spans="1:12">
      <c r="A48" s="240">
        <v>47</v>
      </c>
      <c r="B48" s="241">
        <v>44897</v>
      </c>
      <c r="C48" s="240" t="s">
        <v>89</v>
      </c>
      <c r="D48" s="240" t="s">
        <v>74</v>
      </c>
      <c r="E48" s="240" t="s">
        <v>76</v>
      </c>
      <c r="F48" s="242">
        <v>0.91666666666666663</v>
      </c>
      <c r="G48" s="240" t="s">
        <v>48</v>
      </c>
      <c r="H48" s="240" t="s">
        <v>4</v>
      </c>
      <c r="I48" s="240" t="s">
        <v>152</v>
      </c>
      <c r="J48" s="240" t="s">
        <v>153</v>
      </c>
      <c r="K48" s="240" cm="1">
        <f t="array" aca="1" ref="K48" ca="1">INDIRECT("Fixture!"&amp;I48)</f>
        <v>3</v>
      </c>
      <c r="L48" s="240" cm="1">
        <f t="array" aca="1" ref="L48" ca="1">INDIRECT("Fixture!"&amp;J48)</f>
        <v>2</v>
      </c>
    </row>
    <row r="49" spans="1:12">
      <c r="A49" s="240">
        <v>48</v>
      </c>
      <c r="B49" s="241">
        <v>44897</v>
      </c>
      <c r="C49" s="240" t="s">
        <v>88</v>
      </c>
      <c r="D49" s="240" t="s">
        <v>75</v>
      </c>
      <c r="E49" s="240" t="s">
        <v>76</v>
      </c>
      <c r="F49" s="242">
        <v>0.91666666666666663</v>
      </c>
      <c r="G49" s="240" t="s">
        <v>53</v>
      </c>
      <c r="H49" s="240" t="s">
        <v>4</v>
      </c>
      <c r="I49" s="240" t="s">
        <v>154</v>
      </c>
      <c r="J49" s="240" t="s">
        <v>155</v>
      </c>
      <c r="K49" s="240" cm="1">
        <f t="array" aca="1" ref="K49" ca="1">INDIRECT("Fixture!"&amp;I49)</f>
        <v>1</v>
      </c>
      <c r="L49" s="240" cm="1">
        <f t="array" aca="1" ref="L49" ca="1">INDIRECT("Fixture!"&amp;J49)</f>
        <v>3</v>
      </c>
    </row>
    <row r="50" spans="1:12">
      <c r="A50">
        <v>49</v>
      </c>
      <c r="B50" s="246">
        <v>44898</v>
      </c>
      <c r="C50" t="s">
        <v>156</v>
      </c>
      <c r="D50" t="s">
        <v>157</v>
      </c>
      <c r="F50" s="247">
        <v>0.75</v>
      </c>
      <c r="G50" t="s">
        <v>26</v>
      </c>
      <c r="H50" t="s">
        <v>158</v>
      </c>
      <c r="I50" t="s">
        <v>159</v>
      </c>
      <c r="J50" t="s">
        <v>160</v>
      </c>
      <c r="K50" cm="1">
        <f t="array" aca="1" ref="K50" ca="1">INDIRECT("Fixture!"&amp;I50)</f>
        <v>2</v>
      </c>
      <c r="L50" cm="1">
        <f t="array" aca="1" ref="L50" ca="1">INDIRECT("Fixture!"&amp;J50)</f>
        <v>3</v>
      </c>
    </row>
    <row r="51" spans="1:12">
      <c r="A51">
        <v>50</v>
      </c>
      <c r="B51" s="246">
        <v>44898</v>
      </c>
      <c r="C51" t="s">
        <v>161</v>
      </c>
      <c r="D51" t="s">
        <v>162</v>
      </c>
      <c r="F51" s="247">
        <v>0.91666666666666663</v>
      </c>
      <c r="G51" t="s">
        <v>31</v>
      </c>
      <c r="H51" t="s">
        <v>158</v>
      </c>
      <c r="I51" t="s">
        <v>163</v>
      </c>
      <c r="J51" t="s">
        <v>164</v>
      </c>
      <c r="K51" cm="1">
        <f t="array" aca="1" ref="K51" ca="1">INDIRECT("Fixture!"&amp;I51)</f>
        <v>4</v>
      </c>
      <c r="L51" cm="1">
        <f t="array" aca="1" ref="L51" ca="1">INDIRECT("Fixture!"&amp;J51)</f>
        <v>4</v>
      </c>
    </row>
    <row r="52" spans="1:12">
      <c r="A52">
        <v>51</v>
      </c>
      <c r="B52" s="246">
        <v>44899</v>
      </c>
      <c r="C52" t="s">
        <v>165</v>
      </c>
      <c r="D52" t="s">
        <v>166</v>
      </c>
      <c r="F52" s="247">
        <v>0.91666666666666663</v>
      </c>
      <c r="G52" t="s">
        <v>15</v>
      </c>
      <c r="H52" t="s">
        <v>158</v>
      </c>
      <c r="I52" t="s">
        <v>167</v>
      </c>
      <c r="J52" t="s">
        <v>168</v>
      </c>
      <c r="K52" cm="1">
        <f t="array" aca="1" ref="K52" ca="1">INDIRECT("Fixture!"&amp;I52)</f>
        <v>0</v>
      </c>
      <c r="L52" cm="1">
        <f t="array" aca="1" ref="L52" ca="1">INDIRECT("Fixture!"&amp;J52)</f>
        <v>0</v>
      </c>
    </row>
    <row r="53" spans="1:12">
      <c r="A53">
        <v>52</v>
      </c>
      <c r="B53" s="246">
        <v>44899</v>
      </c>
      <c r="C53" t="s">
        <v>169</v>
      </c>
      <c r="D53" t="s">
        <v>170</v>
      </c>
      <c r="F53" s="247">
        <v>0.75</v>
      </c>
      <c r="G53" t="s">
        <v>20</v>
      </c>
      <c r="H53" t="s">
        <v>158</v>
      </c>
      <c r="I53" t="s">
        <v>171</v>
      </c>
      <c r="J53" t="s">
        <v>172</v>
      </c>
      <c r="K53" cm="1">
        <f t="array" aca="1" ref="K53" ca="1">INDIRECT("Fixture!"&amp;I53)</f>
        <v>0</v>
      </c>
      <c r="L53" cm="1">
        <f t="array" aca="1" ref="L53" ca="1">INDIRECT("Fixture!"&amp;J53)</f>
        <v>4</v>
      </c>
    </row>
    <row r="54" spans="1:12">
      <c r="A54">
        <v>53</v>
      </c>
      <c r="B54" s="246">
        <v>44900</v>
      </c>
      <c r="C54" t="s">
        <v>173</v>
      </c>
      <c r="D54" t="s">
        <v>174</v>
      </c>
      <c r="F54" s="247">
        <v>0.75</v>
      </c>
      <c r="G54" t="s">
        <v>37</v>
      </c>
      <c r="H54" t="s">
        <v>158</v>
      </c>
      <c r="I54" t="s">
        <v>175</v>
      </c>
      <c r="J54" t="s">
        <v>176</v>
      </c>
      <c r="K54" cm="1">
        <f t="array" aca="1" ref="K54" ca="1">INDIRECT("Fixture!"&amp;I54)</f>
        <v>1</v>
      </c>
      <c r="L54" t="str" cm="1">
        <f t="array" aca="1" ref="L54" ca="1">INDIRECT("Fixture!"&amp;J54)</f>
        <v/>
      </c>
    </row>
    <row r="55" spans="1:12">
      <c r="A55">
        <v>54</v>
      </c>
      <c r="B55" s="246">
        <v>44900</v>
      </c>
      <c r="C55" t="s">
        <v>177</v>
      </c>
      <c r="D55" t="s">
        <v>178</v>
      </c>
      <c r="F55" s="247">
        <v>0.91666666666666663</v>
      </c>
      <c r="G55" t="s">
        <v>48</v>
      </c>
      <c r="H55" t="s">
        <v>158</v>
      </c>
      <c r="I55" t="s">
        <v>179</v>
      </c>
      <c r="J55" t="s">
        <v>180</v>
      </c>
      <c r="K55" t="str" cm="1">
        <f t="array" aca="1" ref="K55" ca="1">INDIRECT("Fixture!"&amp;I55)</f>
        <v/>
      </c>
      <c r="L55" t="str" cm="1">
        <f t="array" aca="1" ref="L55" ca="1">INDIRECT("Fixture!"&amp;J55)</f>
        <v/>
      </c>
    </row>
    <row r="56" spans="1:12">
      <c r="A56">
        <v>55</v>
      </c>
      <c r="B56" s="246">
        <v>44901</v>
      </c>
      <c r="C56" t="s">
        <v>181</v>
      </c>
      <c r="D56" t="s">
        <v>182</v>
      </c>
      <c r="F56" s="247">
        <v>0.75</v>
      </c>
      <c r="G56" t="s">
        <v>42</v>
      </c>
      <c r="H56" t="s">
        <v>158</v>
      </c>
      <c r="I56" t="s">
        <v>183</v>
      </c>
      <c r="J56" t="s">
        <v>184</v>
      </c>
      <c r="K56" t="str" cm="1">
        <f t="array" aca="1" ref="K56" ca="1">INDIRECT("Fixture!"&amp;I56)</f>
        <v/>
      </c>
      <c r="L56" t="str" cm="1">
        <f t="array" aca="1" ref="L56" ca="1">INDIRECT("Fixture!"&amp;J56)</f>
        <v/>
      </c>
    </row>
    <row r="57" spans="1:12">
      <c r="A57">
        <v>56</v>
      </c>
      <c r="B57" s="246">
        <v>44901</v>
      </c>
      <c r="C57" t="s">
        <v>185</v>
      </c>
      <c r="D57" t="s">
        <v>186</v>
      </c>
      <c r="F57" s="247">
        <v>0.91666666666666663</v>
      </c>
      <c r="G57" t="s">
        <v>53</v>
      </c>
      <c r="H57" t="s">
        <v>158</v>
      </c>
      <c r="I57" t="s">
        <v>187</v>
      </c>
      <c r="J57" t="s">
        <v>188</v>
      </c>
      <c r="K57" t="str" cm="1">
        <f t="array" aca="1" ref="K57" ca="1">INDIRECT("Fixture!"&amp;I57)</f>
        <v/>
      </c>
      <c r="L57" t="str" cm="1">
        <f t="array" aca="1" ref="L57" ca="1">INDIRECT("Fixture!"&amp;J57)</f>
        <v/>
      </c>
    </row>
    <row r="58" spans="1:12">
      <c r="A58">
        <v>57</v>
      </c>
      <c r="B58" s="246">
        <v>44904</v>
      </c>
      <c r="C58" t="s">
        <v>189</v>
      </c>
      <c r="D58" t="s">
        <v>190</v>
      </c>
      <c r="F58" s="247">
        <v>0.91666666666666663</v>
      </c>
      <c r="G58" t="s">
        <v>53</v>
      </c>
      <c r="H58" t="s">
        <v>191</v>
      </c>
      <c r="I58" t="s">
        <v>192</v>
      </c>
      <c r="J58" t="s">
        <v>193</v>
      </c>
      <c r="K58" t="str" cm="1">
        <f t="array" aca="1" ref="K58" ca="1">INDIRECT("Fixture!"&amp;I58)</f>
        <v/>
      </c>
      <c r="L58" t="str" cm="1">
        <f t="array" aca="1" ref="L58" ca="1">INDIRECT("Fixture!"&amp;J58)</f>
        <v/>
      </c>
    </row>
    <row r="59" spans="1:12">
      <c r="A59">
        <v>58</v>
      </c>
      <c r="B59" s="246">
        <v>44904</v>
      </c>
      <c r="C59" t="s">
        <v>194</v>
      </c>
      <c r="D59" t="s">
        <v>195</v>
      </c>
      <c r="F59" s="247">
        <v>0.75</v>
      </c>
      <c r="G59" t="s">
        <v>42</v>
      </c>
      <c r="H59" t="s">
        <v>191</v>
      </c>
      <c r="I59" t="s">
        <v>196</v>
      </c>
      <c r="J59" t="s">
        <v>197</v>
      </c>
      <c r="K59" t="str" cm="1">
        <f t="array" aca="1" ref="K59" ca="1">INDIRECT("Fixture!"&amp;I59)</f>
        <v/>
      </c>
      <c r="L59" t="str" cm="1">
        <f t="array" aca="1" ref="L59" ca="1">INDIRECT("Fixture!"&amp;J59)</f>
        <v/>
      </c>
    </row>
    <row r="60" spans="1:12">
      <c r="A60">
        <v>59</v>
      </c>
      <c r="B60" s="246">
        <v>44905</v>
      </c>
      <c r="C60" t="s">
        <v>198</v>
      </c>
      <c r="D60" t="s">
        <v>199</v>
      </c>
      <c r="F60" s="247">
        <v>0.91666666666666663</v>
      </c>
      <c r="G60" t="s">
        <v>15</v>
      </c>
      <c r="H60" t="s">
        <v>191</v>
      </c>
      <c r="I60" t="s">
        <v>200</v>
      </c>
      <c r="J60" t="s">
        <v>201</v>
      </c>
      <c r="K60" t="str" cm="1">
        <f t="array" aca="1" ref="K60" ca="1">INDIRECT("Fixture!"&amp;I60)</f>
        <v/>
      </c>
      <c r="L60" t="str" cm="1">
        <f t="array" aca="1" ref="L60" ca="1">INDIRECT("Fixture!"&amp;J60)</f>
        <v/>
      </c>
    </row>
    <row r="61" spans="1:12">
      <c r="A61">
        <v>60</v>
      </c>
      <c r="B61" s="246">
        <v>44905</v>
      </c>
      <c r="C61" t="s">
        <v>202</v>
      </c>
      <c r="D61" t="s">
        <v>203</v>
      </c>
      <c r="F61" s="247">
        <v>0.75</v>
      </c>
      <c r="G61" t="s">
        <v>20</v>
      </c>
      <c r="H61" t="s">
        <v>191</v>
      </c>
      <c r="I61" t="s">
        <v>204</v>
      </c>
      <c r="J61" t="s">
        <v>205</v>
      </c>
      <c r="K61" t="str" cm="1">
        <f t="array" aca="1" ref="K61" ca="1">INDIRECT("Fixture!"&amp;I61)</f>
        <v/>
      </c>
      <c r="L61" t="str" cm="1">
        <f t="array" aca="1" ref="L61" ca="1">INDIRECT("Fixture!"&amp;J61)</f>
        <v/>
      </c>
    </row>
    <row r="62" spans="1:12">
      <c r="A62">
        <v>61</v>
      </c>
      <c r="B62" s="246">
        <v>44908</v>
      </c>
      <c r="C62" t="s">
        <v>206</v>
      </c>
      <c r="D62" t="s">
        <v>207</v>
      </c>
      <c r="F62" s="247">
        <v>0.91666666666666663</v>
      </c>
      <c r="G62" t="s">
        <v>53</v>
      </c>
      <c r="H62" t="s">
        <v>208</v>
      </c>
      <c r="I62" t="s">
        <v>209</v>
      </c>
      <c r="J62" t="s">
        <v>210</v>
      </c>
      <c r="K62" t="str" cm="1">
        <f t="array" aca="1" ref="K62" ca="1">INDIRECT("Fixture!"&amp;I62)</f>
        <v/>
      </c>
      <c r="L62" t="str" cm="1">
        <f t="array" aca="1" ref="L62" ca="1">INDIRECT("Fixture!"&amp;J62)</f>
        <v/>
      </c>
    </row>
    <row r="63" spans="1:12">
      <c r="A63">
        <v>62</v>
      </c>
      <c r="B63" s="246">
        <v>44909</v>
      </c>
      <c r="C63" t="s">
        <v>211</v>
      </c>
      <c r="D63" t="s">
        <v>212</v>
      </c>
      <c r="F63" s="247">
        <v>0.91666666666666663</v>
      </c>
      <c r="G63" t="s">
        <v>15</v>
      </c>
      <c r="H63" t="s">
        <v>208</v>
      </c>
      <c r="I63" t="s">
        <v>213</v>
      </c>
      <c r="J63" t="s">
        <v>214</v>
      </c>
      <c r="K63" t="str" cm="1">
        <f t="array" aca="1" ref="K63" ca="1">INDIRECT("Fixture!"&amp;I63)</f>
        <v/>
      </c>
      <c r="L63" t="str" cm="1">
        <f t="array" aca="1" ref="L63" ca="1">INDIRECT("Fixture!"&amp;J63)</f>
        <v/>
      </c>
    </row>
    <row r="64" spans="1:12">
      <c r="A64">
        <v>63</v>
      </c>
      <c r="B64" s="246">
        <v>44912</v>
      </c>
      <c r="C64" t="s">
        <v>215</v>
      </c>
      <c r="D64" t="s">
        <v>216</v>
      </c>
      <c r="F64" s="247">
        <v>0.75</v>
      </c>
      <c r="G64" t="s">
        <v>26</v>
      </c>
      <c r="H64" t="s">
        <v>217</v>
      </c>
      <c r="I64" t="s">
        <v>218</v>
      </c>
      <c r="J64" t="s">
        <v>219</v>
      </c>
      <c r="K64" t="str" cm="1">
        <f t="array" aca="1" ref="K64" ca="1">INDIRECT("Fixture!"&amp;I64)</f>
        <v/>
      </c>
      <c r="L64" t="str" cm="1">
        <f t="array" aca="1" ref="L64" ca="1">INDIRECT("Fixture!"&amp;J64)</f>
        <v/>
      </c>
    </row>
    <row r="65" spans="1:12">
      <c r="A65">
        <v>64</v>
      </c>
      <c r="B65" s="246">
        <v>44913</v>
      </c>
      <c r="C65" t="s">
        <v>220</v>
      </c>
      <c r="D65" t="s">
        <v>221</v>
      </c>
      <c r="F65" s="247">
        <v>0.75</v>
      </c>
      <c r="G65" t="s">
        <v>53</v>
      </c>
      <c r="H65" t="s">
        <v>222</v>
      </c>
      <c r="I65" t="s">
        <v>223</v>
      </c>
      <c r="J65" t="s">
        <v>224</v>
      </c>
      <c r="K65" t="str" cm="1">
        <f t="array" aca="1" ref="K65" ca="1">INDIRECT("Fixture!"&amp;I65)</f>
        <v/>
      </c>
      <c r="L65" t="str" cm="1">
        <f t="array" aca="1" ref="L65" ca="1">INDIRECT("Fixture!"&amp;J65)</f>
        <v/>
      </c>
    </row>
  </sheetData>
  <sheetProtection selectLockedCells="1" selectUnlockedCells="1"/>
  <customSheetViews>
    <customSheetView guid="{387210E2-BDFB-42E5-A6C7-A37C9701EAB6}" showGridLines="0" showRowCol="0" outlineSymbols="0">
      <selection activeCell="K24" sqref="K24"/>
      <pageMargins left="0" right="0" top="0" bottom="0" header="0" footer="0"/>
      <pageSetup paperSize="9" orientation="portrait" horizontalDpi="300" verticalDpi="300" r:id="rId1"/>
      <headerFooter alignWithMargins="0"/>
    </customSheetView>
    <customSheetView guid="{E2621C8A-2AE3-484D-B751-B92E60BB88F8}" showGridLines="0" showRowCol="0" outlineSymbols="0">
      <selection activeCell="K24" sqref="K24"/>
      <pageMargins left="0" right="0" top="0" bottom="0" header="0" footer="0"/>
      <pageSetup paperSize="9" orientation="portrait" horizontalDpi="300" verticalDpi="300" r:id="rId2"/>
      <headerFooter alignWithMargins="0"/>
    </customSheetView>
  </customSheetViews>
  <phoneticPr fontId="6" type="noConversion"/>
  <pageMargins left="0.75" right="0.75" top="1" bottom="1" header="0" footer="0"/>
  <pageSetup paperSize="9" orientation="portrait" horizontalDpi="300" verticalDpi="300"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indexed="52"/>
    <pageSetUpPr fitToPage="1"/>
  </sheetPr>
  <dimension ref="A1:X31"/>
  <sheetViews>
    <sheetView showGridLines="0" showRowColHeaders="0" showOutlineSymbols="0" zoomScale="90" zoomScaleNormal="90" workbookViewId="0">
      <selection activeCell="E6" sqref="E6:E11"/>
    </sheetView>
  </sheetViews>
  <sheetFormatPr defaultColWidth="11.42578125" defaultRowHeight="12.6"/>
  <cols>
    <col min="1" max="1" width="2.7109375" style="19" customWidth="1"/>
    <col min="2" max="2" width="16" style="19" customWidth="1"/>
    <col min="3" max="3" width="3.28515625" style="19" customWidth="1"/>
    <col min="4" max="4" width="1.7109375" style="19" customWidth="1"/>
    <col min="5" max="5" width="3.42578125" style="19" customWidth="1"/>
    <col min="6" max="6" width="15.7109375" style="19" customWidth="1"/>
    <col min="7" max="7" width="8.7109375" style="19" bestFit="1" customWidth="1"/>
    <col min="8" max="12" width="3.7109375" style="19" customWidth="1"/>
    <col min="13" max="14" width="3.85546875" style="19" customWidth="1"/>
    <col min="15" max="15" width="8.28515625" style="19" bestFit="1" customWidth="1"/>
    <col min="16" max="16" width="8.140625" style="19" bestFit="1" customWidth="1"/>
    <col min="17" max="17" width="6.7109375" style="19" customWidth="1"/>
    <col min="18" max="18" width="7.7109375" style="19" customWidth="1"/>
    <col min="19" max="19" width="0.140625" style="19" customWidth="1"/>
    <col min="20" max="20" width="3.28515625" style="19" customWidth="1"/>
    <col min="21" max="21" width="2.7109375" style="19" customWidth="1"/>
    <col min="22" max="22" width="7.28515625" style="19" bestFit="1" customWidth="1"/>
    <col min="23" max="23" width="8.42578125" style="19" customWidth="1"/>
    <col min="24" max="24" width="2.85546875" style="19" customWidth="1"/>
    <col min="25" max="16384" width="11.42578125" style="19"/>
  </cols>
  <sheetData>
    <row r="1" spans="1:24" s="141" customFormat="1" ht="35.1" customHeight="1">
      <c r="A1" s="308"/>
      <c r="B1" s="308"/>
      <c r="C1" s="308"/>
      <c r="D1" s="308"/>
      <c r="E1" s="308"/>
      <c r="F1" s="308"/>
      <c r="G1" s="308"/>
      <c r="H1" s="308"/>
      <c r="I1" s="308"/>
      <c r="J1" s="308"/>
      <c r="K1" s="308"/>
      <c r="L1" s="308"/>
      <c r="M1" s="308"/>
      <c r="N1" s="308"/>
      <c r="O1" s="308"/>
      <c r="P1" s="308"/>
      <c r="Q1" s="308"/>
      <c r="R1" s="308"/>
      <c r="S1" s="308"/>
      <c r="T1" s="140"/>
    </row>
    <row r="2" spans="1:24" s="141" customFormat="1" ht="35.1" customHeight="1">
      <c r="A2" s="308"/>
      <c r="B2" s="308"/>
      <c r="C2" s="308"/>
      <c r="D2" s="308"/>
      <c r="E2" s="308"/>
      <c r="F2" s="308"/>
      <c r="G2" s="308"/>
      <c r="H2" s="308"/>
      <c r="I2" s="308"/>
      <c r="J2" s="308"/>
      <c r="K2" s="308"/>
      <c r="L2" s="308"/>
      <c r="M2" s="308"/>
      <c r="N2" s="308"/>
      <c r="O2" s="308"/>
      <c r="P2" s="308"/>
      <c r="Q2" s="308"/>
      <c r="R2" s="308"/>
      <c r="S2" s="308"/>
      <c r="T2" s="142"/>
    </row>
    <row r="3" spans="1:24" ht="21" customHeight="1">
      <c r="G3" s="143"/>
      <c r="L3" s="144"/>
      <c r="M3" s="144"/>
      <c r="R3" s="143"/>
    </row>
    <row r="4" spans="1:24" ht="12.75" customHeight="1">
      <c r="B4" s="145" t="s">
        <v>225</v>
      </c>
      <c r="C4" s="145"/>
      <c r="D4" s="145"/>
      <c r="E4" s="145"/>
      <c r="F4" s="145"/>
      <c r="G4" s="145"/>
      <c r="H4" s="145"/>
      <c r="I4" s="145"/>
      <c r="J4" s="145"/>
      <c r="K4" s="145"/>
      <c r="L4" s="145"/>
      <c r="M4" s="145"/>
      <c r="O4" s="307" t="s">
        <v>226</v>
      </c>
      <c r="P4" s="307"/>
      <c r="Q4" s="307"/>
      <c r="U4" s="312" t="s">
        <v>227</v>
      </c>
      <c r="V4" s="313"/>
      <c r="W4" s="313"/>
      <c r="X4" s="313"/>
    </row>
    <row r="5" spans="1:24" ht="12.75" customHeight="1">
      <c r="G5" s="146"/>
      <c r="H5" s="314" t="s">
        <v>228</v>
      </c>
      <c r="I5" s="314"/>
      <c r="J5" s="309" t="s">
        <v>229</v>
      </c>
      <c r="K5" s="309"/>
      <c r="L5" s="309" t="s">
        <v>230</v>
      </c>
      <c r="M5" s="309"/>
      <c r="O5" s="147" t="s">
        <v>231</v>
      </c>
      <c r="P5" s="147" t="s">
        <v>232</v>
      </c>
      <c r="Q5" s="147" t="s">
        <v>233</v>
      </c>
      <c r="U5" s="313"/>
      <c r="V5" s="313"/>
      <c r="W5" s="313"/>
      <c r="X5" s="313"/>
    </row>
    <row r="6" spans="1:24" ht="14.25" customHeight="1">
      <c r="A6" s="148" t="str">
        <f t="shared" ref="A6:A11" ca="1" si="0">IF(OR(L6="finalizado",L6="en juego",L6="hoy!"),"Ø","")</f>
        <v/>
      </c>
      <c r="B6" s="248" t="str">
        <f>IF(V7&lt;&gt;"",V7,"")</f>
        <v>Qatar</v>
      </c>
      <c r="C6" s="256">
        <f ca="1">RANDBETWEEN(0,10)</f>
        <v>10</v>
      </c>
      <c r="D6" s="213" t="s">
        <v>234</v>
      </c>
      <c r="E6" s="256">
        <f ca="1">RANDBETWEEN(0,10)</f>
        <v>1</v>
      </c>
      <c r="F6" s="252" t="str">
        <f>IF(V9&lt;&gt;"",V9,"")</f>
        <v>Ecuador</v>
      </c>
      <c r="G6" s="149"/>
      <c r="H6" s="304">
        <v>44885</v>
      </c>
      <c r="I6" s="304"/>
      <c r="J6" s="303">
        <v>0.45833333333333331</v>
      </c>
      <c r="K6" s="303"/>
      <c r="L6" s="310" t="str">
        <f t="shared" ref="L6:L11" ca="1" si="1">IF(OR(H6="",J6="",H6&lt;$V$24),"",IF(H6=$V$24,IF(AND(J6&lt;=$W$26,$W$26&lt;=(J6+0.08333333333)),"en juego",IF($W$26&lt;J6,"hoy!","finalizado")),IF($V$24&gt;H6,"finalizado","")))</f>
        <v/>
      </c>
      <c r="M6" s="310"/>
      <c r="O6" s="150">
        <f>IF(R6=3,0,IF(COUNTBLANK(C6:E6)=2,"",IF(AND(C6='resultados oficiales'!C4,'- A -'!E6='resultados oficiales'!E4),10,0)))</f>
        <v>0</v>
      </c>
      <c r="P6" s="150">
        <f>IF(R6=3,0,IF($O6=0,IF(AND(($C6-$E6)&gt;0,('resultados oficiales'!$C4-'resultados oficiales'!$E4)&gt;0),10,IF(AND(($C6-$E6)&lt;0,('resultados oficiales'!$C4-'resultados oficiales'!$E4)&lt;0),5,0)),0))</f>
        <v>0</v>
      </c>
      <c r="Q6" s="150">
        <f>IF(R6=3,0,IF($O6=0,IF(AND(($C6-$E6)=0,('resultados oficiales'!$C4-'resultados oficiales'!$E4)=0),5,0),0))</f>
        <v>0</v>
      </c>
      <c r="R6" s="151">
        <f>COUNTBLANK('resultados oficiales'!C4:E4)</f>
        <v>3</v>
      </c>
      <c r="W6" s="143"/>
    </row>
    <row r="7" spans="1:24" ht="14.25" customHeight="1">
      <c r="A7" s="148" t="str">
        <f t="shared" ca="1" si="0"/>
        <v/>
      </c>
      <c r="B7" s="249" t="str">
        <f>IF(V11&lt;&gt;"",V11,"")</f>
        <v>Senegal</v>
      </c>
      <c r="C7" s="256">
        <f t="shared" ref="C7:E11" ca="1" si="2">RANDBETWEEN(0,10)</f>
        <v>0</v>
      </c>
      <c r="D7" s="213" t="s">
        <v>234</v>
      </c>
      <c r="E7" s="256">
        <f t="shared" ca="1" si="2"/>
        <v>4</v>
      </c>
      <c r="F7" s="253" t="str">
        <f>IF(V13&lt;&gt;"",V13,"")</f>
        <v>Netherlands</v>
      </c>
      <c r="G7" s="149"/>
      <c r="H7" s="304">
        <f>+H6+1</f>
        <v>44886</v>
      </c>
      <c r="I7" s="304"/>
      <c r="J7" s="303">
        <v>0.20833333333333334</v>
      </c>
      <c r="K7" s="303"/>
      <c r="L7" s="310" t="str">
        <f t="shared" ca="1" si="1"/>
        <v/>
      </c>
      <c r="M7" s="310"/>
      <c r="N7" s="152"/>
      <c r="O7" s="150">
        <f>IF(R7=3,0,IF(COUNTBLANK(C7:E7)=2,"",IF(AND(C7='resultados oficiales'!C6,'- A -'!E7='resultados oficiales'!E6),10,0)))</f>
        <v>0</v>
      </c>
      <c r="P7" s="150">
        <f>IF(R7=3,0,IF($O7=0,IF(AND(($C7-$E7)&gt;0,('resultados oficiales'!$C6-'resultados oficiales'!$E6)&gt;0),5,IF(AND(($C7-$E7)&lt;0,('resultados oficiales'!$C6-'resultados oficiales'!$E6)&lt;0),5,0)),0))</f>
        <v>0</v>
      </c>
      <c r="Q7" s="150">
        <f>IF(R7=3,0,IF($O7=0,IF(AND(($C7-$E7)=0,('resultados oficiales'!$C6-'resultados oficiales'!$E6)=0),5,0),0))</f>
        <v>0</v>
      </c>
      <c r="R7" s="151">
        <f>COUNTBLANK('resultados oficiales'!C6:E6)</f>
        <v>3</v>
      </c>
      <c r="U7" s="18"/>
      <c r="V7" s="306" t="s">
        <v>235</v>
      </c>
      <c r="W7" s="306"/>
      <c r="X7" s="18"/>
    </row>
    <row r="8" spans="1:24" ht="14.25" customHeight="1">
      <c r="A8" s="148" t="str">
        <f t="shared" ca="1" si="0"/>
        <v/>
      </c>
      <c r="B8" s="248" t="str">
        <f>IF(V7&lt;&gt;"",V7,"")</f>
        <v>Qatar</v>
      </c>
      <c r="C8" s="256">
        <f t="shared" ca="1" si="2"/>
        <v>4</v>
      </c>
      <c r="D8" s="213" t="s">
        <v>234</v>
      </c>
      <c r="E8" s="256">
        <f t="shared" ca="1" si="2"/>
        <v>2</v>
      </c>
      <c r="F8" s="254" t="str">
        <f>IF(V11&lt;&gt;"",V11,"")</f>
        <v>Senegal</v>
      </c>
      <c r="G8" s="149"/>
      <c r="H8" s="304">
        <f>+H7+4</f>
        <v>44890</v>
      </c>
      <c r="I8" s="304"/>
      <c r="J8" s="303">
        <v>0.33333333333333331</v>
      </c>
      <c r="K8" s="303"/>
      <c r="L8" s="310" t="str">
        <f t="shared" ca="1" si="1"/>
        <v/>
      </c>
      <c r="M8" s="310"/>
      <c r="N8" s="153"/>
      <c r="O8" s="150">
        <f>IF(R8=3,0,IF(COUNTBLANK(C8:E8)=2,"",IF(AND(C8='resultados oficiales'!C8,'- A -'!E8='resultados oficiales'!E8),10,0)))</f>
        <v>0</v>
      </c>
      <c r="P8" s="150">
        <f>IF(R8=3,0,IF($O8=0,IF(AND(($C8-$E8)&gt;0,('resultados oficiales'!$C8-'resultados oficiales'!$E8)&gt;0),5,IF(AND(($C8-$E8)&lt;0,('resultados oficiales'!$C8-'resultados oficiales'!$E8)&lt;0),5,0)),0))</f>
        <v>0</v>
      </c>
      <c r="Q8" s="150">
        <f>IF(R8=3,0,IF($O8=0,IF(AND(($C8-$E8)=0,('resultados oficiales'!$C8-'resultados oficiales'!$E8)=0),5,0),0))</f>
        <v>0</v>
      </c>
      <c r="R8" s="151">
        <f>COUNTBLANK('resultados oficiales'!C8:E8)</f>
        <v>3</v>
      </c>
      <c r="V8" s="20"/>
      <c r="W8" s="21"/>
    </row>
    <row r="9" spans="1:24" ht="14.25" customHeight="1">
      <c r="A9" s="148" t="str">
        <f t="shared" ca="1" si="0"/>
        <v/>
      </c>
      <c r="B9" s="250" t="str">
        <f>IF(V13&lt;&gt;"",V13,"")</f>
        <v>Netherlands</v>
      </c>
      <c r="C9" s="256">
        <f t="shared" ca="1" si="2"/>
        <v>7</v>
      </c>
      <c r="D9" s="213" t="s">
        <v>234</v>
      </c>
      <c r="E9" s="256">
        <f t="shared" ca="1" si="2"/>
        <v>2</v>
      </c>
      <c r="F9" s="252" t="str">
        <f>IF(V9&lt;&gt;"",V9,"")</f>
        <v>Ecuador</v>
      </c>
      <c r="G9" s="149"/>
      <c r="H9" s="304">
        <f>+H8</f>
        <v>44890</v>
      </c>
      <c r="I9" s="304"/>
      <c r="J9" s="303">
        <f>+J6</f>
        <v>0.45833333333333331</v>
      </c>
      <c r="K9" s="303"/>
      <c r="L9" s="310" t="str">
        <f t="shared" ca="1" si="1"/>
        <v/>
      </c>
      <c r="M9" s="310"/>
      <c r="O9" s="150">
        <f>IF(R9=3,0,IF(COUNTBLANK(C9:E9)=2,"",IF(AND(C9='resultados oficiales'!C10,'- A -'!E9='resultados oficiales'!E10),10,0)))</f>
        <v>0</v>
      </c>
      <c r="P9" s="150">
        <f>IF(R9=3,0,IF($O9=0,IF(AND(($C9-$E9)&gt;0,('resultados oficiales'!$C10-'resultados oficiales'!$E10)&gt;0),5,IF(AND(($C9-$E9)&lt;0,('resultados oficiales'!$C10-'resultados oficiales'!$E10)&lt;0),5,0)),0))</f>
        <v>0</v>
      </c>
      <c r="Q9" s="150">
        <f>IF(R9=3,0,IF($O9=0,IF(AND(($C9-$E9)=0,('resultados oficiales'!$C10-'resultados oficiales'!$E10)=0),5,0),0))</f>
        <v>0</v>
      </c>
      <c r="R9" s="151">
        <f>COUNTBLANK('resultados oficiales'!C10:E10)</f>
        <v>3</v>
      </c>
      <c r="U9" s="18"/>
      <c r="V9" s="306" t="s">
        <v>236</v>
      </c>
      <c r="W9" s="306"/>
      <c r="X9" s="18"/>
    </row>
    <row r="10" spans="1:24" ht="14.25" customHeight="1">
      <c r="A10" s="148" t="str">
        <f t="shared" ca="1" si="0"/>
        <v/>
      </c>
      <c r="B10" s="251" t="str">
        <f>IF(V9&lt;&gt;"",V9,"")</f>
        <v>Ecuador</v>
      </c>
      <c r="C10" s="256">
        <f t="shared" ca="1" si="2"/>
        <v>10</v>
      </c>
      <c r="D10" s="213" t="s">
        <v>234</v>
      </c>
      <c r="E10" s="256">
        <f t="shared" ca="1" si="2"/>
        <v>3</v>
      </c>
      <c r="F10" s="254" t="str">
        <f>IF(V11&lt;&gt;"",V11,"")</f>
        <v>Senegal</v>
      </c>
      <c r="G10" s="149"/>
      <c r="H10" s="304">
        <f>+H9+4</f>
        <v>44894</v>
      </c>
      <c r="I10" s="304"/>
      <c r="J10" s="303">
        <v>0.41666666666666669</v>
      </c>
      <c r="K10" s="303"/>
      <c r="L10" s="310" t="str">
        <f t="shared" ca="1" si="1"/>
        <v/>
      </c>
      <c r="M10" s="310"/>
      <c r="O10" s="150">
        <f>IF(R10=3,0,IF(COUNTBLANK(C10:E10)=2,"",IF(AND(C10='resultados oficiales'!C12,'- A -'!E10='resultados oficiales'!E12),10,0)))</f>
        <v>0</v>
      </c>
      <c r="P10" s="150">
        <f>IF(R10=3,0,IF($O10=0,IF(AND(($C10-$E10)&gt;0,('resultados oficiales'!$C12-'resultados oficiales'!$E12)&gt;0),5,IF(AND(($C10-$E10)&lt;0,('resultados oficiales'!$C12-'resultados oficiales'!$E12)&lt;0),5,0)),0))</f>
        <v>0</v>
      </c>
      <c r="Q10" s="150">
        <f>IF(R10=3,0,IF($O10=0,IF(AND(($C10-$E10)=0,('resultados oficiales'!$C12-'resultados oficiales'!$E12)=0),5,0),0))</f>
        <v>0</v>
      </c>
      <c r="R10" s="151">
        <f>COUNTBLANK('resultados oficiales'!C12:E12)</f>
        <v>3</v>
      </c>
      <c r="V10" s="20"/>
      <c r="W10" s="21"/>
    </row>
    <row r="11" spans="1:24" ht="14.25" customHeight="1">
      <c r="A11" s="148" t="str">
        <f t="shared" ca="1" si="0"/>
        <v/>
      </c>
      <c r="B11" s="250" t="str">
        <f>IF(V13&lt;&gt;"",V13,"")</f>
        <v>Netherlands</v>
      </c>
      <c r="C11" s="256">
        <f t="shared" ca="1" si="2"/>
        <v>3</v>
      </c>
      <c r="D11" s="213" t="s">
        <v>234</v>
      </c>
      <c r="E11" s="256">
        <f t="shared" ca="1" si="2"/>
        <v>1</v>
      </c>
      <c r="F11" s="255" t="str">
        <f>IF(V7&lt;&gt;"",V7,"")</f>
        <v>Qatar</v>
      </c>
      <c r="G11" s="149"/>
      <c r="H11" s="304">
        <f>+H10</f>
        <v>44894</v>
      </c>
      <c r="I11" s="304"/>
      <c r="J11" s="303">
        <f>+J10</f>
        <v>0.41666666666666669</v>
      </c>
      <c r="K11" s="303"/>
      <c r="L11" s="310" t="str">
        <f t="shared" ca="1" si="1"/>
        <v/>
      </c>
      <c r="M11" s="310"/>
      <c r="O11" s="150">
        <f>IF(R11=3,0,IF(COUNTBLANK(C11:E11)=2,"",IF(AND(C11='resultados oficiales'!C14,'- A -'!E11='resultados oficiales'!E14),10,0)))</f>
        <v>0</v>
      </c>
      <c r="P11" s="150">
        <f>IF(R11=3,0,IF($O11=0,IF(AND(($C11-$E11)&gt;0,('resultados oficiales'!$C14-'resultados oficiales'!$E14)&gt;0),5,IF(AND(($C11-$E11)&lt;0,('resultados oficiales'!$C14-'resultados oficiales'!$E14)&lt;0),5,0)),0))</f>
        <v>0</v>
      </c>
      <c r="Q11" s="150">
        <f>IF(R11=3,0,IF($O11=0,IF(AND(($C11-$E11)=0,('resultados oficiales'!$C14-'resultados oficiales'!$E14)=0),5,0),0))</f>
        <v>0</v>
      </c>
      <c r="R11" s="151">
        <f>COUNTBLANK('resultados oficiales'!C14:E14)</f>
        <v>3</v>
      </c>
      <c r="U11" s="18"/>
      <c r="V11" s="306" t="s">
        <v>237</v>
      </c>
      <c r="W11" s="306"/>
      <c r="X11" s="18"/>
    </row>
    <row r="12" spans="1:24" ht="14.25" customHeight="1">
      <c r="B12" s="154"/>
      <c r="C12" s="155"/>
      <c r="D12" s="155"/>
      <c r="E12" s="155"/>
      <c r="G12" s="156"/>
      <c r="H12" s="155"/>
      <c r="I12" s="157"/>
      <c r="J12" s="144"/>
      <c r="K12" s="158"/>
      <c r="L12" s="159"/>
      <c r="M12" s="159"/>
      <c r="V12" s="20"/>
      <c r="W12" s="21"/>
    </row>
    <row r="13" spans="1:24" ht="14.25" customHeight="1">
      <c r="B13" s="154"/>
      <c r="C13" s="155"/>
      <c r="D13" s="155"/>
      <c r="E13" s="155"/>
      <c r="G13" s="156"/>
      <c r="H13" s="155"/>
      <c r="I13" s="155"/>
      <c r="J13" s="144"/>
      <c r="K13" s="160"/>
      <c r="L13" s="159"/>
      <c r="M13" s="159"/>
      <c r="U13" s="18"/>
      <c r="V13" s="306" t="s">
        <v>238</v>
      </c>
      <c r="W13" s="306"/>
      <c r="X13" s="18"/>
    </row>
    <row r="14" spans="1:24" ht="13.5" customHeight="1">
      <c r="B14" s="154"/>
      <c r="C14" s="155"/>
      <c r="D14" s="155"/>
      <c r="E14" s="155"/>
      <c r="G14" s="156"/>
      <c r="H14" s="155"/>
      <c r="I14" s="155"/>
      <c r="J14" s="161"/>
      <c r="K14" s="144"/>
      <c r="L14" s="159"/>
      <c r="M14" s="159"/>
      <c r="O14" s="162"/>
      <c r="V14" s="163"/>
      <c r="W14" s="164"/>
    </row>
    <row r="15" spans="1:24" ht="12.95">
      <c r="G15" s="311" t="s">
        <v>239</v>
      </c>
      <c r="H15" s="311"/>
      <c r="I15" s="311"/>
      <c r="J15" s="311"/>
      <c r="K15" s="311"/>
      <c r="L15" s="311"/>
      <c r="M15" s="311"/>
      <c r="N15" s="311"/>
      <c r="O15" s="311"/>
      <c r="P15" s="307" t="s">
        <v>226</v>
      </c>
      <c r="Q15" s="307"/>
      <c r="R15" s="307"/>
      <c r="W15" s="143"/>
    </row>
    <row r="16" spans="1:24">
      <c r="H16" s="165" t="s">
        <v>240</v>
      </c>
      <c r="I16" s="165" t="s">
        <v>76</v>
      </c>
      <c r="J16" s="165" t="s">
        <v>63</v>
      </c>
      <c r="K16" s="165" t="s">
        <v>241</v>
      </c>
      <c r="L16" s="165" t="s">
        <v>242</v>
      </c>
      <c r="M16" s="165" t="s">
        <v>243</v>
      </c>
      <c r="N16" s="165" t="s">
        <v>244</v>
      </c>
      <c r="O16" s="165" t="s">
        <v>245</v>
      </c>
      <c r="P16" s="147"/>
      <c r="Q16" s="147" t="s">
        <v>246</v>
      </c>
      <c r="R16" s="147"/>
      <c r="W16" s="143"/>
    </row>
    <row r="17" spans="2:24" ht="12.95">
      <c r="F17" s="166" t="s">
        <v>247</v>
      </c>
      <c r="G17" s="167" t="str">
        <f ca="1">calculoA!F52</f>
        <v>Netherlands</v>
      </c>
      <c r="H17" s="214">
        <f ca="1">calculoA!G52</f>
        <v>3</v>
      </c>
      <c r="I17" s="214">
        <f ca="1">calculoA!H52</f>
        <v>3</v>
      </c>
      <c r="J17" s="214">
        <f ca="1">calculoA!I52</f>
        <v>0</v>
      </c>
      <c r="K17" s="214">
        <f ca="1">calculoA!J52</f>
        <v>0</v>
      </c>
      <c r="L17" s="214">
        <f ca="1">calculoA!K52</f>
        <v>14</v>
      </c>
      <c r="M17" s="214">
        <f ca="1">calculoA!L52</f>
        <v>3</v>
      </c>
      <c r="N17" s="214">
        <f ca="1">L17-M17</f>
        <v>11</v>
      </c>
      <c r="O17" s="214">
        <f ca="1">calculoA!M52</f>
        <v>9</v>
      </c>
      <c r="Q17" s="150">
        <f>IF(COUNTBLANK('resultados oficiales'!$C$4:$E$14)=33,0,IF(G17='resultados oficiales'!B33,50,0))</f>
        <v>0</v>
      </c>
      <c r="U17" s="168"/>
      <c r="V17" s="20"/>
      <c r="W17" s="21"/>
      <c r="X17" s="20"/>
    </row>
    <row r="18" spans="2:24" ht="12.95">
      <c r="F18" s="166" t="s">
        <v>247</v>
      </c>
      <c r="G18" s="167" t="str">
        <f ca="1">calculoA!F53</f>
        <v>Qatar</v>
      </c>
      <c r="H18" s="214">
        <f ca="1">calculoA!G53</f>
        <v>3</v>
      </c>
      <c r="I18" s="214">
        <f ca="1">calculoA!H53</f>
        <v>2</v>
      </c>
      <c r="J18" s="214">
        <f ca="1">calculoA!I53</f>
        <v>0</v>
      </c>
      <c r="K18" s="214">
        <f ca="1">calculoA!J53</f>
        <v>1</v>
      </c>
      <c r="L18" s="214">
        <f ca="1">calculoA!K53</f>
        <v>15</v>
      </c>
      <c r="M18" s="214">
        <f ca="1">calculoA!L53</f>
        <v>6</v>
      </c>
      <c r="N18" s="214">
        <f ca="1">L18-M18</f>
        <v>9</v>
      </c>
      <c r="O18" s="214">
        <f ca="1">calculoA!M53</f>
        <v>6</v>
      </c>
      <c r="Q18" s="150">
        <f>IF(COUNTBLANK('resultados oficiales'!$C$4:$E$14)=33,0,IF(G18='resultados oficiales'!F53,50,0))</f>
        <v>0</v>
      </c>
      <c r="U18" s="168"/>
      <c r="V18" s="20"/>
      <c r="W18" s="21"/>
      <c r="X18" s="20"/>
    </row>
    <row r="19" spans="2:24" ht="12.95">
      <c r="F19" s="20"/>
      <c r="G19" s="169" t="str">
        <f ca="1">calculoA!F54</f>
        <v>Ecuador</v>
      </c>
      <c r="H19" s="214">
        <f ca="1">calculoA!G54</f>
        <v>3</v>
      </c>
      <c r="I19" s="214">
        <f ca="1">calculoA!H54</f>
        <v>1</v>
      </c>
      <c r="J19" s="214">
        <f ca="1">calculoA!I54</f>
        <v>0</v>
      </c>
      <c r="K19" s="214">
        <f ca="1">calculoA!J54</f>
        <v>2</v>
      </c>
      <c r="L19" s="214">
        <f ca="1">calculoA!K54</f>
        <v>13</v>
      </c>
      <c r="M19" s="214">
        <f ca="1">calculoA!L54</f>
        <v>20</v>
      </c>
      <c r="N19" s="214">
        <f ca="1">L19-M19</f>
        <v>-7</v>
      </c>
      <c r="O19" s="214">
        <f ca="1">calculoA!M54</f>
        <v>3</v>
      </c>
      <c r="U19" s="20"/>
      <c r="V19" s="20"/>
      <c r="W19" s="21"/>
      <c r="X19" s="20"/>
    </row>
    <row r="20" spans="2:24" ht="12.95">
      <c r="F20" s="20"/>
      <c r="G20" s="169" t="str">
        <f ca="1">calculoA!F55</f>
        <v>Senegal</v>
      </c>
      <c r="H20" s="214">
        <f ca="1">calculoA!G55</f>
        <v>3</v>
      </c>
      <c r="I20" s="214">
        <f ca="1">calculoA!H55</f>
        <v>0</v>
      </c>
      <c r="J20" s="214">
        <f ca="1">calculoA!I55</f>
        <v>0</v>
      </c>
      <c r="K20" s="214">
        <f ca="1">calculoA!J55</f>
        <v>3</v>
      </c>
      <c r="L20" s="214">
        <f ca="1">calculoA!K55</f>
        <v>5</v>
      </c>
      <c r="M20" s="214">
        <f ca="1">calculoA!L55</f>
        <v>18</v>
      </c>
      <c r="N20" s="214">
        <f ca="1">L20-M20</f>
        <v>-13</v>
      </c>
      <c r="O20" s="214">
        <f ca="1">calculoA!M55</f>
        <v>0</v>
      </c>
      <c r="U20" s="20"/>
      <c r="V20" s="20"/>
      <c r="W20" s="21"/>
      <c r="X20" s="20"/>
    </row>
    <row r="21" spans="2:24" ht="12.95" thickBot="1">
      <c r="W21" s="143"/>
    </row>
    <row r="22" spans="2:24" ht="11.25" customHeight="1" thickBot="1">
      <c r="B22" s="1"/>
      <c r="P22" s="170" t="s">
        <v>248</v>
      </c>
      <c r="Q22" s="171"/>
      <c r="R22" s="172">
        <f>SUM(O6:Q11)+Q17+Q18</f>
        <v>0</v>
      </c>
      <c r="W22" s="143"/>
    </row>
    <row r="23" spans="2:24" ht="9" customHeight="1">
      <c r="W23" s="173"/>
    </row>
    <row r="24" spans="2:24" ht="12.75" customHeight="1">
      <c r="N24" s="176"/>
      <c r="O24" s="176"/>
      <c r="U24" s="177" t="s">
        <v>249</v>
      </c>
      <c r="V24" s="178">
        <f ca="1">TODAY()</f>
        <v>44878</v>
      </c>
      <c r="W24" s="179">
        <f ca="1">NOW()</f>
        <v>44878.303923611114</v>
      </c>
    </row>
    <row r="25" spans="2:24" ht="12.75" hidden="1" customHeight="1">
      <c r="U25" s="23"/>
      <c r="V25" s="23"/>
      <c r="W25" s="23"/>
      <c r="X25"/>
    </row>
    <row r="26" spans="2:24" ht="12.75" hidden="1" customHeight="1">
      <c r="V26" s="23">
        <f ca="1">HOUR($W$24)</f>
        <v>7</v>
      </c>
      <c r="W26" s="23">
        <f ca="1">MINUTE($W$24)</f>
        <v>17</v>
      </c>
      <c r="X26"/>
    </row>
    <row r="27" spans="2:24" ht="12.75" customHeight="1"/>
    <row r="28" spans="2:24" ht="12.75" customHeight="1">
      <c r="V28" s="305"/>
      <c r="W28" s="305"/>
    </row>
    <row r="29" spans="2:24" ht="12.75" customHeight="1"/>
    <row r="31" spans="2:24">
      <c r="F31" s="174"/>
      <c r="G31" s="175"/>
    </row>
  </sheetData>
  <sheetProtection algorithmName="SHA-512" hashValue="OZosd7kEWZJJVXyHJsfrba6fJk6QWHNQpxEFey48A3g8JOy5jJlRKqaw9mR86699uR8V+yA/XH5j70WoZkrNIg==" saltValue="LaEPkQ3lD3qjo/nl9HbL8A==" spinCount="100000" sheet="1" objects="1" scenarios="1" selectLockedCells="1"/>
  <dataConsolidate/>
  <customSheetViews>
    <customSheetView guid="{387210E2-BDFB-42E5-A6C7-A37C9701EAB6}" showGridLines="0" outlineSymbols="0" fitToPage="1" hiddenRows="1">
      <selection activeCell="G29" sqref="G29"/>
      <pageMargins left="0" right="0" top="0" bottom="0" header="0" footer="0"/>
      <pageSetup paperSize="9" scale="70" orientation="portrait" horizontalDpi="300" verticalDpi="300" r:id="rId1"/>
      <headerFooter alignWithMargins="0"/>
    </customSheetView>
    <customSheetView guid="{E2621C8A-2AE3-484D-B751-B92E60BB88F8}" showGridLines="0" outlineSymbols="0" fitToPage="1" hiddenRows="1">
      <selection sqref="A1:S2"/>
      <pageMargins left="0" right="0" top="0" bottom="0" header="0" footer="0"/>
      <pageSetup paperSize="9" scale="70" orientation="portrait" horizontalDpi="300" verticalDpi="300" r:id="rId2"/>
      <headerFooter alignWithMargins="0"/>
    </customSheetView>
  </customSheetViews>
  <mergeCells count="31">
    <mergeCell ref="U4:X5"/>
    <mergeCell ref="H5:I5"/>
    <mergeCell ref="J5:K5"/>
    <mergeCell ref="L7:M7"/>
    <mergeCell ref="J7:K7"/>
    <mergeCell ref="P15:R15"/>
    <mergeCell ref="A1:S2"/>
    <mergeCell ref="H6:I6"/>
    <mergeCell ref="J6:K6"/>
    <mergeCell ref="L5:M5"/>
    <mergeCell ref="O4:Q4"/>
    <mergeCell ref="L6:M6"/>
    <mergeCell ref="L8:M8"/>
    <mergeCell ref="J8:K8"/>
    <mergeCell ref="H7:I7"/>
    <mergeCell ref="H8:I8"/>
    <mergeCell ref="G15:O15"/>
    <mergeCell ref="L9:M9"/>
    <mergeCell ref="L10:M10"/>
    <mergeCell ref="L11:M11"/>
    <mergeCell ref="H9:I9"/>
    <mergeCell ref="V28:W28"/>
    <mergeCell ref="V7:W7"/>
    <mergeCell ref="V9:W9"/>
    <mergeCell ref="V11:W11"/>
    <mergeCell ref="V13:W13"/>
    <mergeCell ref="J11:K11"/>
    <mergeCell ref="J9:K9"/>
    <mergeCell ref="J10:K10"/>
    <mergeCell ref="H10:I10"/>
    <mergeCell ref="H11:I11"/>
  </mergeCells>
  <phoneticPr fontId="6" type="noConversion"/>
  <conditionalFormatting sqref="F17:F18">
    <cfRule type="expression" dxfId="171" priority="5" stopIfTrue="1">
      <formula>IF(AND($H$17=3,$H$18=3,$H$19=3,$H$20=3),1,0)</formula>
    </cfRule>
  </conditionalFormatting>
  <conditionalFormatting sqref="G17:O18">
    <cfRule type="expression" dxfId="170" priority="6" stopIfTrue="1">
      <formula>IF(AND($H$17=3,$H$18=3,$H$19=3,$H$20=3),1,0)</formula>
    </cfRule>
  </conditionalFormatting>
  <conditionalFormatting sqref="B7:G7 J7:M7 J8:K9">
    <cfRule type="expression" dxfId="169" priority="7" stopIfTrue="1">
      <formula>IF(OR($L$7="en juego",$L$7="hoy!"),1,0)</formula>
    </cfRule>
  </conditionalFormatting>
  <conditionalFormatting sqref="B6:M6 H7:I7 F9 O4:Q11 P15:R16 Q17:Q18 J10:K11 C6:C11 E6:E11">
    <cfRule type="expression" dxfId="168" priority="8" stopIfTrue="1">
      <formula>IF(OR($L$6="en juego",$L$6="hoy!"),1,0)</formula>
    </cfRule>
  </conditionalFormatting>
  <conditionalFormatting sqref="G6 B8:I8 L8:M8">
    <cfRule type="expression" dxfId="167" priority="9" stopIfTrue="1">
      <formula>IF(OR($L$8="en juego",$L$8="hoy!"),1,0)</formula>
    </cfRule>
  </conditionalFormatting>
  <conditionalFormatting sqref="B9:I9 L9:M9">
    <cfRule type="expression" dxfId="166" priority="10" stopIfTrue="1">
      <formula>IF(OR($L$9="en juego",$L$9="hoy!"),1,0)</formula>
    </cfRule>
  </conditionalFormatting>
  <conditionalFormatting sqref="H11:I11 B10:I10 L10:M10">
    <cfRule type="expression" dxfId="165" priority="11" stopIfTrue="1">
      <formula>IF(OR($L$10="en juego",$L$10="hoy!"),1,0)</formula>
    </cfRule>
  </conditionalFormatting>
  <conditionalFormatting sqref="B11:G11 L11:M11">
    <cfRule type="expression" dxfId="164" priority="12" stopIfTrue="1">
      <formula>IF(OR($L$11="en juego",$L$11="hoy!"),1,0)</formula>
    </cfRule>
  </conditionalFormatting>
  <dataValidations count="1">
    <dataValidation type="whole" allowBlank="1" showErrorMessage="1" errorTitle="Dato no válido" error="Ingrese sólo un número entero_x000a_entre 0 y 99." sqref="C6:C11 E6:E11" xr:uid="{00000000-0002-0000-0100-000000000000}">
      <formula1>0</formula1>
      <formula2>99</formula2>
    </dataValidation>
  </dataValidations>
  <pageMargins left="0.75" right="0.75" top="1" bottom="1" header="0" footer="0"/>
  <pageSetup paperSize="9" scale="70" orientation="portrait" horizontalDpi="300" verticalDpi="300" r:id="rId3"/>
  <headerFooter alignWithMargins="0"/>
  <ignoredErrors>
    <ignoredError sqref="F7" formula="1"/>
  </ignoredError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tabColor indexed="10"/>
    <pageSetUpPr fitToPage="1"/>
  </sheetPr>
  <dimension ref="A1:X29"/>
  <sheetViews>
    <sheetView showGridLines="0" showRowColHeaders="0" showOutlineSymbols="0" zoomScale="90" zoomScaleNormal="90" workbookViewId="0">
      <selection activeCell="E6" sqref="E6:E11"/>
    </sheetView>
  </sheetViews>
  <sheetFormatPr defaultColWidth="11.42578125" defaultRowHeight="12.6"/>
  <cols>
    <col min="1" max="1" width="2.7109375" style="182" customWidth="1"/>
    <col min="2" max="2" width="14.28515625" style="182" customWidth="1"/>
    <col min="3" max="3" width="3.28515625" style="182" customWidth="1"/>
    <col min="4" max="4" width="1.7109375" style="182" customWidth="1"/>
    <col min="5" max="5" width="3.42578125" style="182" customWidth="1"/>
    <col min="6" max="6" width="14.28515625" style="182" customWidth="1"/>
    <col min="7" max="7" width="7" style="182" bestFit="1" customWidth="1"/>
    <col min="8" max="12" width="3.7109375" style="182" customWidth="1"/>
    <col min="13" max="14" width="3.85546875" style="182" customWidth="1"/>
    <col min="15" max="15" width="8.28515625" style="182" bestFit="1" customWidth="1"/>
    <col min="16" max="16" width="8.140625" style="182" bestFit="1" customWidth="1"/>
    <col min="17" max="17" width="6.7109375" style="182" bestFit="1" customWidth="1"/>
    <col min="18" max="18" width="7.7109375" style="182" customWidth="1"/>
    <col min="19" max="19" width="1.28515625" style="182" customWidth="1"/>
    <col min="20" max="20" width="3.85546875" style="182" customWidth="1"/>
    <col min="21" max="21" width="7.28515625" style="182" bestFit="1" customWidth="1"/>
    <col min="22" max="22" width="6.5703125" style="182" customWidth="1"/>
    <col min="23" max="23" width="5.28515625" style="182" customWidth="1"/>
    <col min="24" max="24" width="4" style="182" customWidth="1"/>
    <col min="25" max="16384" width="11.42578125" style="182"/>
  </cols>
  <sheetData>
    <row r="1" spans="1:24" s="181" customFormat="1" ht="35.1" customHeight="1">
      <c r="A1" s="315"/>
      <c r="B1" s="315"/>
      <c r="C1" s="315"/>
      <c r="D1" s="315"/>
      <c r="E1" s="315"/>
      <c r="F1" s="315"/>
      <c r="G1" s="315"/>
      <c r="H1" s="315"/>
      <c r="I1" s="315"/>
      <c r="J1" s="315"/>
      <c r="K1" s="315"/>
      <c r="L1" s="315"/>
      <c r="M1" s="315"/>
      <c r="N1" s="315"/>
      <c r="O1" s="315"/>
      <c r="P1" s="315"/>
      <c r="Q1" s="315"/>
      <c r="R1" s="315"/>
      <c r="S1" s="315"/>
      <c r="T1" s="180"/>
    </row>
    <row r="2" spans="1:24" s="181" customFormat="1" ht="35.1" customHeight="1">
      <c r="A2" s="315"/>
      <c r="B2" s="315"/>
      <c r="C2" s="315"/>
      <c r="D2" s="315"/>
      <c r="E2" s="315"/>
      <c r="F2" s="315"/>
      <c r="G2" s="315"/>
      <c r="H2" s="315"/>
      <c r="I2" s="315"/>
      <c r="J2" s="315"/>
      <c r="K2" s="315"/>
      <c r="L2" s="315"/>
      <c r="M2" s="315"/>
      <c r="N2" s="315"/>
      <c r="O2" s="315"/>
      <c r="P2" s="315"/>
      <c r="Q2" s="315"/>
      <c r="R2" s="315"/>
      <c r="S2" s="315"/>
      <c r="T2" s="135"/>
    </row>
    <row r="3" spans="1:24" ht="21" customHeight="1">
      <c r="A3" s="19"/>
      <c r="B3" s="19"/>
      <c r="C3" s="19"/>
      <c r="D3" s="19"/>
      <c r="E3" s="19"/>
      <c r="F3" s="19"/>
      <c r="G3" s="143"/>
      <c r="H3" s="19"/>
      <c r="I3" s="19"/>
      <c r="J3" s="19"/>
      <c r="K3" s="19"/>
      <c r="L3" s="144"/>
      <c r="M3" s="144"/>
      <c r="N3" s="19"/>
      <c r="O3" s="19"/>
      <c r="P3" s="19"/>
      <c r="Q3" s="19"/>
      <c r="R3" s="143"/>
      <c r="S3" s="19"/>
      <c r="T3" s="19"/>
      <c r="U3" s="19"/>
    </row>
    <row r="4" spans="1:24" ht="12.95">
      <c r="A4" s="19"/>
      <c r="B4" s="311" t="s">
        <v>225</v>
      </c>
      <c r="C4" s="311"/>
      <c r="D4" s="311"/>
      <c r="E4" s="311"/>
      <c r="F4" s="311"/>
      <c r="G4" s="311"/>
      <c r="H4" s="311"/>
      <c r="I4" s="311"/>
      <c r="J4" s="311"/>
      <c r="K4" s="311"/>
      <c r="L4" s="311"/>
      <c r="M4" s="311"/>
      <c r="N4" s="19"/>
      <c r="O4" s="307" t="s">
        <v>226</v>
      </c>
      <c r="P4" s="307"/>
      <c r="Q4" s="307"/>
      <c r="T4" s="316" t="s">
        <v>250</v>
      </c>
      <c r="U4" s="317"/>
      <c r="V4" s="317"/>
      <c r="W4" s="317"/>
      <c r="X4" s="19"/>
    </row>
    <row r="5" spans="1:24">
      <c r="A5" s="19"/>
      <c r="B5" s="19"/>
      <c r="C5" s="19"/>
      <c r="D5" s="19"/>
      <c r="E5" s="19"/>
      <c r="F5" s="19"/>
      <c r="G5" s="146"/>
      <c r="H5" s="314" t="s">
        <v>228</v>
      </c>
      <c r="I5" s="314"/>
      <c r="J5" s="309" t="s">
        <v>229</v>
      </c>
      <c r="K5" s="309"/>
      <c r="L5" s="309" t="s">
        <v>230</v>
      </c>
      <c r="M5" s="309"/>
      <c r="N5" s="19"/>
      <c r="O5" s="147" t="s">
        <v>231</v>
      </c>
      <c r="P5" s="147" t="s">
        <v>232</v>
      </c>
      <c r="Q5" s="147" t="s">
        <v>233</v>
      </c>
      <c r="T5" s="317"/>
      <c r="U5" s="317"/>
      <c r="V5" s="317"/>
      <c r="W5" s="317"/>
      <c r="X5" s="19"/>
    </row>
    <row r="6" spans="1:24" ht="14.25" customHeight="1">
      <c r="A6" s="148" t="str">
        <f t="shared" ref="A6:A11" ca="1" si="0">IF(OR(L6="finalizado",L6="en juego",L6="hoy!"),"Ø","")</f>
        <v/>
      </c>
      <c r="B6" s="257" t="str">
        <f>IF(U7&lt;&gt;"",U7,"")</f>
        <v>Inglaterra</v>
      </c>
      <c r="C6" s="256">
        <f ca="1">RANDBETWEEN(0,10)</f>
        <v>0</v>
      </c>
      <c r="D6" s="213" t="s">
        <v>234</v>
      </c>
      <c r="E6" s="256">
        <f ca="1">RANDBETWEEN(0,10)</f>
        <v>6</v>
      </c>
      <c r="F6" s="259" t="str">
        <f>IF(U9&lt;&gt;"",U9,"")</f>
        <v>Iran</v>
      </c>
      <c r="G6" s="149"/>
      <c r="H6" s="304">
        <v>44886</v>
      </c>
      <c r="I6" s="304"/>
      <c r="J6" s="303">
        <v>0.33333333333333331</v>
      </c>
      <c r="K6" s="303"/>
      <c r="L6" s="310" t="str">
        <f t="shared" ref="L6:L11" ca="1" si="1">IF(OR(H6="",J6="",H6&lt;$U$24),"",IF(H6=$U$24,IF(AND(J6&lt;=$V$26,$V$26&lt;=(J6+0.08333333333)),"en juego",IF($V$26&lt;J6,"hoy!","finalizado")),IF($U$24&gt;H6,"finalizado","")))</f>
        <v/>
      </c>
      <c r="M6" s="310"/>
      <c r="N6" s="19"/>
      <c r="O6" s="150">
        <f>IF(R6=3,0,IF(COUNTBLANK(C6:E6)=2,"",IF(AND(C6='resultados oficiales'!J4,'- B -'!E6='resultados oficiales'!L4),10,0)))</f>
        <v>0</v>
      </c>
      <c r="P6" s="150">
        <f>IF(R6=3,0,IF($O6=0,IF(AND(($C6-$E6)&gt;0,('resultados oficiales'!$J4-'resultados oficiales'!$L4)&gt;0),5,IF(AND(($C6-$E6)&lt;0,('resultados oficiales'!$J4-'resultados oficiales'!$L4)&lt;0),5,0)),0))</f>
        <v>0</v>
      </c>
      <c r="Q6" s="150">
        <f>IF(R6=3,0,IF($O6=0,IF(AND(($C6-$E6)=0,('resultados oficiales'!$J4-'resultados oficiales'!$L4)=0),5,0),0))</f>
        <v>0</v>
      </c>
      <c r="R6" s="151">
        <f>COUNTBLANK('resultados oficiales'!J4:L4)</f>
        <v>3</v>
      </c>
      <c r="T6" s="19"/>
      <c r="U6" s="19"/>
      <c r="V6" s="143"/>
      <c r="W6" s="19"/>
      <c r="X6" s="19"/>
    </row>
    <row r="7" spans="1:24" ht="14.25" customHeight="1">
      <c r="A7" s="148" t="str">
        <f t="shared" ca="1" si="0"/>
        <v/>
      </c>
      <c r="B7" s="262" t="str">
        <f>IF(U11&lt;&gt;"",U11,"")</f>
        <v>USA</v>
      </c>
      <c r="C7" s="256">
        <f t="shared" ref="C7:C11" ca="1" si="2">RANDBETWEEN(0,10)</f>
        <v>3</v>
      </c>
      <c r="D7" s="213" t="s">
        <v>234</v>
      </c>
      <c r="E7" s="256">
        <f t="shared" ref="E7:E11" ca="1" si="3">RANDBETWEEN(0,10)</f>
        <v>1</v>
      </c>
      <c r="F7" s="264" t="str">
        <f>IF(U13&lt;&gt;"",U13,"")</f>
        <v>Gales</v>
      </c>
      <c r="G7" s="149"/>
      <c r="H7" s="304">
        <f>+H6</f>
        <v>44886</v>
      </c>
      <c r="I7" s="304"/>
      <c r="J7" s="303">
        <v>0.58333333333333337</v>
      </c>
      <c r="K7" s="303"/>
      <c r="L7" s="310" t="str">
        <f t="shared" ca="1" si="1"/>
        <v/>
      </c>
      <c r="M7" s="310"/>
      <c r="N7" s="152"/>
      <c r="O7" s="150">
        <f>IF(R7=3,0,IF(COUNTBLANK(C7:E7)=2,"",IF(AND(C7='resultados oficiales'!J6,'- B -'!E7='resultados oficiales'!L6),10,0)))</f>
        <v>0</v>
      </c>
      <c r="P7" s="150">
        <f>IF(R7=3,0,IF($O7=0,IF(AND(($C7-$E7)&gt;0,('resultados oficiales'!$J6-'resultados oficiales'!$L6)&gt;0),5,IF(AND(($C7-$E7)&lt;0,('resultados oficiales'!$J6-'resultados oficiales'!$L6)&lt;0),5,0)),0))</f>
        <v>0</v>
      </c>
      <c r="Q7" s="150">
        <f>IF(R7=3,0,IF($O7=0,IF(AND(($C7-$E7)=0,('resultados oficiales'!$J6-'resultados oficiales'!$L6)=0),5,0),0))</f>
        <v>0</v>
      </c>
      <c r="R7" s="151">
        <f>COUNTBLANK('resultados oficiales'!J6:L6)</f>
        <v>3</v>
      </c>
      <c r="T7" s="18"/>
      <c r="U7" s="306" t="s">
        <v>251</v>
      </c>
      <c r="V7" s="306"/>
      <c r="W7" s="18"/>
      <c r="X7" s="19"/>
    </row>
    <row r="8" spans="1:24" ht="14.25" customHeight="1">
      <c r="A8" s="148" t="str">
        <f t="shared" ca="1" si="0"/>
        <v/>
      </c>
      <c r="B8" s="263" t="str">
        <f>IF(U13&lt;&gt;"",U13,"")</f>
        <v>Gales</v>
      </c>
      <c r="C8" s="256">
        <f t="shared" ca="1" si="2"/>
        <v>1</v>
      </c>
      <c r="D8" s="213" t="s">
        <v>234</v>
      </c>
      <c r="E8" s="256">
        <f t="shared" ca="1" si="3"/>
        <v>4</v>
      </c>
      <c r="F8" s="259" t="str">
        <f>IF(U9&lt;&gt;"",U9,"")</f>
        <v>Iran</v>
      </c>
      <c r="G8" s="149"/>
      <c r="H8" s="304">
        <f>+H7+4</f>
        <v>44890</v>
      </c>
      <c r="I8" s="304"/>
      <c r="J8" s="303">
        <v>0.20833333333333334</v>
      </c>
      <c r="K8" s="303"/>
      <c r="L8" s="310" t="str">
        <f t="shared" ca="1" si="1"/>
        <v/>
      </c>
      <c r="M8" s="310"/>
      <c r="N8" s="153"/>
      <c r="O8" s="150">
        <f>IF(R8=3,0,IF(COUNTBLANK(C8:E8)=2,"",IF(AND(C8='resultados oficiales'!J8,'- B -'!E8='resultados oficiales'!L8),10,0)))</f>
        <v>0</v>
      </c>
      <c r="P8" s="150">
        <f>IF(R8=3,0,IF($O8=0,IF(AND(($C8-$E8)&gt;0,('resultados oficiales'!$J8-'resultados oficiales'!$L8)&gt;0),5,IF(AND(($C8-$E8)&lt;0,('resultados oficiales'!$J8-'resultados oficiales'!$L8)&lt;0),5,0)),0))</f>
        <v>0</v>
      </c>
      <c r="Q8" s="150">
        <f>IF(R8=3,0,IF($O8=0,IF(AND(($C8-$E8)=0,('resultados oficiales'!$J8-'resultados oficiales'!$L8)=0),5,0),0))</f>
        <v>0</v>
      </c>
      <c r="R8" s="151">
        <f>COUNTBLANK('resultados oficiales'!J8:L8)</f>
        <v>3</v>
      </c>
      <c r="T8" s="19"/>
      <c r="U8" s="20"/>
      <c r="V8" s="21"/>
      <c r="W8" s="19"/>
      <c r="X8" s="19"/>
    </row>
    <row r="9" spans="1:24" ht="14.25" customHeight="1">
      <c r="A9" s="148" t="str">
        <f t="shared" ca="1" si="0"/>
        <v/>
      </c>
      <c r="B9" s="257" t="str">
        <f>IF(U7&lt;&gt;"",U7,"")</f>
        <v>Inglaterra</v>
      </c>
      <c r="C9" s="256">
        <f t="shared" ca="1" si="2"/>
        <v>10</v>
      </c>
      <c r="D9" s="213" t="s">
        <v>234</v>
      </c>
      <c r="E9" s="256">
        <f t="shared" ca="1" si="3"/>
        <v>0</v>
      </c>
      <c r="F9" s="261" t="str">
        <f>IF(U11&lt;&gt;"",U11,"")</f>
        <v>USA</v>
      </c>
      <c r="G9" s="149"/>
      <c r="H9" s="304">
        <f>+H8</f>
        <v>44890</v>
      </c>
      <c r="I9" s="304"/>
      <c r="J9" s="303">
        <v>0.58333333333333337</v>
      </c>
      <c r="K9" s="303"/>
      <c r="L9" s="310" t="str">
        <f t="shared" ca="1" si="1"/>
        <v/>
      </c>
      <c r="M9" s="310"/>
      <c r="N9" s="19"/>
      <c r="O9" s="150">
        <f>IF(R9=3,0,IF(COUNTBLANK(C9:E9)=2,"",IF(AND(C9='resultados oficiales'!J10,'- B -'!E9='resultados oficiales'!L10),10,0)))</f>
        <v>0</v>
      </c>
      <c r="P9" s="150">
        <f>IF(R9=3,0,IF($O9=0,IF(AND(($C9-$E9)&gt;0,('resultados oficiales'!$J10-'resultados oficiales'!$L10)&gt;0),5,IF(AND(($C9-$E9)&lt;0,('resultados oficiales'!$J10-'resultados oficiales'!$L10)&lt;0),5,0)),0))</f>
        <v>0</v>
      </c>
      <c r="Q9" s="150">
        <f>IF(R9=3,0,IF($O9=0,IF(AND(($C9-$E9)=0,('resultados oficiales'!$J10-'resultados oficiales'!$L10)=0),5,0),0))</f>
        <v>0</v>
      </c>
      <c r="R9" s="151">
        <f>COUNTBLANK('resultados oficiales'!J10:L10)</f>
        <v>3</v>
      </c>
      <c r="T9" s="18"/>
      <c r="U9" s="306" t="s">
        <v>252</v>
      </c>
      <c r="V9" s="306"/>
      <c r="W9" s="18"/>
      <c r="X9" s="19"/>
    </row>
    <row r="10" spans="1:24" ht="14.25" customHeight="1">
      <c r="A10" s="148" t="str">
        <f t="shared" ca="1" si="0"/>
        <v/>
      </c>
      <c r="B10" s="260" t="str">
        <f>IF(U9&lt;&gt;"",U9,"")</f>
        <v>Iran</v>
      </c>
      <c r="C10" s="256">
        <f t="shared" ca="1" si="2"/>
        <v>2</v>
      </c>
      <c r="D10" s="213" t="s">
        <v>234</v>
      </c>
      <c r="E10" s="256">
        <f t="shared" ca="1" si="3"/>
        <v>6</v>
      </c>
      <c r="F10" s="261" t="str">
        <f>IF(U11&lt;&gt;"",U11,"")</f>
        <v>USA</v>
      </c>
      <c r="G10" s="149"/>
      <c r="H10" s="304">
        <f>+H9+4</f>
        <v>44894</v>
      </c>
      <c r="I10" s="304"/>
      <c r="J10" s="303">
        <v>0.58333333333333337</v>
      </c>
      <c r="K10" s="303"/>
      <c r="L10" s="310" t="str">
        <f t="shared" ca="1" si="1"/>
        <v/>
      </c>
      <c r="M10" s="310"/>
      <c r="N10" s="19"/>
      <c r="O10" s="150">
        <f>IF(R10=3,0,IF(COUNTBLANK(C10:E10)=2,"",IF(AND(C10='resultados oficiales'!J12,'- B -'!E10='resultados oficiales'!L12),10,0)))</f>
        <v>0</v>
      </c>
      <c r="P10" s="150">
        <f>IF(R10=3,0,IF($O10=0,IF(AND(($C10-$E10)&gt;0,('resultados oficiales'!$J12-'resultados oficiales'!$L12)&gt;0),5,IF(AND(($C10-$E10)&lt;0,('resultados oficiales'!$J12-'resultados oficiales'!$L12)&lt;0),5,0)),0))</f>
        <v>0</v>
      </c>
      <c r="Q10" s="150">
        <f>IF(R10=3,0,IF($O10=0,IF(AND(($C10-$E10)=0,('resultados oficiales'!$J12-'resultados oficiales'!$L12)=0),5,0),0))</f>
        <v>0</v>
      </c>
      <c r="R10" s="151">
        <f>COUNTBLANK('resultados oficiales'!J12:L12)</f>
        <v>3</v>
      </c>
      <c r="T10" s="19"/>
      <c r="U10" s="20"/>
      <c r="V10" s="21"/>
      <c r="W10" s="19"/>
      <c r="X10" s="19"/>
    </row>
    <row r="11" spans="1:24" ht="14.25" customHeight="1">
      <c r="A11" s="148" t="str">
        <f t="shared" ca="1" si="0"/>
        <v/>
      </c>
      <c r="B11" s="263" t="str">
        <f>IF(U13&lt;&gt;"",U13,"")</f>
        <v>Gales</v>
      </c>
      <c r="C11" s="256">
        <f t="shared" ca="1" si="2"/>
        <v>10</v>
      </c>
      <c r="D11" s="213" t="s">
        <v>234</v>
      </c>
      <c r="E11" s="256">
        <f t="shared" ca="1" si="3"/>
        <v>5</v>
      </c>
      <c r="F11" s="258" t="str">
        <f>IF(U7&lt;&gt;"",U7,"")</f>
        <v>Inglaterra</v>
      </c>
      <c r="G11" s="149"/>
      <c r="H11" s="304">
        <f>+H10</f>
        <v>44894</v>
      </c>
      <c r="I11" s="304"/>
      <c r="J11" s="303">
        <f>+J10</f>
        <v>0.58333333333333337</v>
      </c>
      <c r="K11" s="303"/>
      <c r="L11" s="310" t="str">
        <f t="shared" ca="1" si="1"/>
        <v/>
      </c>
      <c r="M11" s="310"/>
      <c r="N11" s="19"/>
      <c r="O11" s="150">
        <f>IF(R11=3,0,IF(COUNTBLANK(C11:E11)=2,"",IF(AND(C11='resultados oficiales'!J14,'- B -'!E11='resultados oficiales'!L14),10,0)))</f>
        <v>0</v>
      </c>
      <c r="P11" s="150">
        <f>IF(R11=3,0,IF($O11=0,IF(AND(($C11-$E11)&gt;0,('resultados oficiales'!$J14-'resultados oficiales'!$L14)&gt;0),5,IF(AND(($C11-$E11)&lt;0,('resultados oficiales'!$J14-'resultados oficiales'!$L14)&lt;0),5,0)),0))</f>
        <v>0</v>
      </c>
      <c r="Q11" s="150">
        <f>IF(R11=3,0,IF($O11=0,IF(AND(($C11-$E11)=0,('resultados oficiales'!$J14-'resultados oficiales'!$L14)=0),5,0),0))</f>
        <v>0</v>
      </c>
      <c r="R11" s="151">
        <f>COUNTBLANK('resultados oficiales'!J14:L14)</f>
        <v>3</v>
      </c>
      <c r="T11" s="18"/>
      <c r="U11" s="306" t="s">
        <v>29</v>
      </c>
      <c r="V11" s="306"/>
      <c r="W11" s="18"/>
      <c r="X11" s="19"/>
    </row>
    <row r="12" spans="1:24" ht="14.25" customHeight="1">
      <c r="A12" s="19"/>
      <c r="B12" s="154"/>
      <c r="C12" s="155"/>
      <c r="D12" s="155"/>
      <c r="E12" s="155"/>
      <c r="F12" s="19"/>
      <c r="G12" s="156"/>
      <c r="H12" s="155"/>
      <c r="I12" s="157"/>
      <c r="J12" s="144"/>
      <c r="K12" s="158"/>
      <c r="L12" s="159"/>
      <c r="M12" s="159"/>
      <c r="N12" s="19"/>
      <c r="O12" s="19"/>
      <c r="T12" s="19"/>
      <c r="U12" s="20"/>
      <c r="V12" s="21"/>
      <c r="W12" s="19"/>
      <c r="X12" s="19"/>
    </row>
    <row r="13" spans="1:24" ht="14.25" customHeight="1">
      <c r="A13" s="19"/>
      <c r="B13" s="154"/>
      <c r="C13" s="155"/>
      <c r="D13" s="155"/>
      <c r="E13" s="155"/>
      <c r="F13" s="19"/>
      <c r="G13" s="156"/>
      <c r="H13" s="155"/>
      <c r="I13" s="155"/>
      <c r="J13" s="144"/>
      <c r="K13" s="160"/>
      <c r="L13" s="159"/>
      <c r="M13" s="159"/>
      <c r="N13" s="19"/>
      <c r="O13" s="19"/>
      <c r="T13" s="18"/>
      <c r="U13" s="306" t="s">
        <v>253</v>
      </c>
      <c r="V13" s="306"/>
      <c r="W13" s="18"/>
      <c r="X13" s="19"/>
    </row>
    <row r="14" spans="1:24" ht="13.5" customHeight="1">
      <c r="A14" s="19"/>
      <c r="B14" s="154"/>
      <c r="C14" s="155"/>
      <c r="D14" s="155"/>
      <c r="E14" s="155"/>
      <c r="F14" s="19"/>
      <c r="G14" s="156"/>
      <c r="H14" s="155"/>
      <c r="I14" s="155"/>
      <c r="J14" s="144"/>
      <c r="K14" s="160"/>
      <c r="L14" s="159"/>
      <c r="M14" s="159"/>
      <c r="N14" s="19"/>
      <c r="O14" s="162"/>
      <c r="T14" s="19"/>
      <c r="U14" s="163"/>
      <c r="V14" s="183"/>
      <c r="W14" s="19"/>
      <c r="X14" s="19"/>
    </row>
    <row r="15" spans="1:24" ht="12.95">
      <c r="A15" s="19"/>
      <c r="B15" s="19"/>
      <c r="C15" s="19"/>
      <c r="D15" s="19"/>
      <c r="E15" s="19"/>
      <c r="F15" s="19"/>
      <c r="G15" s="311" t="s">
        <v>239</v>
      </c>
      <c r="H15" s="311"/>
      <c r="I15" s="311"/>
      <c r="J15" s="311"/>
      <c r="K15" s="311"/>
      <c r="L15" s="311"/>
      <c r="M15" s="311"/>
      <c r="N15" s="311"/>
      <c r="O15" s="311"/>
      <c r="P15" s="307" t="s">
        <v>226</v>
      </c>
      <c r="Q15" s="307"/>
      <c r="R15" s="307"/>
      <c r="T15" s="19"/>
      <c r="U15" s="19"/>
      <c r="V15" s="143"/>
      <c r="W15" s="19"/>
      <c r="X15" s="19"/>
    </row>
    <row r="16" spans="1:24">
      <c r="A16" s="19"/>
      <c r="B16" s="19"/>
      <c r="C16" s="19"/>
      <c r="D16" s="19"/>
      <c r="E16" s="19"/>
      <c r="F16" s="19"/>
      <c r="G16" s="19"/>
      <c r="H16" s="165" t="s">
        <v>240</v>
      </c>
      <c r="I16" s="165" t="s">
        <v>76</v>
      </c>
      <c r="J16" s="165" t="s">
        <v>63</v>
      </c>
      <c r="K16" s="165" t="s">
        <v>241</v>
      </c>
      <c r="L16" s="165" t="s">
        <v>242</v>
      </c>
      <c r="M16" s="165" t="s">
        <v>243</v>
      </c>
      <c r="N16" s="165" t="s">
        <v>244</v>
      </c>
      <c r="O16" s="165" t="s">
        <v>245</v>
      </c>
      <c r="P16" s="147"/>
      <c r="Q16" s="147" t="s">
        <v>246</v>
      </c>
      <c r="R16" s="147"/>
      <c r="T16" s="19"/>
      <c r="U16" s="19"/>
      <c r="V16" s="143"/>
      <c r="W16" s="19"/>
      <c r="X16" s="19"/>
    </row>
    <row r="17" spans="1:24" ht="12.95">
      <c r="A17" s="19"/>
      <c r="B17" s="19"/>
      <c r="C17" s="19"/>
      <c r="D17" s="19"/>
      <c r="E17" s="19"/>
      <c r="F17" s="166" t="s">
        <v>247</v>
      </c>
      <c r="G17" s="167" t="str">
        <f ca="1">calculoB!F52</f>
        <v>Iran</v>
      </c>
      <c r="H17" s="214">
        <f ca="1">calculoB!G52</f>
        <v>3</v>
      </c>
      <c r="I17" s="214">
        <f ca="1">calculoB!H52</f>
        <v>2</v>
      </c>
      <c r="J17" s="214">
        <f ca="1">calculoB!I52</f>
        <v>0</v>
      </c>
      <c r="K17" s="214">
        <f ca="1">calculoB!J52</f>
        <v>1</v>
      </c>
      <c r="L17" s="214">
        <f ca="1">calculoB!K52</f>
        <v>12</v>
      </c>
      <c r="M17" s="214">
        <f ca="1">calculoB!L52</f>
        <v>7</v>
      </c>
      <c r="N17" s="214">
        <f ca="1">L17-M17</f>
        <v>5</v>
      </c>
      <c r="O17" s="214">
        <f ca="1">calculoB!M52</f>
        <v>6</v>
      </c>
      <c r="P17" s="19"/>
      <c r="Q17" s="150">
        <f>IF(COUNTBLANK('resultados oficiales'!$J$4:$L$14)=33,0,IF(G17='resultados oficiales'!B53,50,0))</f>
        <v>0</v>
      </c>
      <c r="R17" s="19"/>
      <c r="T17" s="168"/>
      <c r="U17" s="20"/>
      <c r="V17" s="21"/>
      <c r="W17" s="20"/>
      <c r="X17" s="19"/>
    </row>
    <row r="18" spans="1:24" ht="12.95">
      <c r="A18" s="19"/>
      <c r="B18" s="19"/>
      <c r="C18" s="19"/>
      <c r="D18" s="19"/>
      <c r="E18" s="19"/>
      <c r="F18" s="166" t="s">
        <v>247</v>
      </c>
      <c r="G18" s="167" t="str">
        <f ca="1">calculoB!F53</f>
        <v>USA</v>
      </c>
      <c r="H18" s="214">
        <f ca="1">calculoB!G53</f>
        <v>3</v>
      </c>
      <c r="I18" s="214">
        <f ca="1">calculoB!H53</f>
        <v>2</v>
      </c>
      <c r="J18" s="214">
        <f ca="1">calculoB!I53</f>
        <v>0</v>
      </c>
      <c r="K18" s="214">
        <f ca="1">calculoB!J53</f>
        <v>1</v>
      </c>
      <c r="L18" s="214">
        <f ca="1">calculoB!K53</f>
        <v>9</v>
      </c>
      <c r="M18" s="214">
        <f ca="1">calculoB!L53</f>
        <v>13</v>
      </c>
      <c r="N18" s="214">
        <f ca="1">L18-M18</f>
        <v>-4</v>
      </c>
      <c r="O18" s="214">
        <f ca="1">calculoB!M53</f>
        <v>6</v>
      </c>
      <c r="P18" s="19"/>
      <c r="Q18" s="150">
        <f>IF(COUNTBLANK('resultados oficiales'!$J$4:$L$14)=33,0,IF(G18='resultados oficiales'!F33,50,0))</f>
        <v>0</v>
      </c>
      <c r="R18" s="19"/>
      <c r="T18" s="168"/>
      <c r="U18" s="20"/>
      <c r="V18" s="21"/>
      <c r="W18" s="20"/>
      <c r="X18" s="19"/>
    </row>
    <row r="19" spans="1:24" ht="12.95">
      <c r="A19" s="19"/>
      <c r="B19" s="19"/>
      <c r="C19" s="19"/>
      <c r="D19" s="19"/>
      <c r="E19" s="19"/>
      <c r="F19" s="20"/>
      <c r="G19" s="169" t="str">
        <f ca="1">calculoB!F54</f>
        <v>Gales</v>
      </c>
      <c r="H19" s="214">
        <f ca="1">calculoB!G54</f>
        <v>3</v>
      </c>
      <c r="I19" s="214">
        <f ca="1">calculoB!H54</f>
        <v>1</v>
      </c>
      <c r="J19" s="214">
        <f ca="1">calculoB!I54</f>
        <v>0</v>
      </c>
      <c r="K19" s="214">
        <f ca="1">calculoB!J54</f>
        <v>2</v>
      </c>
      <c r="L19" s="214">
        <f ca="1">calculoB!K54</f>
        <v>12</v>
      </c>
      <c r="M19" s="214">
        <f ca="1">calculoB!L54</f>
        <v>12</v>
      </c>
      <c r="N19" s="214">
        <f ca="1">L19-M19</f>
        <v>0</v>
      </c>
      <c r="O19" s="214">
        <f ca="1">calculoB!M54</f>
        <v>3</v>
      </c>
      <c r="P19" s="19"/>
      <c r="Q19" s="19"/>
      <c r="R19" s="19"/>
      <c r="T19" s="20"/>
      <c r="U19" s="20"/>
      <c r="V19" s="21"/>
      <c r="W19" s="20"/>
      <c r="X19" s="19"/>
    </row>
    <row r="20" spans="1:24" ht="12.95">
      <c r="A20" s="19"/>
      <c r="B20" s="19"/>
      <c r="C20" s="19"/>
      <c r="D20" s="19"/>
      <c r="E20" s="19"/>
      <c r="F20" s="20"/>
      <c r="G20" s="169" t="str">
        <f ca="1">calculoB!F55</f>
        <v>Inglaterra</v>
      </c>
      <c r="H20" s="214">
        <f ca="1">calculoB!G55</f>
        <v>3</v>
      </c>
      <c r="I20" s="214">
        <f ca="1">calculoB!H55</f>
        <v>1</v>
      </c>
      <c r="J20" s="214">
        <f ca="1">calculoB!I55</f>
        <v>0</v>
      </c>
      <c r="K20" s="214">
        <f ca="1">calculoB!J55</f>
        <v>2</v>
      </c>
      <c r="L20" s="214">
        <f ca="1">calculoB!K55</f>
        <v>15</v>
      </c>
      <c r="M20" s="214">
        <f ca="1">calculoB!L55</f>
        <v>16</v>
      </c>
      <c r="N20" s="214">
        <f ca="1">L20-M20</f>
        <v>-1</v>
      </c>
      <c r="O20" s="214">
        <f ca="1">calculoB!M55</f>
        <v>3</v>
      </c>
      <c r="P20" s="19"/>
      <c r="Q20" s="19"/>
      <c r="R20" s="19"/>
      <c r="T20" s="20"/>
      <c r="U20" s="20"/>
      <c r="V20" s="21"/>
      <c r="W20" s="20"/>
      <c r="X20" s="19"/>
    </row>
    <row r="21" spans="1:24" ht="12.95" thickBot="1">
      <c r="A21" s="19"/>
      <c r="B21" s="19"/>
      <c r="C21" s="19"/>
      <c r="D21" s="19"/>
      <c r="E21" s="19"/>
      <c r="F21" s="19"/>
      <c r="G21" s="19"/>
      <c r="H21" s="19"/>
      <c r="I21" s="19"/>
      <c r="J21" s="19"/>
      <c r="K21" s="19"/>
      <c r="L21" s="19"/>
      <c r="M21" s="19"/>
      <c r="N21" s="19"/>
      <c r="O21" s="19"/>
      <c r="P21" s="19"/>
      <c r="Q21" s="19"/>
      <c r="R21" s="19"/>
      <c r="T21" s="19"/>
      <c r="U21" s="19"/>
      <c r="V21" s="143"/>
      <c r="W21" s="19"/>
      <c r="X21" s="19"/>
    </row>
    <row r="22" spans="1:24" ht="11.25" customHeight="1" thickBot="1">
      <c r="A22" s="19"/>
      <c r="B22" s="19"/>
      <c r="C22" s="19"/>
      <c r="D22" s="19"/>
      <c r="E22" s="19"/>
      <c r="F22" s="19"/>
      <c r="G22" s="19"/>
      <c r="H22" s="19"/>
      <c r="I22" s="19"/>
      <c r="J22" s="19"/>
      <c r="K22" s="19"/>
      <c r="L22" s="19"/>
      <c r="M22" s="19"/>
      <c r="N22" s="19"/>
      <c r="O22" s="19"/>
      <c r="P22" s="170" t="s">
        <v>248</v>
      </c>
      <c r="Q22" s="171"/>
      <c r="R22" s="172">
        <f>SUM(O6:Q11)+Q17+Q18</f>
        <v>0</v>
      </c>
      <c r="T22" s="19"/>
      <c r="U22" s="19"/>
      <c r="V22" s="143"/>
      <c r="W22" s="19"/>
      <c r="X22" s="19"/>
    </row>
    <row r="23" spans="1:24" ht="9" customHeight="1">
      <c r="A23" s="19"/>
      <c r="B23" s="19"/>
      <c r="C23" s="19"/>
      <c r="D23" s="19"/>
      <c r="E23" s="19"/>
      <c r="F23" s="19"/>
      <c r="G23" s="19"/>
      <c r="H23" s="19"/>
      <c r="I23" s="19"/>
      <c r="J23" s="19"/>
      <c r="K23" s="19"/>
      <c r="L23" s="19"/>
      <c r="M23" s="19"/>
      <c r="N23" s="19"/>
      <c r="O23" s="19"/>
      <c r="T23" s="19"/>
      <c r="U23" s="19"/>
      <c r="V23" s="173"/>
      <c r="W23" s="19"/>
      <c r="X23" s="19"/>
    </row>
    <row r="24" spans="1:24" ht="12.95">
      <c r="A24" s="19"/>
      <c r="B24" s="174"/>
      <c r="C24" s="175"/>
      <c r="D24" s="19"/>
      <c r="E24" s="19"/>
      <c r="F24" s="19"/>
      <c r="G24" s="19"/>
      <c r="H24" s="19"/>
      <c r="I24" s="19"/>
      <c r="J24" s="19"/>
      <c r="K24" s="19"/>
      <c r="L24" s="19"/>
      <c r="M24" s="19"/>
      <c r="N24" s="176"/>
      <c r="O24" s="176"/>
      <c r="T24" s="177" t="s">
        <v>249</v>
      </c>
      <c r="U24" s="178">
        <f ca="1">TODAY()</f>
        <v>44878</v>
      </c>
      <c r="V24" s="179">
        <f ca="1">NOW()</f>
        <v>44878.303923611114</v>
      </c>
      <c r="W24" s="19"/>
      <c r="X24" s="19"/>
    </row>
    <row r="25" spans="1:24" ht="12.75" hidden="1" customHeight="1">
      <c r="A25" s="19"/>
      <c r="B25" s="19"/>
      <c r="C25" s="19"/>
      <c r="D25" s="19"/>
      <c r="E25" s="19"/>
      <c r="F25" s="19"/>
      <c r="G25" s="19"/>
      <c r="H25" s="19"/>
      <c r="I25" s="19"/>
      <c r="J25" s="19"/>
      <c r="K25" s="19"/>
      <c r="L25" s="19"/>
      <c r="M25" s="19"/>
      <c r="N25" s="19"/>
      <c r="O25" s="19"/>
      <c r="T25" s="23"/>
      <c r="U25" s="23"/>
      <c r="V25" s="23"/>
      <c r="W25"/>
      <c r="X25" s="19"/>
    </row>
    <row r="26" spans="1:24" ht="12.75" hidden="1" customHeight="1">
      <c r="A26" s="19"/>
      <c r="B26" s="19"/>
      <c r="C26" s="19"/>
      <c r="D26" s="19"/>
      <c r="E26" s="19"/>
      <c r="F26" s="19"/>
      <c r="G26" s="19"/>
      <c r="H26" s="19"/>
      <c r="I26" s="19"/>
      <c r="J26" s="19"/>
      <c r="K26" s="19"/>
      <c r="L26" s="19"/>
      <c r="M26" s="19"/>
      <c r="N26" s="19"/>
      <c r="O26" s="19"/>
      <c r="T26" s="19"/>
      <c r="U26" s="23">
        <f ca="1">HOUR($V$24)</f>
        <v>7</v>
      </c>
      <c r="V26" s="23">
        <f ca="1">MINUTE($V$24)</f>
        <v>17</v>
      </c>
      <c r="W26"/>
      <c r="X26" s="19"/>
    </row>
    <row r="27" spans="1:24">
      <c r="A27" s="19"/>
      <c r="B27" s="19"/>
      <c r="C27" s="19"/>
      <c r="D27" s="19"/>
      <c r="E27" s="19"/>
      <c r="F27" s="19"/>
      <c r="G27" s="19"/>
      <c r="H27" s="19"/>
      <c r="I27" s="19"/>
      <c r="J27" s="19"/>
      <c r="K27" s="19"/>
      <c r="L27" s="19"/>
      <c r="M27" s="19"/>
      <c r="N27" s="19"/>
      <c r="O27" s="19"/>
      <c r="T27" s="19"/>
      <c r="U27" s="19"/>
      <c r="V27" s="19"/>
      <c r="W27" s="19"/>
      <c r="X27" s="19"/>
    </row>
    <row r="28" spans="1:24" ht="12.95">
      <c r="A28" s="19"/>
      <c r="B28" s="19"/>
      <c r="C28" s="19"/>
      <c r="D28" s="19"/>
      <c r="E28" s="19"/>
      <c r="F28" s="19"/>
      <c r="G28" s="19"/>
      <c r="H28" s="19"/>
      <c r="I28" s="19"/>
      <c r="J28" s="19"/>
      <c r="K28" s="19"/>
      <c r="L28" s="19"/>
      <c r="M28" s="19"/>
      <c r="N28" s="19"/>
      <c r="O28" s="19"/>
      <c r="T28" s="19"/>
      <c r="U28" s="133"/>
      <c r="V28" s="133"/>
      <c r="W28" s="19"/>
      <c r="X28" s="19"/>
    </row>
    <row r="29" spans="1:24">
      <c r="A29" s="19"/>
      <c r="B29" s="19"/>
      <c r="C29" s="19"/>
      <c r="D29" s="19"/>
      <c r="E29" s="19"/>
      <c r="F29" s="19"/>
      <c r="G29" s="19"/>
      <c r="H29" s="19"/>
      <c r="I29" s="19"/>
      <c r="J29" s="19"/>
      <c r="K29" s="19"/>
      <c r="L29" s="19"/>
      <c r="M29" s="19"/>
      <c r="N29" s="19"/>
      <c r="O29" s="19"/>
      <c r="T29" s="19"/>
      <c r="U29" s="19"/>
      <c r="V29" s="19"/>
      <c r="W29" s="19"/>
      <c r="X29" s="19"/>
    </row>
  </sheetData>
  <sheetProtection algorithmName="SHA-512" hashValue="BIfGPZdDGqWxszwFJndXi9mn01J19gRrhUEsedeFtXn6b1s/90aehMVQwEl+lrc0mVr8hdzf390ENmJTaG8oXQ==" saltValue="+rvALMKyFOQZny9mocNt+w==" spinCount="100000" sheet="1" selectLockedCells="1"/>
  <dataConsolidate/>
  <customSheetViews>
    <customSheetView guid="{387210E2-BDFB-42E5-A6C7-A37C9701EAB6}" showGridLines="0" showRowCol="0" outlineSymbols="0" fitToPage="1" hiddenRows="1" topLeftCell="C1">
      <selection activeCell="J32" sqref="J32"/>
      <pageMargins left="0" right="0" top="0" bottom="0" header="0" footer="0"/>
      <pageSetup paperSize="9" scale="70" orientation="portrait" horizontalDpi="300" verticalDpi="300" r:id="rId1"/>
      <headerFooter alignWithMargins="0"/>
    </customSheetView>
    <customSheetView guid="{E2621C8A-2AE3-484D-B751-B92E60BB88F8}" showGridLines="0" showRowCol="0" outlineSymbols="0" fitToPage="1" hiddenRows="1" topLeftCell="C1">
      <selection activeCell="J32" sqref="J32"/>
      <pageMargins left="0" right="0" top="0" bottom="0" header="0" footer="0"/>
      <pageSetup paperSize="9" scale="70" orientation="portrait" horizontalDpi="300" verticalDpi="300" r:id="rId2"/>
      <headerFooter alignWithMargins="0"/>
    </customSheetView>
  </customSheetViews>
  <mergeCells count="31">
    <mergeCell ref="P15:R15"/>
    <mergeCell ref="A1:S2"/>
    <mergeCell ref="U7:V7"/>
    <mergeCell ref="U9:V9"/>
    <mergeCell ref="H5:I5"/>
    <mergeCell ref="J5:K5"/>
    <mergeCell ref="O4:Q4"/>
    <mergeCell ref="L7:M7"/>
    <mergeCell ref="T4:W5"/>
    <mergeCell ref="H7:I7"/>
    <mergeCell ref="G15:O15"/>
    <mergeCell ref="L9:M9"/>
    <mergeCell ref="L10:M10"/>
    <mergeCell ref="L11:M11"/>
    <mergeCell ref="H9:I9"/>
    <mergeCell ref="J11:K11"/>
    <mergeCell ref="J10:K10"/>
    <mergeCell ref="U13:V13"/>
    <mergeCell ref="U11:V11"/>
    <mergeCell ref="L8:M8"/>
    <mergeCell ref="H10:I10"/>
    <mergeCell ref="H11:I11"/>
    <mergeCell ref="J8:K8"/>
    <mergeCell ref="J9:K9"/>
    <mergeCell ref="H8:I8"/>
    <mergeCell ref="J7:K7"/>
    <mergeCell ref="B4:M4"/>
    <mergeCell ref="H6:I6"/>
    <mergeCell ref="J6:K6"/>
    <mergeCell ref="L5:M5"/>
    <mergeCell ref="L6:M6"/>
  </mergeCells>
  <phoneticPr fontId="6" type="noConversion"/>
  <conditionalFormatting sqref="F17:F18">
    <cfRule type="expression" dxfId="163" priority="22" stopIfTrue="1">
      <formula>IF(AND($H$17=3,$H$18=3,$H$19=3,$H$20=3),1,0)</formula>
    </cfRule>
  </conditionalFormatting>
  <conditionalFormatting sqref="G17:O18">
    <cfRule type="expression" dxfId="162" priority="23" stopIfTrue="1">
      <formula>IF(AND($H$17=3,$H$18=3,$H$19=3,$H$20=3),1,0)</formula>
    </cfRule>
  </conditionalFormatting>
  <conditionalFormatting sqref="J7:M7 B7 J9:K9 F7:G7">
    <cfRule type="expression" dxfId="161" priority="24" stopIfTrue="1">
      <formula>IF(OR($L$7="en juego",$L$7="hoy!"),1,0)</formula>
    </cfRule>
  </conditionalFormatting>
  <conditionalFormatting sqref="H7:I7 Q17:Q18 G9 O4:Q11 P15:R16 B6 J8:K8 F6:M6">
    <cfRule type="expression" dxfId="160" priority="25" stopIfTrue="1">
      <formula>IF(OR($L$6="en juego",$L$6="hoy!"),1,0)</formula>
    </cfRule>
  </conditionalFormatting>
  <conditionalFormatting sqref="G9:I9 L8:M8 G6 B8 F8:I8">
    <cfRule type="expression" dxfId="159" priority="26" stopIfTrue="1">
      <formula>IF(OR($L$8="en juego",$L$8="hoy!"),1,0)</formula>
    </cfRule>
  </conditionalFormatting>
  <conditionalFormatting sqref="B9 L9:M9 F9:G9">
    <cfRule type="expression" dxfId="158" priority="27" stopIfTrue="1">
      <formula>IF(OR($L$9="en juego",$L$9="hoy!"),1,0)</formula>
    </cfRule>
  </conditionalFormatting>
  <conditionalFormatting sqref="B10 H11:I11 L10:M10 F10:I10">
    <cfRule type="expression" dxfId="157" priority="28" stopIfTrue="1">
      <formula>IF(OR($L$10="en juego",$L$10="hoy!"),1,0)</formula>
    </cfRule>
  </conditionalFormatting>
  <conditionalFormatting sqref="B11 L11:M11 F11:G11">
    <cfRule type="expression" dxfId="156" priority="29" stopIfTrue="1">
      <formula>IF(OR($L$11="en juego",$L$11="hoy!"),1,0)</formula>
    </cfRule>
  </conditionalFormatting>
  <conditionalFormatting sqref="J10:K11">
    <cfRule type="expression" dxfId="155" priority="7" stopIfTrue="1">
      <formula>IF(OR($L$6="en juego",$L$6="hoy!"),1,0)</formula>
    </cfRule>
  </conditionalFormatting>
  <conditionalFormatting sqref="C7:E7">
    <cfRule type="expression" dxfId="154" priority="1" stopIfTrue="1">
      <formula>IF(OR($L$7="en juego",$L$7="hoy!"),1,0)</formula>
    </cfRule>
  </conditionalFormatting>
  <conditionalFormatting sqref="C6:E6 C7:C11 E7:E11">
    <cfRule type="expression" dxfId="153" priority="2" stopIfTrue="1">
      <formula>IF(OR($L$6="en juego",$L$6="hoy!"),1,0)</formula>
    </cfRule>
  </conditionalFormatting>
  <conditionalFormatting sqref="C8:E8">
    <cfRule type="expression" dxfId="152" priority="3" stopIfTrue="1">
      <formula>IF(OR($L$8="en juego",$L$8="hoy!"),1,0)</formula>
    </cfRule>
  </conditionalFormatting>
  <conditionalFormatting sqref="C9:E9">
    <cfRule type="expression" dxfId="151" priority="4" stopIfTrue="1">
      <formula>IF(OR($L$9="en juego",$L$9="hoy!"),1,0)</formula>
    </cfRule>
  </conditionalFormatting>
  <conditionalFormatting sqref="C10:E10">
    <cfRule type="expression" dxfId="150" priority="5" stopIfTrue="1">
      <formula>IF(OR($L$10="en juego",$L$10="hoy!"),1,0)</formula>
    </cfRule>
  </conditionalFormatting>
  <conditionalFormatting sqref="C11:E11">
    <cfRule type="expression" dxfId="149" priority="6" stopIfTrue="1">
      <formula>IF(OR($L$11="en juego",$L$11="hoy!"),1,0)</formula>
    </cfRule>
  </conditionalFormatting>
  <dataValidations count="1">
    <dataValidation type="whole" allowBlank="1" showErrorMessage="1" errorTitle="Dato no válido" error="Ingrese sólo un número entero_x000a_entre 0 y 99." sqref="C6:C11 E6:E11" xr:uid="{C6EBFA59-72F2-4755-8C82-8C2AC2A47DAE}">
      <formula1>0</formula1>
      <formula2>99</formula2>
    </dataValidation>
  </dataValidations>
  <pageMargins left="0.75" right="0.75" top="1" bottom="1" header="0" footer="0"/>
  <pageSetup paperSize="9" scale="70" orientation="portrait" horizontalDpi="300" verticalDpi="300" r:id="rId3"/>
  <headerFooter alignWithMargins="0"/>
  <ignoredErrors>
    <ignoredError sqref="F9" formula="1"/>
  </ignoredError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6">
    <tabColor indexed="18"/>
    <pageSetUpPr fitToPage="1"/>
  </sheetPr>
  <dimension ref="A1:W29"/>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9.85546875" style="23" bestFit="1" customWidth="1"/>
    <col min="8" max="12" width="3.7109375" style="23" customWidth="1"/>
    <col min="13" max="14" width="3.85546875" style="23" customWidth="1"/>
    <col min="15" max="15" width="8.28515625" style="23" bestFit="1" customWidth="1"/>
    <col min="16" max="16" width="8.140625" style="23" bestFit="1" customWidth="1"/>
    <col min="17" max="18" width="7.7109375" style="23" customWidth="1"/>
    <col min="19" max="19" width="1" style="23" customWidth="1"/>
    <col min="20" max="20" width="3.28515625" style="23" customWidth="1"/>
    <col min="21" max="21" width="7.28515625" style="23" bestFit="1" customWidth="1"/>
    <col min="22" max="22" width="6.7109375" style="23" customWidth="1"/>
    <col min="23" max="23" width="5.7109375"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4.5"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19" t="s">
        <v>225</v>
      </c>
      <c r="C4" s="319"/>
      <c r="D4" s="319"/>
      <c r="E4" s="319"/>
      <c r="F4" s="319"/>
      <c r="G4" s="319"/>
      <c r="H4" s="319"/>
      <c r="I4" s="319"/>
      <c r="J4" s="319"/>
      <c r="K4" s="319"/>
      <c r="L4" s="319"/>
      <c r="M4" s="319"/>
      <c r="O4" s="307" t="s">
        <v>226</v>
      </c>
      <c r="P4" s="307"/>
      <c r="Q4" s="307"/>
    </row>
    <row r="5" spans="1:23" ht="12.75" customHeight="1">
      <c r="G5" s="186"/>
      <c r="H5" s="325" t="s">
        <v>228</v>
      </c>
      <c r="I5" s="325"/>
      <c r="J5" s="322" t="s">
        <v>229</v>
      </c>
      <c r="K5" s="322"/>
      <c r="L5" s="322" t="s">
        <v>230</v>
      </c>
      <c r="M5" s="322"/>
      <c r="O5" s="147" t="s">
        <v>231</v>
      </c>
      <c r="P5" s="147" t="s">
        <v>232</v>
      </c>
      <c r="Q5" s="147" t="s">
        <v>233</v>
      </c>
      <c r="T5" s="326" t="s">
        <v>254</v>
      </c>
      <c r="U5" s="327"/>
      <c r="V5" s="327"/>
      <c r="W5" s="327"/>
    </row>
    <row r="6" spans="1:23" ht="14.25" customHeight="1">
      <c r="A6" s="187" t="str">
        <f t="shared" ref="A6:A11" ca="1" si="0">IF(OR(L6="finalizado",L6="en juego",L6="hoy!"),"Ø","")</f>
        <v/>
      </c>
      <c r="B6" s="265" t="str">
        <f>IF(U8&lt;&gt;"",U8,"")</f>
        <v>Argentina</v>
      </c>
      <c r="C6" s="256">
        <f ca="1">RANDBETWEEN(0,10)</f>
        <v>0</v>
      </c>
      <c r="D6" s="213" t="s">
        <v>234</v>
      </c>
      <c r="E6" s="256">
        <f ca="1">RANDBETWEEN(0,10)</f>
        <v>10</v>
      </c>
      <c r="F6" s="271" t="str">
        <f>IF(U10&lt;&gt;"",U10,"")</f>
        <v>Arabia Saudi</v>
      </c>
      <c r="G6" s="188"/>
      <c r="H6" s="320">
        <v>44887</v>
      </c>
      <c r="I6" s="320"/>
      <c r="J6" s="321">
        <v>0.20833333333333334</v>
      </c>
      <c r="K6" s="321"/>
      <c r="L6" s="323" t="str">
        <f t="shared" ref="L6:L11" ca="1" si="1">IF(OR(H6="",J6="",H6&lt;$U$25),"",IF(H6=$U$25,IF(AND(J6&lt;=$V$27,$V$27&lt;=(J6+0.08333333333)),"en juego",IF($V$27&lt;J6,"hoy!","finalizado")),IF($U$25&gt;H6,"finalizado","")))</f>
        <v/>
      </c>
      <c r="M6" s="323"/>
      <c r="O6" s="150">
        <f>IF(R6=3,0,IF(COUNTBLANK(C6:E6)=2,"",IF(AND(C6='resultados oficiales'!Q4,'- C -'!E6='resultados oficiales'!S4),10,0)))</f>
        <v>0</v>
      </c>
      <c r="P6" s="150">
        <f>IF(R6=3,0,IF($O6=0,IF(AND(($C6-$E6)&gt;0,('resultados oficiales'!$Q4-'resultados oficiales'!$S4)&gt;0),5,IF(AND(($C6-$E6)&lt;0,('resultados oficiales'!$Q4-'resultados oficiales'!$S4)&lt;0),5,0)),0))</f>
        <v>0</v>
      </c>
      <c r="Q6" s="150">
        <f>IF(R6=3,0,IF($O6=0,IF(AND(($C6-$E6)=0,('resultados oficiales'!$Q4-'resultados oficiales'!$S4)=0),5,0),0))</f>
        <v>0</v>
      </c>
      <c r="R6" s="151">
        <f>COUNTBLANK('resultados oficiales'!Q4:S4)</f>
        <v>3</v>
      </c>
      <c r="T6" s="327"/>
      <c r="U6" s="327"/>
      <c r="V6" s="327"/>
      <c r="W6" s="327"/>
    </row>
    <row r="7" spans="1:23" ht="14.25" customHeight="1">
      <c r="A7" s="187" t="str">
        <f t="shared" ca="1" si="0"/>
        <v/>
      </c>
      <c r="B7" s="268" t="str">
        <f>IF(U12&lt;&gt;"",U12,"")</f>
        <v>Mexico</v>
      </c>
      <c r="C7" s="256">
        <f t="shared" ref="C7:C11" ca="1" si="2">RANDBETWEEN(0,10)</f>
        <v>3</v>
      </c>
      <c r="D7" s="213" t="s">
        <v>234</v>
      </c>
      <c r="E7" s="256">
        <f t="shared" ref="E7:E11" ca="1" si="3">RANDBETWEEN(0,10)</f>
        <v>7</v>
      </c>
      <c r="F7" s="259" t="str">
        <f>IF(U14&lt;&gt;"",U14,"")</f>
        <v>Polonia</v>
      </c>
      <c r="G7" s="188"/>
      <c r="H7" s="320">
        <f>+H6</f>
        <v>44887</v>
      </c>
      <c r="I7" s="320"/>
      <c r="J7" s="321">
        <v>0.45833333333333331</v>
      </c>
      <c r="K7" s="321"/>
      <c r="L7" s="323" t="str">
        <f t="shared" ca="1" si="1"/>
        <v/>
      </c>
      <c r="M7" s="323"/>
      <c r="N7" s="189"/>
      <c r="O7" s="150">
        <f>IF(R7=3,0,IF(COUNTBLANK(C7:E7)=2,"",IF(AND(C7='resultados oficiales'!Q6,'- C -'!E7='resultados oficiales'!S6),10,0)))</f>
        <v>0</v>
      </c>
      <c r="P7" s="150">
        <f>IF(R7=3,0,IF($O7=0,IF(AND(($C7-$E7)&gt;0,('resultados oficiales'!$C6-'resultados oficiales'!$E6)&gt;0),5,IF(AND(($C7-$E7)&lt;0,('resultados oficiales'!$C6-'resultados oficiales'!$E6)&lt;0),5,0)),0))</f>
        <v>0</v>
      </c>
      <c r="Q7" s="150">
        <f>IF(R7=3,0,IF($O7=0,IF(AND(($C7-$E7)=0,('resultados oficiales'!$C6-'resultados oficiales'!$E6)=0),5,0),0))</f>
        <v>0</v>
      </c>
      <c r="R7" s="151">
        <f>COUNTBLANK('resultados oficiales'!Q6:S6)</f>
        <v>3</v>
      </c>
      <c r="V7" s="184"/>
    </row>
    <row r="8" spans="1:23" ht="14.25" customHeight="1">
      <c r="A8" s="187" t="str">
        <f t="shared" ca="1" si="0"/>
        <v/>
      </c>
      <c r="B8" s="260" t="str">
        <f>IF(U14&lt;&gt;"",U14,"")</f>
        <v>Polonia</v>
      </c>
      <c r="C8" s="256">
        <f t="shared" ca="1" si="2"/>
        <v>7</v>
      </c>
      <c r="D8" s="213" t="s">
        <v>234</v>
      </c>
      <c r="E8" s="256">
        <f t="shared" ca="1" si="3"/>
        <v>9</v>
      </c>
      <c r="F8" s="271" t="str">
        <f>IF(U10&lt;&gt;"",U10,"")</f>
        <v>Arabia Saudi</v>
      </c>
      <c r="G8" s="188"/>
      <c r="H8" s="320">
        <f>+H7+4</f>
        <v>44891</v>
      </c>
      <c r="I8" s="320"/>
      <c r="J8" s="321">
        <v>0.33333333333333331</v>
      </c>
      <c r="K8" s="321"/>
      <c r="L8" s="323" t="str">
        <f t="shared" ca="1" si="1"/>
        <v/>
      </c>
      <c r="M8" s="323"/>
      <c r="N8" s="190"/>
      <c r="O8" s="150">
        <f>IF(R8=3,0,IF(COUNTBLANK(C8:E8)=2,"",IF(AND(C8='resultados oficiales'!Q8,'- C -'!E8='resultados oficiales'!S8),10,0)))</f>
        <v>0</v>
      </c>
      <c r="P8" s="150">
        <f>IF(R8=3,0,IF($O8=0,IF(AND(($C8-$E8)&gt;0,('resultados oficiales'!$Q8-'resultados oficiales'!$S8)&gt;0),5,IF(AND(($C8-$E8)&lt;0,('resultados oficiales'!$Q8-'resultados oficiales'!$S8)&lt;0),5,0)),0))</f>
        <v>0</v>
      </c>
      <c r="Q8" s="150">
        <f>IF(R8=3,0,IF($O8=0,IF(AND(($C8-$E8)=0,('resultados oficiales'!$Q8-'resultados oficiales'!$S8)=0),5,0),0))</f>
        <v>0</v>
      </c>
      <c r="R8" s="151">
        <f>COUNTBLANK('resultados oficiales'!Q8:S8)</f>
        <v>3</v>
      </c>
      <c r="T8" s="22"/>
      <c r="U8" s="324" t="s">
        <v>255</v>
      </c>
      <c r="V8" s="324"/>
      <c r="W8" s="22"/>
    </row>
    <row r="9" spans="1:23" ht="14.25" customHeight="1">
      <c r="A9" s="187" t="str">
        <f t="shared" ca="1" si="0"/>
        <v/>
      </c>
      <c r="B9" s="265" t="str">
        <f>IF(U8&lt;&gt;"",U8,"")</f>
        <v>Argentina</v>
      </c>
      <c r="C9" s="256">
        <f t="shared" ca="1" si="2"/>
        <v>9</v>
      </c>
      <c r="D9" s="213" t="s">
        <v>234</v>
      </c>
      <c r="E9" s="256">
        <f t="shared" ca="1" si="3"/>
        <v>9</v>
      </c>
      <c r="F9" s="267" t="str">
        <f>IF(U12&lt;&gt;"",U12,"")</f>
        <v>Mexico</v>
      </c>
      <c r="G9" s="188"/>
      <c r="H9" s="320">
        <f>+H8</f>
        <v>44891</v>
      </c>
      <c r="I9" s="320"/>
      <c r="J9" s="321">
        <v>0.58333333333333337</v>
      </c>
      <c r="K9" s="321"/>
      <c r="L9" s="323" t="str">
        <f t="shared" ca="1" si="1"/>
        <v/>
      </c>
      <c r="M9" s="323"/>
      <c r="O9" s="150">
        <f>IF(R9=3,0,IF(COUNTBLANK(C9:E9)=2,"",IF(AND(C9='resultados oficiales'!Q10,'- C -'!E9='resultados oficiales'!S10),10,0)))</f>
        <v>0</v>
      </c>
      <c r="P9" s="150">
        <f>IF(R9=3,0,IF($O9=0,IF(AND(($C9-$E9)&gt;0,('resultados oficiales'!$Q10-'resultados oficiales'!$S10)&gt;0),5,IF(AND(($C9-$E9)&lt;0,('resultados oficiales'!$Q10-'resultados oficiales'!$S10)&lt;0),5,0)),0))</f>
        <v>0</v>
      </c>
      <c r="Q9" s="150">
        <f>IF(R9=3,0,IF($O9=0,IF(AND(($C9-$E9)=0,('resultados oficiales'!$Q10-'resultados oficiales'!$S10)=0),5,0),0))</f>
        <v>0</v>
      </c>
      <c r="R9" s="151">
        <f>COUNTBLANK('resultados oficiales'!Q10:S10)</f>
        <v>3</v>
      </c>
      <c r="U9" s="24"/>
      <c r="V9" s="25"/>
    </row>
    <row r="10" spans="1:23" ht="14.25" customHeight="1">
      <c r="A10" s="187" t="str">
        <f t="shared" ca="1" si="0"/>
        <v/>
      </c>
      <c r="B10" s="260" t="str">
        <f>IF(U14&lt;&gt;"",U14,"")</f>
        <v>Polonia</v>
      </c>
      <c r="C10" s="256">
        <f t="shared" ca="1" si="2"/>
        <v>3</v>
      </c>
      <c r="D10" s="213" t="s">
        <v>234</v>
      </c>
      <c r="E10" s="256">
        <f t="shared" ca="1" si="3"/>
        <v>1</v>
      </c>
      <c r="F10" s="266" t="str">
        <f>IF(U8&lt;&gt;"",U8,"")</f>
        <v>Argentina</v>
      </c>
      <c r="G10" s="188"/>
      <c r="H10" s="320">
        <f>+H9+4</f>
        <v>44895</v>
      </c>
      <c r="I10" s="320"/>
      <c r="J10" s="321">
        <v>0.58333333333333337</v>
      </c>
      <c r="K10" s="321"/>
      <c r="L10" s="323" t="str">
        <f t="shared" ca="1" si="1"/>
        <v/>
      </c>
      <c r="M10" s="323"/>
      <c r="O10" s="150">
        <f>IF(R10=3,0,IF(COUNTBLANK(C10:E10)=2,"",IF(AND(C10='resultados oficiales'!Q12,'- C -'!E10='resultados oficiales'!S12),10,0)))</f>
        <v>0</v>
      </c>
      <c r="P10" s="150">
        <f>IF(R10=3,0,IF($O10=0,IF(AND(($C10-$E10)&gt;0,('resultados oficiales'!$Q12-'resultados oficiales'!$S12)&gt;0),5,IF(AND(($C10-$E10)&lt;0,('resultados oficiales'!$Q12-'resultados oficiales'!$S12)&lt;0),5,0)),0))</f>
        <v>0</v>
      </c>
      <c r="Q10" s="150">
        <f>IF(R10=3,0,IF($O10=0,IF(AND(($C10-$E10)=0,('resultados oficiales'!$Q12-'resultados oficiales'!$S12)=0),5,0),0))</f>
        <v>0</v>
      </c>
      <c r="R10" s="151">
        <f>COUNTBLANK('resultados oficiales'!Q12:S12)</f>
        <v>3</v>
      </c>
      <c r="T10" s="22"/>
      <c r="U10" s="324" t="s">
        <v>256</v>
      </c>
      <c r="V10" s="324"/>
      <c r="W10" s="22"/>
    </row>
    <row r="11" spans="1:23" ht="14.25" customHeight="1">
      <c r="A11" s="187" t="str">
        <f t="shared" ca="1" si="0"/>
        <v/>
      </c>
      <c r="B11" s="270" t="str">
        <f>IF(U10&lt;&gt;"",U10,"")</f>
        <v>Arabia Saudi</v>
      </c>
      <c r="C11" s="256">
        <f t="shared" ca="1" si="2"/>
        <v>1</v>
      </c>
      <c r="D11" s="213" t="s">
        <v>234</v>
      </c>
      <c r="E11" s="256">
        <f t="shared" ca="1" si="3"/>
        <v>4</v>
      </c>
      <c r="F11" s="267" t="str">
        <f>IF(U12&lt;&gt;"",U12,"")</f>
        <v>Mexico</v>
      </c>
      <c r="G11" s="188"/>
      <c r="H11" s="320">
        <f>+H10</f>
        <v>44895</v>
      </c>
      <c r="I11" s="320"/>
      <c r="J11" s="321">
        <f>+J10</f>
        <v>0.58333333333333337</v>
      </c>
      <c r="K11" s="321"/>
      <c r="L11" s="323" t="str">
        <f t="shared" ca="1" si="1"/>
        <v/>
      </c>
      <c r="M11" s="323"/>
      <c r="O11" s="150">
        <f>IF(R11=3,0,IF(COUNTBLANK(C10:E10)=2,"",IF(AND(C11='resultados oficiales'!Q14,'- C -'!E11='resultados oficiales'!S14),10,0)))</f>
        <v>0</v>
      </c>
      <c r="P11" s="150">
        <f>IF(R11=3,0,IF($O11=0,IF(AND(($C11-$E11)&gt;0,('resultados oficiales'!$Q14-'resultados oficiales'!$S14)&gt;0),5,IF(AND(($C11-$E11)&lt;0,('resultados oficiales'!$Q14-'resultados oficiales'!$S14)&lt;0),5,0)),0))</f>
        <v>0</v>
      </c>
      <c r="Q11" s="150">
        <f>IF(R11=3,0,IF($O11=0,IF(AND(($C11-$E11)=0,('resultados oficiales'!$Q14-'resultados oficiales'!$S14)=0),5,0),0))</f>
        <v>0</v>
      </c>
      <c r="R11" s="151">
        <f>COUNTBLANK('resultados oficiales'!Q14:S14)</f>
        <v>3</v>
      </c>
      <c r="U11" s="24"/>
      <c r="V11" s="25"/>
    </row>
    <row r="12" spans="1:23" ht="14.25" customHeight="1">
      <c r="B12" s="191"/>
      <c r="C12" s="192"/>
      <c r="D12" s="192"/>
      <c r="E12" s="192"/>
      <c r="G12" s="193"/>
      <c r="H12" s="192"/>
      <c r="I12" s="194"/>
      <c r="J12" s="185"/>
      <c r="K12" s="195"/>
      <c r="L12" s="196"/>
      <c r="M12" s="196"/>
      <c r="T12" s="22"/>
      <c r="U12" s="324" t="s">
        <v>257</v>
      </c>
      <c r="V12" s="324"/>
      <c r="W12" s="22"/>
    </row>
    <row r="13" spans="1:23" ht="14.25" customHeight="1">
      <c r="B13" s="191"/>
      <c r="C13" s="192"/>
      <c r="D13" s="192"/>
      <c r="E13" s="192"/>
      <c r="G13" s="193"/>
      <c r="H13" s="192"/>
      <c r="I13" s="192"/>
      <c r="J13" s="185"/>
      <c r="K13" s="197"/>
      <c r="L13" s="196"/>
      <c r="M13" s="196"/>
      <c r="U13" s="24"/>
      <c r="V13" s="25"/>
    </row>
    <row r="14" spans="1:23" ht="13.5" customHeight="1">
      <c r="B14" s="191"/>
      <c r="C14" s="192"/>
      <c r="D14" s="192"/>
      <c r="E14" s="192"/>
      <c r="G14" s="193"/>
      <c r="H14" s="192"/>
      <c r="I14" s="192"/>
      <c r="J14" s="185"/>
      <c r="K14" s="197"/>
      <c r="L14" s="196"/>
      <c r="M14" s="196"/>
      <c r="O14" s="198"/>
      <c r="T14" s="22"/>
      <c r="U14" s="324" t="s">
        <v>258</v>
      </c>
      <c r="V14" s="324"/>
      <c r="W14" s="22"/>
    </row>
    <row r="15" spans="1:23" ht="12.95">
      <c r="G15" s="319" t="s">
        <v>239</v>
      </c>
      <c r="H15" s="319"/>
      <c r="I15" s="319"/>
      <c r="J15" s="319"/>
      <c r="K15" s="319"/>
      <c r="L15" s="319"/>
      <c r="M15" s="319"/>
      <c r="N15" s="319"/>
      <c r="O15" s="319"/>
      <c r="P15" s="307" t="s">
        <v>226</v>
      </c>
      <c r="Q15" s="307"/>
      <c r="R15" s="307"/>
      <c r="U15" s="199"/>
      <c r="V15" s="200"/>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calculoC!F52</f>
        <v>Arabia Saudi</v>
      </c>
      <c r="H17" s="215">
        <f ca="1">calculoC!G52</f>
        <v>3</v>
      </c>
      <c r="I17" s="215">
        <f ca="1">calculoC!H52</f>
        <v>2</v>
      </c>
      <c r="J17" s="215">
        <f ca="1">calculoC!I52</f>
        <v>0</v>
      </c>
      <c r="K17" s="215">
        <f ca="1">calculoC!J52</f>
        <v>1</v>
      </c>
      <c r="L17" s="215">
        <f ca="1">calculoC!K52</f>
        <v>20</v>
      </c>
      <c r="M17" s="215">
        <f ca="1">calculoC!L52</f>
        <v>11</v>
      </c>
      <c r="N17" s="215">
        <f ca="1">L17-M17</f>
        <v>9</v>
      </c>
      <c r="O17" s="215">
        <f ca="1">calculoC!M52</f>
        <v>6</v>
      </c>
      <c r="P17" s="19"/>
      <c r="Q17" s="150">
        <f>IF(COUNTBLANK('resultados oficiales'!$Q$4:$S$14)=33,0,IF(G17='resultados oficiales'!B38,50,0))</f>
        <v>0</v>
      </c>
      <c r="R17" s="19"/>
      <c r="V17" s="184"/>
    </row>
    <row r="18" spans="2:23" ht="12.95">
      <c r="F18" s="68" t="s">
        <v>247</v>
      </c>
      <c r="G18" s="202" t="str">
        <f ca="1">calculoC!F53</f>
        <v>Polonia</v>
      </c>
      <c r="H18" s="215">
        <f ca="1">calculoC!G53</f>
        <v>3</v>
      </c>
      <c r="I18" s="215">
        <f ca="1">calculoC!H53</f>
        <v>2</v>
      </c>
      <c r="J18" s="215">
        <f ca="1">calculoC!I53</f>
        <v>0</v>
      </c>
      <c r="K18" s="215">
        <f ca="1">calculoC!J53</f>
        <v>1</v>
      </c>
      <c r="L18" s="215">
        <f ca="1">calculoC!K53</f>
        <v>17</v>
      </c>
      <c r="M18" s="215">
        <f ca="1">calculoC!L53</f>
        <v>13</v>
      </c>
      <c r="N18" s="215">
        <f ca="1">L18-M18</f>
        <v>4</v>
      </c>
      <c r="O18" s="215">
        <f ca="1">calculoC!M53</f>
        <v>6</v>
      </c>
      <c r="P18" s="19"/>
      <c r="Q18" s="150">
        <f>IF(COUNTBLANK('resultados oficiales'!$Q$4:$S$14)=33,0,IF(G18='resultados oficiales'!F58,50,0))</f>
        <v>0</v>
      </c>
      <c r="R18" s="19"/>
      <c r="T18" s="203"/>
      <c r="U18" s="24"/>
      <c r="V18" s="25"/>
      <c r="W18" s="24"/>
    </row>
    <row r="19" spans="2:23" ht="12.95">
      <c r="F19" s="24"/>
      <c r="G19" s="204" t="str">
        <f ca="1">calculoC!F54</f>
        <v>Mexico</v>
      </c>
      <c r="H19" s="215">
        <f ca="1">calculoC!G54</f>
        <v>3</v>
      </c>
      <c r="I19" s="215">
        <f ca="1">calculoC!H54</f>
        <v>1</v>
      </c>
      <c r="J19" s="215">
        <f ca="1">calculoC!I54</f>
        <v>1</v>
      </c>
      <c r="K19" s="215">
        <f ca="1">calculoC!J54</f>
        <v>1</v>
      </c>
      <c r="L19" s="215">
        <f ca="1">calculoC!K54</f>
        <v>16</v>
      </c>
      <c r="M19" s="215">
        <f ca="1">calculoC!L54</f>
        <v>17</v>
      </c>
      <c r="N19" s="215">
        <f ca="1">L19-M19</f>
        <v>-1</v>
      </c>
      <c r="O19" s="215">
        <f ca="1">calculoC!M54</f>
        <v>4</v>
      </c>
      <c r="P19" s="19"/>
      <c r="Q19" s="19"/>
      <c r="R19" s="19"/>
      <c r="T19" s="203"/>
      <c r="U19" s="24"/>
      <c r="V19" s="25"/>
      <c r="W19" s="24"/>
    </row>
    <row r="20" spans="2:23" ht="12.95">
      <c r="F20" s="24"/>
      <c r="G20" s="204" t="str">
        <f ca="1">calculoC!F55</f>
        <v>Argentina</v>
      </c>
      <c r="H20" s="215">
        <f ca="1">calculoC!G55</f>
        <v>3</v>
      </c>
      <c r="I20" s="215">
        <f ca="1">calculoC!H55</f>
        <v>0</v>
      </c>
      <c r="J20" s="215">
        <f ca="1">calculoC!I55</f>
        <v>1</v>
      </c>
      <c r="K20" s="215">
        <f ca="1">calculoC!J55</f>
        <v>2</v>
      </c>
      <c r="L20" s="215">
        <f ca="1">calculoC!K55</f>
        <v>10</v>
      </c>
      <c r="M20" s="215">
        <f ca="1">calculoC!L55</f>
        <v>22</v>
      </c>
      <c r="N20" s="215">
        <f ca="1">L20-M20</f>
        <v>-12</v>
      </c>
      <c r="O20" s="215">
        <f ca="1">calculoC!M55</f>
        <v>1</v>
      </c>
      <c r="P20" s="19"/>
      <c r="Q20" s="19"/>
      <c r="R20" s="19"/>
      <c r="T20" s="24"/>
      <c r="U20" s="24"/>
      <c r="V20" s="25"/>
      <c r="W20" s="24"/>
    </row>
    <row r="21" spans="2:23" ht="12.95" thickBot="1">
      <c r="P21" s="19"/>
      <c r="Q21" s="19"/>
      <c r="R21" s="19"/>
      <c r="T21" s="24"/>
      <c r="U21" s="24"/>
      <c r="V21" s="25"/>
      <c r="W21" s="24"/>
    </row>
    <row r="22" spans="2:23" ht="11.25" customHeight="1" thickBot="1">
      <c r="P22" s="205" t="s">
        <v>248</v>
      </c>
      <c r="Q22" s="206"/>
      <c r="R22" s="207">
        <f>SUM(O6:Q11)+Q17+Q18</f>
        <v>0</v>
      </c>
      <c r="V22" s="184"/>
    </row>
    <row r="23" spans="2:23" ht="9" customHeight="1">
      <c r="V23" s="184"/>
    </row>
    <row r="24" spans="2:23" ht="12.95">
      <c r="B24" s="209"/>
      <c r="C24" s="210"/>
      <c r="N24" s="211"/>
      <c r="O24" s="211"/>
      <c r="V24" s="208"/>
    </row>
    <row r="25" spans="2:23">
      <c r="T25" s="177" t="s">
        <v>249</v>
      </c>
      <c r="U25" s="178">
        <f ca="1">TODAY()</f>
        <v>44878</v>
      </c>
      <c r="V25" s="179">
        <f ca="1">NOW()</f>
        <v>44878.303923611114</v>
      </c>
    </row>
    <row r="26" spans="2:23" hidden="1"/>
    <row r="27" spans="2:23" hidden="1">
      <c r="U27" s="23">
        <f ca="1">HOUR(V25)</f>
        <v>7</v>
      </c>
      <c r="V27" s="23">
        <f ca="1">MINUTE(V25)</f>
        <v>17</v>
      </c>
    </row>
    <row r="29" spans="2:23" ht="12.95">
      <c r="U29" s="318"/>
      <c r="V29" s="318"/>
    </row>
  </sheetData>
  <sheetProtection algorithmName="SHA-512" hashValue="IrXtuxNxVFVRtcb+H0avaljBf4WZ1smA+6cJPhgXtHG+w/Vwn4SUXqU/CWzuIUq4mkKjyfDTJt10mO9RqyiORQ==" saltValue="Xqiz2KX1Xv+p69Fmj4HaNA==" spinCount="100000" sheet="1" selectLockedCells="1"/>
  <dataConsolidate/>
  <customSheetViews>
    <customSheetView guid="{387210E2-BDFB-42E5-A6C7-A37C9701EAB6}" showGridLines="0" showRowCol="0" outlineSymbols="0" fitToPage="1" hiddenRows="1">
      <selection sqref="A1:S2"/>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sqref="A1:S2"/>
      <pageMargins left="0" right="0" top="0" bottom="0" header="0" footer="0"/>
      <pageSetup paperSize="9" scale="89" orientation="portrait" horizontalDpi="300" verticalDpi="300"/>
      <headerFooter alignWithMargins="0"/>
    </customSheetView>
  </customSheetViews>
  <mergeCells count="32">
    <mergeCell ref="A1:S2"/>
    <mergeCell ref="U8:V8"/>
    <mergeCell ref="U10:V10"/>
    <mergeCell ref="J8:K8"/>
    <mergeCell ref="J9:K9"/>
    <mergeCell ref="J10:K10"/>
    <mergeCell ref="H5:I5"/>
    <mergeCell ref="J5:K5"/>
    <mergeCell ref="T5:W6"/>
    <mergeCell ref="H7:I7"/>
    <mergeCell ref="H8:I8"/>
    <mergeCell ref="H9:I9"/>
    <mergeCell ref="H10:I10"/>
    <mergeCell ref="L7:M7"/>
    <mergeCell ref="L9:M9"/>
    <mergeCell ref="L10:M10"/>
    <mergeCell ref="P15:R15"/>
    <mergeCell ref="U29:V29"/>
    <mergeCell ref="B4:M4"/>
    <mergeCell ref="H6:I6"/>
    <mergeCell ref="J6:K6"/>
    <mergeCell ref="L5:M5"/>
    <mergeCell ref="L6:M6"/>
    <mergeCell ref="L8:M8"/>
    <mergeCell ref="J7:K7"/>
    <mergeCell ref="G15:O15"/>
    <mergeCell ref="L11:M11"/>
    <mergeCell ref="H11:I11"/>
    <mergeCell ref="J11:K11"/>
    <mergeCell ref="U14:V14"/>
    <mergeCell ref="O4:Q4"/>
    <mergeCell ref="U12:V12"/>
  </mergeCells>
  <phoneticPr fontId="6" type="noConversion"/>
  <conditionalFormatting sqref="F17:F18">
    <cfRule type="expression" dxfId="148" priority="19" stopIfTrue="1">
      <formula>IF(AND($H$17=3,$H$18=3,$H$19=3,$H$20=3),1,0)</formula>
    </cfRule>
  </conditionalFormatting>
  <conditionalFormatting sqref="G17:O18">
    <cfRule type="expression" dxfId="147" priority="20" stopIfTrue="1">
      <formula>IF(AND($H$17=3,$H$18=3,$H$19=3,$H$20=3),1,0)</formula>
    </cfRule>
  </conditionalFormatting>
  <conditionalFormatting sqref="B7 F7:M7">
    <cfRule type="expression" dxfId="146" priority="21" stopIfTrue="1">
      <formula>IF(OR($L$7="en juego",$L$7="hoy!"),1,0)</formula>
    </cfRule>
  </conditionalFormatting>
  <conditionalFormatting sqref="O4:Q11 P15:R16 Q17:Q18 B6 J9:K9 F6:M6">
    <cfRule type="expression" dxfId="145" priority="22" stopIfTrue="1">
      <formula>IF(OR($L$6="en juego",$L$6="hoy!"),1,0)</formula>
    </cfRule>
  </conditionalFormatting>
  <conditionalFormatting sqref="B8 H9:I9 F8:M8">
    <cfRule type="expression" dxfId="144" priority="23" stopIfTrue="1">
      <formula>IF(OR($L$8="en juego",$L$8="hoy!"),1,0)</formula>
    </cfRule>
  </conditionalFormatting>
  <conditionalFormatting sqref="B9 L9:M9 F9:G9">
    <cfRule type="expression" dxfId="143" priority="24" stopIfTrue="1">
      <formula>IF(OR($L$9="en juego",$L$9="hoy!"),1,0)</formula>
    </cfRule>
  </conditionalFormatting>
  <conditionalFormatting sqref="L10:M10 B10 H11:I11 F10:I10">
    <cfRule type="expression" dxfId="142" priority="25" stopIfTrue="1">
      <formula>IF(OR($L$10="en juego",$L$10="hoy!"),1,0)</formula>
    </cfRule>
  </conditionalFormatting>
  <conditionalFormatting sqref="B11 L11:M11 F11:G11">
    <cfRule type="expression" dxfId="141" priority="26" stopIfTrue="1">
      <formula>IF(OR($L$11="en juego",$L$11="hoy!"),1,0)</formula>
    </cfRule>
  </conditionalFormatting>
  <conditionalFormatting sqref="J10:K10">
    <cfRule type="expression" dxfId="140" priority="8" stopIfTrue="1">
      <formula>IF(OR($L$6="en juego",$L$6="hoy!"),1,0)</formula>
    </cfRule>
  </conditionalFormatting>
  <conditionalFormatting sqref="J11:K11">
    <cfRule type="expression" dxfId="139" priority="7" stopIfTrue="1">
      <formula>IF(OR($L$6="en juego",$L$6="hoy!"),1,0)</formula>
    </cfRule>
  </conditionalFormatting>
  <conditionalFormatting sqref="C7:E7">
    <cfRule type="expression" dxfId="138" priority="1" stopIfTrue="1">
      <formula>IF(OR($L$7="en juego",$L$7="hoy!"),1,0)</formula>
    </cfRule>
  </conditionalFormatting>
  <conditionalFormatting sqref="C6:E6 C7:C11 E7:E11">
    <cfRule type="expression" dxfId="137" priority="2" stopIfTrue="1">
      <formula>IF(OR($L$6="en juego",$L$6="hoy!"),1,0)</formula>
    </cfRule>
  </conditionalFormatting>
  <conditionalFormatting sqref="C8:E8">
    <cfRule type="expression" dxfId="136" priority="3" stopIfTrue="1">
      <formula>IF(OR($L$8="en juego",$L$8="hoy!"),1,0)</formula>
    </cfRule>
  </conditionalFormatting>
  <conditionalFormatting sqref="C9:E9">
    <cfRule type="expression" dxfId="135" priority="4" stopIfTrue="1">
      <formula>IF(OR($L$9="en juego",$L$9="hoy!"),1,0)</formula>
    </cfRule>
  </conditionalFormatting>
  <conditionalFormatting sqref="C10:E10">
    <cfRule type="expression" dxfId="134" priority="5" stopIfTrue="1">
      <formula>IF(OR($L$10="en juego",$L$10="hoy!"),1,0)</formula>
    </cfRule>
  </conditionalFormatting>
  <conditionalFormatting sqref="C11:E11">
    <cfRule type="expression" dxfId="133" priority="6" stopIfTrue="1">
      <formula>IF(OR($L$11="en juego",$L$11="hoy!"),1,0)</formula>
    </cfRule>
  </conditionalFormatting>
  <dataValidations count="1">
    <dataValidation type="whole" allowBlank="1" showErrorMessage="1" errorTitle="Dato no válido" error="Ingrese sólo un número entero_x000a_entre 0 y 99." sqref="C6:C11 E6:E11" xr:uid="{DDC4F68B-2558-4232-885F-B2EED74C6633}">
      <formula1>0</formula1>
      <formula2>99</formula2>
    </dataValidation>
  </dataValidations>
  <pageMargins left="0.75" right="0.75" top="1" bottom="1" header="0" footer="0"/>
  <pageSetup paperSize="9" scale="8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tabColor indexed="23"/>
    <pageSetUpPr fitToPage="1"/>
  </sheetPr>
  <dimension ref="A1:W32"/>
  <sheetViews>
    <sheetView showGridLines="0" showRowColHeaders="0" showOutlineSymbols="0" zoomScale="90" zoomScaleNormal="90" workbookViewId="0">
      <selection activeCell="E6" sqref="E6:E11"/>
    </sheetView>
  </sheetViews>
  <sheetFormatPr defaultColWidth="11.42578125" defaultRowHeight="12.6"/>
  <cols>
    <col min="1" max="1" width="2.7109375" customWidth="1"/>
    <col min="2" max="2" width="14.28515625" customWidth="1"/>
    <col min="3" max="3" width="3.28515625" customWidth="1"/>
    <col min="4" max="4" width="1.7109375" customWidth="1"/>
    <col min="5" max="5" width="3.42578125" customWidth="1"/>
    <col min="6" max="6" width="14.28515625" customWidth="1"/>
    <col min="7" max="7" width="8.28515625" bestFit="1" customWidth="1"/>
    <col min="8" max="12" width="3.7109375" customWidth="1"/>
    <col min="13" max="14" width="3.85546875" customWidth="1"/>
    <col min="15" max="15" width="8.28515625" bestFit="1" customWidth="1"/>
    <col min="16" max="16" width="8.140625" bestFit="1" customWidth="1"/>
    <col min="17" max="18" width="7.7109375" customWidth="1"/>
    <col min="19" max="19" width="1.140625" customWidth="1"/>
    <col min="20" max="20" width="3.85546875" customWidth="1"/>
    <col min="21" max="21" width="7.28515625" bestFit="1" customWidth="1"/>
    <col min="22" max="22" width="5.28515625" customWidth="1"/>
    <col min="23" max="23" width="6.28515625" customWidth="1"/>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A3" s="23"/>
      <c r="B3" s="23"/>
      <c r="C3" s="23"/>
      <c r="D3" s="23"/>
      <c r="E3" s="23"/>
      <c r="F3" s="23"/>
      <c r="G3" s="184"/>
      <c r="H3" s="23"/>
      <c r="I3" s="23"/>
      <c r="J3" s="23"/>
      <c r="K3" s="23"/>
      <c r="L3" s="185"/>
      <c r="M3" s="185"/>
      <c r="N3" s="23"/>
      <c r="O3" s="23"/>
      <c r="P3" s="23"/>
      <c r="Q3" s="23"/>
      <c r="R3" s="184"/>
      <c r="S3" s="23"/>
      <c r="T3" s="23"/>
    </row>
    <row r="4" spans="1:23" ht="12.75" customHeight="1">
      <c r="A4" s="23"/>
      <c r="B4" s="319" t="s">
        <v>225</v>
      </c>
      <c r="C4" s="319"/>
      <c r="D4" s="319"/>
      <c r="E4" s="319"/>
      <c r="F4" s="319"/>
      <c r="G4" s="319"/>
      <c r="H4" s="319"/>
      <c r="I4" s="319"/>
      <c r="J4" s="319"/>
      <c r="K4" s="319"/>
      <c r="L4" s="319"/>
      <c r="M4" s="319"/>
      <c r="N4" s="23"/>
      <c r="O4" s="307" t="s">
        <v>226</v>
      </c>
      <c r="P4" s="307"/>
      <c r="Q4" s="307"/>
      <c r="T4" s="23"/>
    </row>
    <row r="5" spans="1:23" ht="12.75" customHeight="1">
      <c r="A5" s="23"/>
      <c r="B5" s="23"/>
      <c r="C5" s="23"/>
      <c r="D5" s="23"/>
      <c r="E5" s="23"/>
      <c r="F5" s="23"/>
      <c r="G5" s="186"/>
      <c r="H5" s="325" t="s">
        <v>228</v>
      </c>
      <c r="I5" s="325"/>
      <c r="J5" s="322" t="s">
        <v>229</v>
      </c>
      <c r="K5" s="322"/>
      <c r="L5" s="322" t="s">
        <v>230</v>
      </c>
      <c r="M5" s="322"/>
      <c r="N5" s="23"/>
      <c r="O5" s="147" t="s">
        <v>231</v>
      </c>
      <c r="P5" s="147" t="s">
        <v>232</v>
      </c>
      <c r="Q5" s="147" t="s">
        <v>233</v>
      </c>
      <c r="T5" s="326" t="s">
        <v>259</v>
      </c>
      <c r="U5" s="327"/>
      <c r="V5" s="327"/>
      <c r="W5" s="327"/>
    </row>
    <row r="6" spans="1:23" ht="14.25" customHeight="1">
      <c r="A6" s="187" t="str">
        <f t="shared" ref="A6:A11" ca="1" si="0">IF(OR(L6="finalizado",L6="en juego",L6="hoy!"),"Ø","")</f>
        <v/>
      </c>
      <c r="B6" s="272" t="str">
        <f>IF(U8&lt;&gt;"",U8,"")</f>
        <v>Francia</v>
      </c>
      <c r="C6" s="256">
        <f ca="1">RANDBETWEEN(0,10)</f>
        <v>6</v>
      </c>
      <c r="D6" s="213" t="s">
        <v>234</v>
      </c>
      <c r="E6" s="256">
        <f ca="1">RANDBETWEEN(0,10)</f>
        <v>9</v>
      </c>
      <c r="F6" s="275" t="str">
        <f>IF(U10&lt;&gt;"",U10,"")</f>
        <v>Australia</v>
      </c>
      <c r="G6" s="188"/>
      <c r="H6" s="320">
        <v>44887</v>
      </c>
      <c r="I6" s="320"/>
      <c r="J6" s="321">
        <v>0.58333333333333337</v>
      </c>
      <c r="K6" s="321"/>
      <c r="L6" s="323" t="str">
        <f t="shared" ref="L6:L11" ca="1" si="1">IF(OR(H6="",J6="",H6&lt;$U$25),"",IF(H6=$U$25,IF(AND(J6&lt;=$V$27,$V$27&lt;=(J6+0.08333333333)),"en juego",IF($V$27&lt;J6,"hoy!","finalizado")),IF($U$25&gt;H6,"finalizado","")))</f>
        <v/>
      </c>
      <c r="M6" s="323"/>
      <c r="N6" s="23"/>
      <c r="O6" s="150">
        <f>IF(R6=3,0,IF(COUNTBLANK(C6:E6)=2,"",IF(AND(C6='resultados oficiales'!X4,'- D -'!E6='resultados oficiales'!Z4),10,0)))</f>
        <v>0</v>
      </c>
      <c r="P6" s="150">
        <f>IF(R6=3,0,IF($O6=0,IF(AND(($C6-$E6)&gt;0,('resultados oficiales'!$X4-'resultados oficiales'!$Z4)&gt;0),5,IF(AND(($C6-$E6)&lt;0,('resultados oficiales'!$X4-'resultados oficiales'!$Z4)&lt;0),5,0)),0))</f>
        <v>0</v>
      </c>
      <c r="Q6" s="150">
        <f>IF(R6=3,0,IF($O6=0,IF(AND(($C6-$E6)=0,('resultados oficiales'!$X4-'resultados oficiales'!$Z4)=0),5,0),0))</f>
        <v>0</v>
      </c>
      <c r="R6" s="151">
        <f>COUNTBLANK('resultados oficiales'!X4:Z4)</f>
        <v>3</v>
      </c>
      <c r="T6" s="327"/>
      <c r="U6" s="327"/>
      <c r="V6" s="327"/>
      <c r="W6" s="327"/>
    </row>
    <row r="7" spans="1:23" ht="14.25" customHeight="1">
      <c r="A7" s="187" t="str">
        <f t="shared" ca="1" si="0"/>
        <v/>
      </c>
      <c r="B7" s="276" t="str">
        <f>IF(U12&lt;&gt;"",U12,"")</f>
        <v>Dinamarca</v>
      </c>
      <c r="C7" s="256">
        <f t="shared" ref="C7:C11" ca="1" si="2">RANDBETWEEN(0,10)</f>
        <v>1</v>
      </c>
      <c r="D7" s="213" t="s">
        <v>234</v>
      </c>
      <c r="E7" s="256">
        <f t="shared" ref="E7:E11" ca="1" si="3">RANDBETWEEN(0,10)</f>
        <v>0</v>
      </c>
      <c r="F7" s="269" t="str">
        <f>IF(U14&lt;&gt;"",U14,"")</f>
        <v>Tunez</v>
      </c>
      <c r="G7" s="188"/>
      <c r="H7" s="320">
        <f>+H6</f>
        <v>44887</v>
      </c>
      <c r="I7" s="320"/>
      <c r="J7" s="321">
        <v>0.33333333333333331</v>
      </c>
      <c r="K7" s="321"/>
      <c r="L7" s="323" t="str">
        <f t="shared" ca="1" si="1"/>
        <v/>
      </c>
      <c r="M7" s="323"/>
      <c r="N7" s="189"/>
      <c r="O7" s="150">
        <f ca="1">IF(COUNTBLANK(C7:E7)=2,"",IF(AND(C7='resultados oficiales'!X6,'- D -'!E7='resultados oficiales'!Z6),10,0))</f>
        <v>0</v>
      </c>
      <c r="P7" s="150">
        <f>IF(R7=3,0,IF($O7=0,IF(AND(($C7-$E7)&gt;0,('resultados oficiales'!$C6-'resultados oficiales'!$E6)&gt;0),5,IF(AND(($C7-$E7)&lt;0,('resultados oficiales'!$C6-'resultados oficiales'!$E6)&lt;0),5,0)),0))</f>
        <v>0</v>
      </c>
      <c r="Q7" s="150">
        <f>IF(R7=3,0,IF(R7=3,0,IF($O7=0,IF(AND(($C7-$E7)=0,('resultados oficiales'!$C6-'resultados oficiales'!$E6)=0),5,0),0)))</f>
        <v>0</v>
      </c>
      <c r="R7" s="151">
        <f>COUNTBLANK('resultados oficiales'!X6:Z6)</f>
        <v>3</v>
      </c>
      <c r="T7" s="23"/>
      <c r="U7" s="23"/>
      <c r="V7" s="184"/>
      <c r="W7" s="23"/>
    </row>
    <row r="8" spans="1:23" ht="14.25" customHeight="1">
      <c r="A8" s="187" t="str">
        <f t="shared" ca="1" si="0"/>
        <v/>
      </c>
      <c r="B8" s="272" t="str">
        <f>IF(U8&lt;&gt;"",U8,"")</f>
        <v>Francia</v>
      </c>
      <c r="C8" s="256">
        <f t="shared" ca="1" si="2"/>
        <v>2</v>
      </c>
      <c r="D8" s="213" t="s">
        <v>234</v>
      </c>
      <c r="E8" s="256">
        <f t="shared" ca="1" si="3"/>
        <v>1</v>
      </c>
      <c r="F8" s="277" t="str">
        <f>IF(U12&lt;&gt;"",U12,"")</f>
        <v>Dinamarca</v>
      </c>
      <c r="G8" s="188"/>
      <c r="H8" s="320">
        <f>+H7+4</f>
        <v>44891</v>
      </c>
      <c r="I8" s="320"/>
      <c r="J8" s="321">
        <v>0.45833333333333331</v>
      </c>
      <c r="K8" s="321"/>
      <c r="L8" s="323" t="str">
        <f t="shared" ca="1" si="1"/>
        <v/>
      </c>
      <c r="M8" s="323"/>
      <c r="N8" s="190"/>
      <c r="O8" s="150">
        <f>IF(R8=3,0,IF(COUNTBLANK(C8:E8)=2,"",IF(AND(C8='resultados oficiales'!X8,'- D -'!E8='resultados oficiales'!Z8),10,0)))</f>
        <v>0</v>
      </c>
      <c r="P8" s="150">
        <f>IF(R8=3,0,IF($O8=0,IF(AND(($C8-$E8)&gt;0,('resultados oficiales'!$X8-'resultados oficiales'!$Z8)&gt;0),5,IF(AND(($C8-$E8)&lt;0,('resultados oficiales'!$X8-'resultados oficiales'!$Z8)&lt;0),5,0)),0))</f>
        <v>0</v>
      </c>
      <c r="Q8" s="150">
        <f>IF(R8=3,0,IF($O8=0,IF(AND(($C8-$E8)=0,('resultados oficiales'!$X8-'resultados oficiales'!$Z8)=0),5,0),0))</f>
        <v>0</v>
      </c>
      <c r="R8" s="151">
        <f>COUNTBLANK('resultados oficiales'!X8:Z8)</f>
        <v>3</v>
      </c>
      <c r="T8" s="22"/>
      <c r="U8" s="324" t="s">
        <v>260</v>
      </c>
      <c r="V8" s="324"/>
      <c r="W8" s="22"/>
    </row>
    <row r="9" spans="1:23" ht="14.25" customHeight="1">
      <c r="A9" s="187" t="str">
        <f t="shared" ca="1" si="0"/>
        <v/>
      </c>
      <c r="B9" s="278" t="str">
        <f>IF(U14&lt;&gt;"",U14,"")</f>
        <v>Tunez</v>
      </c>
      <c r="C9" s="256">
        <f t="shared" ca="1" si="2"/>
        <v>0</v>
      </c>
      <c r="D9" s="213" t="s">
        <v>234</v>
      </c>
      <c r="E9" s="256">
        <f t="shared" ca="1" si="3"/>
        <v>2</v>
      </c>
      <c r="F9" s="275" t="str">
        <f>IF(U10&lt;&gt;"",U10,"")</f>
        <v>Australia</v>
      </c>
      <c r="G9" s="188"/>
      <c r="H9" s="320">
        <f>+H8</f>
        <v>44891</v>
      </c>
      <c r="I9" s="320"/>
      <c r="J9" s="321">
        <v>0.20833333333333334</v>
      </c>
      <c r="K9" s="321"/>
      <c r="L9" s="323" t="str">
        <f t="shared" ca="1" si="1"/>
        <v/>
      </c>
      <c r="M9" s="323"/>
      <c r="N9" s="23"/>
      <c r="O9" s="150">
        <f>IF(R9=3,0,IF(COUNTBLANK(C9:E9)=2,"",IF(AND(C9='resultados oficiales'!X10,'- D -'!E9='resultados oficiales'!Z10),10,0)))</f>
        <v>0</v>
      </c>
      <c r="P9" s="150">
        <f>IF(R9=3,0,IF($O9=0,IF(AND(($C9-$E9)&gt;0,('resultados oficiales'!$X10-'resultados oficiales'!$Z10)&gt;0),5,IF(AND(($C9-$E9)&lt;0,('resultados oficiales'!$X10-'resultados oficiales'!$Z10)&lt;0),5,0)),0))</f>
        <v>0</v>
      </c>
      <c r="Q9" s="150">
        <f>IF(R9=3,0,IF($O9=0,IF(AND(($C9-$E9)=0,('resultados oficiales'!$X10-'resultados oficiales'!$Z10)=0),5,0),0))</f>
        <v>0</v>
      </c>
      <c r="R9" s="151">
        <f>COUNTBLANK('resultados oficiales'!X10:Z10)</f>
        <v>3</v>
      </c>
      <c r="T9" s="23"/>
      <c r="U9" s="24"/>
      <c r="V9" s="25"/>
      <c r="W9" s="23"/>
    </row>
    <row r="10" spans="1:23" ht="14.25" customHeight="1">
      <c r="A10" s="187" t="str">
        <f t="shared" ca="1" si="0"/>
        <v/>
      </c>
      <c r="B10" s="279" t="str">
        <f>IF(U14&lt;&gt;"",U14,"")</f>
        <v>Tunez</v>
      </c>
      <c r="C10" s="256">
        <f t="shared" ca="1" si="2"/>
        <v>4</v>
      </c>
      <c r="D10" s="213" t="s">
        <v>234</v>
      </c>
      <c r="E10" s="256">
        <f t="shared" ca="1" si="3"/>
        <v>6</v>
      </c>
      <c r="F10" s="273" t="str">
        <f>IF(U8&lt;&gt;"",U8,"")</f>
        <v>Francia</v>
      </c>
      <c r="G10" s="188"/>
      <c r="H10" s="320">
        <f>+H9+4</f>
        <v>44895</v>
      </c>
      <c r="I10" s="320"/>
      <c r="J10" s="321">
        <v>0.41666666666666669</v>
      </c>
      <c r="K10" s="321"/>
      <c r="L10" s="323" t="str">
        <f t="shared" ca="1" si="1"/>
        <v/>
      </c>
      <c r="M10" s="323"/>
      <c r="N10" s="23"/>
      <c r="O10" s="150">
        <f>IF(R10=3,0,IF(COUNTBLANK(C10:E10)=2,"",IF(AND(C10='resultados oficiales'!X12,'- D -'!E10='resultados oficiales'!Z12),10,0)))</f>
        <v>0</v>
      </c>
      <c r="P10" s="150">
        <f>IF(R10=3,0,IF($O10=0,IF(AND(($C10-$E10)&gt;0,('resultados oficiales'!$X12-'resultados oficiales'!$Z12)&gt;0),5,IF(AND(($C10-$E10)&lt;0,('resultados oficiales'!$X12-'resultados oficiales'!$Z12)&lt;0),5,0)),0))</f>
        <v>0</v>
      </c>
      <c r="Q10" s="150">
        <f>IF(R10=3,0,IF($O10=0,IF(AND(($C10-$E10)=0,('resultados oficiales'!$X12-'resultados oficiales'!$Z12)=0),5,0),0))</f>
        <v>0</v>
      </c>
      <c r="R10" s="151">
        <f>COUNTBLANK('resultados oficiales'!X12:Z12)</f>
        <v>3</v>
      </c>
      <c r="T10" s="22"/>
      <c r="U10" s="324" t="s">
        <v>261</v>
      </c>
      <c r="V10" s="324"/>
      <c r="W10" s="22"/>
    </row>
    <row r="11" spans="1:23" ht="14.25" customHeight="1">
      <c r="A11" s="187" t="str">
        <f t="shared" ca="1" si="0"/>
        <v/>
      </c>
      <c r="B11" s="274" t="str">
        <f>IF(U10&lt;&gt;"",U10,"")</f>
        <v>Australia</v>
      </c>
      <c r="C11" s="256">
        <f t="shared" ca="1" si="2"/>
        <v>6</v>
      </c>
      <c r="D11" s="213" t="s">
        <v>234</v>
      </c>
      <c r="E11" s="256">
        <f t="shared" ca="1" si="3"/>
        <v>6</v>
      </c>
      <c r="F11" s="277" t="str">
        <f>IF(U12&lt;&gt;"",U12,"")</f>
        <v>Dinamarca</v>
      </c>
      <c r="G11" s="188"/>
      <c r="H11" s="320">
        <f>+H10</f>
        <v>44895</v>
      </c>
      <c r="I11" s="320"/>
      <c r="J11" s="321">
        <f>+J10</f>
        <v>0.41666666666666669</v>
      </c>
      <c r="K11" s="321"/>
      <c r="L11" s="323" t="str">
        <f t="shared" ca="1" si="1"/>
        <v/>
      </c>
      <c r="M11" s="323"/>
      <c r="N11" s="23"/>
      <c r="O11" s="150">
        <f>IF(R11=3,0,IF(COUNTBLANK(C10:E10)=2,"",IF(AND(C11='resultados oficiales'!X14,'- D -'!E11='resultados oficiales'!Z14),10,0)))</f>
        <v>0</v>
      </c>
      <c r="P11" s="150">
        <f>IF(R11=3,0,IF($O11=0,IF(AND(($C11-$E11)&gt;0,('resultados oficiales'!$X14-'resultados oficiales'!$Z14)&gt;0),5,IF(AND(($C11-$E11)&lt;0,('resultados oficiales'!$X14-'resultados oficiales'!$Z14)&lt;0),5,0)),0))</f>
        <v>0</v>
      </c>
      <c r="Q11" s="150">
        <f>IF(R11=3,0,IF($O11=0,IF(AND(($C11-$E11)=0,('resultados oficiales'!$X14-'resultados oficiales'!$Z14)=0),5,0),0))</f>
        <v>0</v>
      </c>
      <c r="R11" s="151">
        <f>COUNTBLANK('resultados oficiales'!X14:Z14)</f>
        <v>3</v>
      </c>
      <c r="T11" s="23"/>
      <c r="U11" s="24"/>
      <c r="V11" s="25"/>
      <c r="W11" s="23"/>
    </row>
    <row r="12" spans="1:23" ht="14.25" customHeight="1">
      <c r="A12" s="23"/>
      <c r="B12" s="191"/>
      <c r="C12" s="192"/>
      <c r="D12" s="192"/>
      <c r="E12" s="192"/>
      <c r="F12" s="23"/>
      <c r="G12" s="193"/>
      <c r="H12" s="192"/>
      <c r="I12" s="194"/>
      <c r="J12" s="185"/>
      <c r="K12" s="195"/>
      <c r="L12" s="196"/>
      <c r="M12" s="196"/>
      <c r="N12" s="23"/>
      <c r="O12" s="23"/>
      <c r="T12" s="22"/>
      <c r="U12" s="324" t="s">
        <v>262</v>
      </c>
      <c r="V12" s="324"/>
      <c r="W12" s="22"/>
    </row>
    <row r="13" spans="1:23" ht="14.25" customHeight="1">
      <c r="A13" s="23"/>
      <c r="B13" s="191"/>
      <c r="C13" s="192"/>
      <c r="D13" s="192"/>
      <c r="E13" s="192"/>
      <c r="F13" s="23"/>
      <c r="G13" s="193"/>
      <c r="H13" s="192"/>
      <c r="I13" s="192"/>
      <c r="J13" s="185"/>
      <c r="K13" s="197"/>
      <c r="L13" s="196"/>
      <c r="M13" s="196"/>
      <c r="N13" s="23"/>
      <c r="O13" s="23"/>
      <c r="T13" s="23"/>
      <c r="U13" s="24"/>
      <c r="V13" s="25"/>
      <c r="W13" s="23"/>
    </row>
    <row r="14" spans="1:23" ht="13.5" customHeight="1">
      <c r="A14" s="23"/>
      <c r="B14" s="191"/>
      <c r="C14" s="192"/>
      <c r="D14" s="192"/>
      <c r="E14" s="192"/>
      <c r="F14" s="23"/>
      <c r="G14" s="193"/>
      <c r="H14" s="192"/>
      <c r="I14" s="192"/>
      <c r="J14" s="185"/>
      <c r="K14" s="197"/>
      <c r="L14" s="196"/>
      <c r="M14" s="196"/>
      <c r="N14" s="23"/>
      <c r="O14" s="198"/>
      <c r="T14" s="22"/>
      <c r="U14" s="324" t="s">
        <v>263</v>
      </c>
      <c r="V14" s="324"/>
      <c r="W14" s="22"/>
    </row>
    <row r="15" spans="1:23" ht="12.95">
      <c r="A15" s="23"/>
      <c r="B15" s="23"/>
      <c r="C15" s="23"/>
      <c r="D15" s="23"/>
      <c r="E15" s="23"/>
      <c r="F15" s="23"/>
      <c r="G15" s="319" t="s">
        <v>239</v>
      </c>
      <c r="H15" s="319"/>
      <c r="I15" s="319"/>
      <c r="J15" s="319"/>
      <c r="K15" s="319"/>
      <c r="L15" s="319"/>
      <c r="M15" s="319"/>
      <c r="N15" s="319"/>
      <c r="O15" s="319"/>
      <c r="P15" s="307" t="s">
        <v>226</v>
      </c>
      <c r="Q15" s="307"/>
      <c r="R15" s="307"/>
      <c r="T15" s="23"/>
      <c r="U15" s="199"/>
      <c r="V15" s="200"/>
      <c r="W15" s="23"/>
    </row>
    <row r="16" spans="1:23">
      <c r="A16" s="23"/>
      <c r="B16" s="23"/>
      <c r="C16" s="23"/>
      <c r="D16" s="23"/>
      <c r="E16" s="23"/>
      <c r="F16" s="23"/>
      <c r="G16" s="23"/>
      <c r="H16" s="201" t="s">
        <v>240</v>
      </c>
      <c r="I16" s="201" t="s">
        <v>76</v>
      </c>
      <c r="J16" s="201" t="s">
        <v>63</v>
      </c>
      <c r="K16" s="201" t="s">
        <v>241</v>
      </c>
      <c r="L16" s="201" t="s">
        <v>242</v>
      </c>
      <c r="M16" s="201" t="s">
        <v>243</v>
      </c>
      <c r="N16" s="201" t="s">
        <v>244</v>
      </c>
      <c r="O16" s="201" t="s">
        <v>245</v>
      </c>
      <c r="P16" s="147"/>
      <c r="Q16" s="147" t="s">
        <v>246</v>
      </c>
      <c r="R16" s="147"/>
      <c r="T16" s="23"/>
      <c r="U16" s="23"/>
      <c r="V16" s="184"/>
      <c r="W16" s="23"/>
    </row>
    <row r="17" spans="1:23" ht="12.95">
      <c r="A17" s="23"/>
      <c r="B17" s="23"/>
      <c r="C17" s="23"/>
      <c r="D17" s="23"/>
      <c r="E17" s="23"/>
      <c r="F17" s="68" t="s">
        <v>247</v>
      </c>
      <c r="G17" s="202" t="str">
        <f ca="1">calculoD!F52</f>
        <v>Australia</v>
      </c>
      <c r="H17" s="215">
        <f ca="1">calculoD!G52</f>
        <v>3</v>
      </c>
      <c r="I17" s="215">
        <f ca="1">calculoD!H52</f>
        <v>2</v>
      </c>
      <c r="J17" s="215">
        <f ca="1">calculoD!I52</f>
        <v>1</v>
      </c>
      <c r="K17" s="215">
        <f ca="1">calculoD!J52</f>
        <v>0</v>
      </c>
      <c r="L17" s="215">
        <f ca="1">calculoD!K52</f>
        <v>17</v>
      </c>
      <c r="M17" s="215">
        <f ca="1">calculoD!L52</f>
        <v>12</v>
      </c>
      <c r="N17" s="215">
        <f ca="1">L17-M17</f>
        <v>5</v>
      </c>
      <c r="O17" s="215">
        <f ca="1">calculoD!M52</f>
        <v>7</v>
      </c>
      <c r="P17" s="19"/>
      <c r="Q17" s="150">
        <f>IF(COUNTBLANK('resultados oficiales'!$X$4:$Z$14)=33,0,IF(G17='resultados oficiales'!B58,50,0))</f>
        <v>0</v>
      </c>
      <c r="R17" s="19"/>
      <c r="T17" s="23"/>
      <c r="U17" s="23"/>
      <c r="V17" s="184"/>
      <c r="W17" s="23"/>
    </row>
    <row r="18" spans="1:23" ht="12.95">
      <c r="A18" s="23"/>
      <c r="B18" s="23"/>
      <c r="C18" s="23"/>
      <c r="D18" s="23"/>
      <c r="E18" s="23"/>
      <c r="F18" s="68" t="s">
        <v>247</v>
      </c>
      <c r="G18" s="202" t="str">
        <f ca="1">calculoD!F53</f>
        <v>Francia</v>
      </c>
      <c r="H18" s="215">
        <f ca="1">calculoD!G53</f>
        <v>3</v>
      </c>
      <c r="I18" s="215">
        <f ca="1">calculoD!H53</f>
        <v>2</v>
      </c>
      <c r="J18" s="215">
        <f ca="1">calculoD!I53</f>
        <v>0</v>
      </c>
      <c r="K18" s="215">
        <f ca="1">calculoD!J53</f>
        <v>1</v>
      </c>
      <c r="L18" s="215">
        <f ca="1">calculoD!K53</f>
        <v>14</v>
      </c>
      <c r="M18" s="215">
        <f ca="1">calculoD!L53</f>
        <v>14</v>
      </c>
      <c r="N18" s="215">
        <f ca="1">L18-M18</f>
        <v>0</v>
      </c>
      <c r="O18" s="215">
        <f ca="1">calculoD!M53</f>
        <v>6</v>
      </c>
      <c r="P18" s="19"/>
      <c r="Q18" s="150">
        <f>IF(COUNTBLANK('resultados oficiales'!$X$4:$Z$14)=33,0,IF(G18='resultados oficiales'!F38,50,0))</f>
        <v>0</v>
      </c>
      <c r="R18" s="19"/>
      <c r="T18" s="203"/>
      <c r="U18" s="24"/>
      <c r="V18" s="25"/>
      <c r="W18" s="24"/>
    </row>
    <row r="19" spans="1:23" ht="12.95">
      <c r="A19" s="23"/>
      <c r="B19" s="23"/>
      <c r="C19" s="23"/>
      <c r="D19" s="23"/>
      <c r="E19" s="23"/>
      <c r="F19" s="24"/>
      <c r="G19" s="204" t="str">
        <f ca="1">calculoD!F54</f>
        <v>Dinamarca</v>
      </c>
      <c r="H19" s="215">
        <f ca="1">calculoD!G54</f>
        <v>3</v>
      </c>
      <c r="I19" s="215">
        <f ca="1">calculoD!H54</f>
        <v>1</v>
      </c>
      <c r="J19" s="215">
        <f ca="1">calculoD!I54</f>
        <v>1</v>
      </c>
      <c r="K19" s="215">
        <f ca="1">calculoD!J54</f>
        <v>1</v>
      </c>
      <c r="L19" s="215">
        <f ca="1">calculoD!K54</f>
        <v>8</v>
      </c>
      <c r="M19" s="215">
        <f ca="1">calculoD!L54</f>
        <v>8</v>
      </c>
      <c r="N19" s="215">
        <f ca="1">L19-M19</f>
        <v>0</v>
      </c>
      <c r="O19" s="215">
        <f ca="1">calculoD!M54</f>
        <v>4</v>
      </c>
      <c r="P19" s="19"/>
      <c r="Q19" s="19"/>
      <c r="R19" s="19"/>
      <c r="T19" s="203"/>
      <c r="U19" s="24"/>
      <c r="V19" s="25"/>
      <c r="W19" s="24"/>
    </row>
    <row r="20" spans="1:23" ht="12.95">
      <c r="A20" s="23"/>
      <c r="B20" s="23"/>
      <c r="C20" s="23"/>
      <c r="D20" s="23"/>
      <c r="E20" s="23"/>
      <c r="F20" s="24"/>
      <c r="G20" s="204" t="str">
        <f ca="1">calculoD!F55</f>
        <v>Tunez</v>
      </c>
      <c r="H20" s="215">
        <f ca="1">calculoD!G55</f>
        <v>3</v>
      </c>
      <c r="I20" s="215">
        <f ca="1">calculoD!H55</f>
        <v>0</v>
      </c>
      <c r="J20" s="215">
        <f ca="1">calculoD!I55</f>
        <v>0</v>
      </c>
      <c r="K20" s="215">
        <f ca="1">calculoD!J55</f>
        <v>3</v>
      </c>
      <c r="L20" s="215">
        <f ca="1">calculoD!K55</f>
        <v>4</v>
      </c>
      <c r="M20" s="215">
        <f ca="1">calculoD!L55</f>
        <v>9</v>
      </c>
      <c r="N20" s="215">
        <f ca="1">L20-M20</f>
        <v>-5</v>
      </c>
      <c r="O20" s="215">
        <f ca="1">calculoD!M55</f>
        <v>0</v>
      </c>
      <c r="P20" s="19"/>
      <c r="Q20" s="19"/>
      <c r="R20" s="19"/>
      <c r="T20" s="24"/>
      <c r="U20" s="24"/>
      <c r="V20" s="25"/>
      <c r="W20" s="24"/>
    </row>
    <row r="21" spans="1:23" ht="12.95" thickBot="1">
      <c r="A21" s="23"/>
      <c r="B21" s="23"/>
      <c r="C21" s="23"/>
      <c r="D21" s="23"/>
      <c r="E21" s="23"/>
      <c r="F21" s="23"/>
      <c r="G21" s="23"/>
      <c r="H21" s="23"/>
      <c r="I21" s="23"/>
      <c r="J21" s="23"/>
      <c r="K21" s="23"/>
      <c r="L21" s="23"/>
      <c r="M21" s="23"/>
      <c r="N21" s="23"/>
      <c r="O21" s="23"/>
      <c r="P21" s="19"/>
      <c r="Q21" s="19"/>
      <c r="R21" s="19"/>
      <c r="T21" s="24"/>
      <c r="U21" s="24"/>
      <c r="V21" s="25"/>
      <c r="W21" s="24"/>
    </row>
    <row r="22" spans="1:23" ht="11.25" customHeight="1" thickBot="1">
      <c r="A22" s="23"/>
      <c r="B22" s="23"/>
      <c r="C22" s="23"/>
      <c r="D22" s="23"/>
      <c r="E22" s="23"/>
      <c r="F22" s="23"/>
      <c r="G22" s="23"/>
      <c r="H22" s="23"/>
      <c r="I22" s="23"/>
      <c r="J22" s="23"/>
      <c r="K22" s="23"/>
      <c r="L22" s="23"/>
      <c r="M22" s="23"/>
      <c r="N22" s="23"/>
      <c r="O22" s="23"/>
      <c r="P22" s="205" t="s">
        <v>248</v>
      </c>
      <c r="Q22" s="206"/>
      <c r="R22" s="207">
        <f ca="1">SUM(O6:Q11)+Q17+Q18</f>
        <v>0</v>
      </c>
      <c r="T22" s="23"/>
      <c r="U22" s="23"/>
      <c r="V22" s="184"/>
      <c r="W22" s="23"/>
    </row>
    <row r="23" spans="1:23" ht="9" customHeight="1">
      <c r="A23" s="23"/>
      <c r="B23" s="23"/>
      <c r="C23" s="23"/>
      <c r="D23" s="23"/>
      <c r="E23" s="23"/>
      <c r="F23" s="23"/>
      <c r="G23" s="23"/>
      <c r="H23" s="23"/>
      <c r="I23" s="23"/>
      <c r="J23" s="23"/>
      <c r="K23" s="23"/>
      <c r="L23" s="23"/>
      <c r="M23" s="23"/>
      <c r="N23" s="23"/>
      <c r="O23" s="23"/>
      <c r="T23" s="23"/>
      <c r="U23" s="23"/>
      <c r="V23" s="184"/>
      <c r="W23" s="23"/>
    </row>
    <row r="24" spans="1:23" ht="12.95">
      <c r="A24" s="23"/>
      <c r="B24" s="209"/>
      <c r="C24" s="210"/>
      <c r="D24" s="23"/>
      <c r="E24" s="23"/>
      <c r="F24" s="23"/>
      <c r="G24" s="23"/>
      <c r="H24" s="23"/>
      <c r="I24" s="23"/>
      <c r="J24" s="23"/>
      <c r="K24" s="23"/>
      <c r="L24" s="23"/>
      <c r="M24" s="23"/>
      <c r="N24" s="211"/>
      <c r="O24" s="211"/>
      <c r="T24" s="23"/>
      <c r="U24" s="23"/>
      <c r="V24" s="208"/>
      <c r="W24" s="23"/>
    </row>
    <row r="25" spans="1:23">
      <c r="A25" s="23"/>
      <c r="B25" s="23"/>
      <c r="C25" s="23"/>
      <c r="D25" s="23"/>
      <c r="E25" s="23"/>
      <c r="F25" s="23"/>
      <c r="H25" s="23"/>
      <c r="I25" s="23"/>
      <c r="J25" s="23"/>
      <c r="K25" s="23"/>
      <c r="L25" s="23"/>
      <c r="M25" s="23"/>
      <c r="N25" s="23"/>
      <c r="O25" s="23"/>
      <c r="T25" s="177" t="s">
        <v>249</v>
      </c>
      <c r="U25" s="178">
        <f ca="1">TODAY()</f>
        <v>44878</v>
      </c>
      <c r="V25" s="179">
        <f ca="1">NOW()</f>
        <v>44878.303923611114</v>
      </c>
      <c r="W25" s="23"/>
    </row>
    <row r="26" spans="1:23" ht="12.75" hidden="1" customHeight="1">
      <c r="A26" s="23"/>
      <c r="B26" s="23"/>
      <c r="C26" s="23"/>
      <c r="D26" s="23"/>
      <c r="E26" s="23"/>
      <c r="F26" s="23"/>
      <c r="H26" s="23"/>
      <c r="I26" s="23"/>
      <c r="J26" s="23"/>
      <c r="K26" s="23"/>
      <c r="L26" s="23"/>
      <c r="M26" s="23"/>
      <c r="N26" s="23"/>
      <c r="O26" s="23"/>
      <c r="T26" s="23"/>
      <c r="U26" s="23"/>
      <c r="V26" s="23"/>
      <c r="W26" s="23"/>
    </row>
    <row r="27" spans="1:23" ht="12.75" hidden="1" customHeight="1">
      <c r="A27" s="23"/>
      <c r="B27" s="23"/>
      <c r="C27" s="23"/>
      <c r="D27" s="23"/>
      <c r="E27" s="23"/>
      <c r="F27" s="23"/>
      <c r="H27" s="23"/>
      <c r="I27" s="23"/>
      <c r="J27" s="23"/>
      <c r="K27" s="23"/>
      <c r="L27" s="23"/>
      <c r="M27" s="23"/>
      <c r="N27" s="23"/>
      <c r="O27" s="23"/>
      <c r="T27" s="23"/>
      <c r="U27" s="23">
        <f ca="1">HOUR($V$25)</f>
        <v>7</v>
      </c>
      <c r="V27" s="23">
        <f ca="1">MINUTE($V$25)</f>
        <v>17</v>
      </c>
      <c r="W27" s="23"/>
    </row>
    <row r="28" spans="1:23">
      <c r="A28" s="23"/>
      <c r="B28" s="23"/>
      <c r="C28" s="23"/>
      <c r="D28" s="23"/>
      <c r="E28" s="23"/>
      <c r="F28" s="23"/>
      <c r="G28" s="23"/>
      <c r="H28" s="23"/>
      <c r="I28" s="23"/>
      <c r="J28" s="23"/>
      <c r="K28" s="23"/>
      <c r="L28" s="23"/>
      <c r="M28" s="23"/>
      <c r="N28" s="23"/>
      <c r="O28" s="23"/>
      <c r="T28" s="23"/>
      <c r="U28" s="23"/>
      <c r="V28" s="23"/>
      <c r="W28" s="23"/>
    </row>
    <row r="29" spans="1:23">
      <c r="A29" s="23"/>
      <c r="B29" s="23"/>
      <c r="C29" s="23"/>
      <c r="D29" s="23"/>
      <c r="E29" s="23"/>
      <c r="F29" s="23"/>
      <c r="G29" s="23"/>
      <c r="H29" s="23"/>
      <c r="I29" s="23"/>
      <c r="J29" s="23"/>
      <c r="K29" s="23"/>
      <c r="L29" s="23"/>
      <c r="M29" s="23"/>
      <c r="N29" s="23"/>
      <c r="O29" s="23"/>
      <c r="P29" s="23"/>
      <c r="Q29" s="23"/>
      <c r="R29" s="23"/>
      <c r="S29" s="23"/>
      <c r="T29" s="23"/>
      <c r="U29" s="23"/>
      <c r="V29" s="23"/>
      <c r="W29" s="23"/>
    </row>
    <row r="30" spans="1:23">
      <c r="G30" s="23"/>
    </row>
    <row r="31" spans="1:23">
      <c r="G31" s="23"/>
    </row>
    <row r="32" spans="1:23">
      <c r="G32" s="23"/>
    </row>
  </sheetData>
  <sheetProtection algorithmName="SHA-512" hashValue="rNCWiQ2BMKWAvlVEgiIrtToPWC91SVR162YB05p0yWiDqXaiCI/HOF1shaGPWDeUXYdPD7Z1W/Jqg2YLdeNu0g==" saltValue="He7ULJkSYsKH3+Kq5aoEPA==" spinCount="100000" sheet="1" selectLockedCells="1"/>
  <dataConsolidate/>
  <customSheetViews>
    <customSheetView guid="{387210E2-BDFB-42E5-A6C7-A37C9701EAB6}"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s>
  <mergeCells count="31">
    <mergeCell ref="U14:V14"/>
    <mergeCell ref="O4:Q4"/>
    <mergeCell ref="U12:V12"/>
    <mergeCell ref="H5:I5"/>
    <mergeCell ref="J5:K5"/>
    <mergeCell ref="T5:W6"/>
    <mergeCell ref="H7:I7"/>
    <mergeCell ref="H8:I8"/>
    <mergeCell ref="L11:M11"/>
    <mergeCell ref="A1:S2"/>
    <mergeCell ref="U8:V8"/>
    <mergeCell ref="U10:V10"/>
    <mergeCell ref="J8:K8"/>
    <mergeCell ref="J9:K9"/>
    <mergeCell ref="J10:K10"/>
    <mergeCell ref="L10:M10"/>
    <mergeCell ref="L9:M9"/>
    <mergeCell ref="P15:R15"/>
    <mergeCell ref="B4:M4"/>
    <mergeCell ref="H6:I6"/>
    <mergeCell ref="J6:K6"/>
    <mergeCell ref="L5:M5"/>
    <mergeCell ref="L6:M6"/>
    <mergeCell ref="L8:M8"/>
    <mergeCell ref="J7:K7"/>
    <mergeCell ref="G15:O15"/>
    <mergeCell ref="L7:M7"/>
    <mergeCell ref="H9:I9"/>
    <mergeCell ref="H10:I10"/>
    <mergeCell ref="H11:I11"/>
    <mergeCell ref="J11:K11"/>
  </mergeCells>
  <phoneticPr fontId="6" type="noConversion"/>
  <conditionalFormatting sqref="F17:F18">
    <cfRule type="expression" dxfId="132" priority="16" stopIfTrue="1">
      <formula>IF(AND($H$17=3,$H$18=3,$H$19=3,$H$20=3),1,0)</formula>
    </cfRule>
  </conditionalFormatting>
  <conditionalFormatting sqref="G17:O18">
    <cfRule type="expression" dxfId="131" priority="17" stopIfTrue="1">
      <formula>IF(AND($H$17=3,$H$18=3,$H$19=3,$H$20=3),1,0)</formula>
    </cfRule>
  </conditionalFormatting>
  <conditionalFormatting sqref="B7 L7:M7 J8:K9 F7:I7">
    <cfRule type="expression" dxfId="130" priority="18" stopIfTrue="1">
      <formula>IF(OR($L$7="en juego",$L$7="hoy!"),1,0)</formula>
    </cfRule>
  </conditionalFormatting>
  <conditionalFormatting sqref="O4:Q11 P15:R16 Q17:Q18 B6 F6:M6">
    <cfRule type="expression" dxfId="129" priority="19" stopIfTrue="1">
      <formula>IF(OR($L$6="en juego",$L$6="hoy!"),1,0)</formula>
    </cfRule>
  </conditionalFormatting>
  <conditionalFormatting sqref="L8:M8 B8 F8:I8">
    <cfRule type="expression" dxfId="128" priority="20" stopIfTrue="1">
      <formula>IF(OR($L$8="en juego",$L$8="hoy!"),1,0)</formula>
    </cfRule>
  </conditionalFormatting>
  <conditionalFormatting sqref="B9 L9:M9 F9:I9">
    <cfRule type="expression" dxfId="127" priority="21" stopIfTrue="1">
      <formula>IF(OR($L$9="en juego",$L$9="hoy!"),1,0)</formula>
    </cfRule>
  </conditionalFormatting>
  <conditionalFormatting sqref="H11:I11 L10:M10 B10 F10:I10">
    <cfRule type="expression" dxfId="126" priority="22" stopIfTrue="1">
      <formula>IF(OR($L$10="en juego",$L$10="hoy!"),1,0)</formula>
    </cfRule>
  </conditionalFormatting>
  <conditionalFormatting sqref="L11:M11 B11 F11:I11">
    <cfRule type="expression" dxfId="125" priority="23" stopIfTrue="1">
      <formula>IF(OR($L$11="en juego",$L$11="hoy!"),1,0)</formula>
    </cfRule>
  </conditionalFormatting>
  <conditionalFormatting sqref="J7:K7">
    <cfRule type="expression" dxfId="124" priority="8" stopIfTrue="1">
      <formula>IF(OR($L$6="en juego",$L$6="hoy!"),1,0)</formula>
    </cfRule>
  </conditionalFormatting>
  <conditionalFormatting sqref="J10:K11">
    <cfRule type="expression" dxfId="123" priority="7" stopIfTrue="1">
      <formula>IF(OR($L$7="en juego",$L$7="hoy!"),1,0)</formula>
    </cfRule>
  </conditionalFormatting>
  <conditionalFormatting sqref="C7:E7">
    <cfRule type="expression" dxfId="122" priority="1" stopIfTrue="1">
      <formula>IF(OR($L$7="en juego",$L$7="hoy!"),1,0)</formula>
    </cfRule>
  </conditionalFormatting>
  <conditionalFormatting sqref="C6:E6 C7:C11 E7:E11">
    <cfRule type="expression" dxfId="121" priority="2" stopIfTrue="1">
      <formula>IF(OR($L$6="en juego",$L$6="hoy!"),1,0)</formula>
    </cfRule>
  </conditionalFormatting>
  <conditionalFormatting sqref="C8:E8">
    <cfRule type="expression" dxfId="120" priority="3" stopIfTrue="1">
      <formula>IF(OR($L$8="en juego",$L$8="hoy!"),1,0)</formula>
    </cfRule>
  </conditionalFormatting>
  <conditionalFormatting sqref="C9:E9">
    <cfRule type="expression" dxfId="119" priority="4" stopIfTrue="1">
      <formula>IF(OR($L$9="en juego",$L$9="hoy!"),1,0)</formula>
    </cfRule>
  </conditionalFormatting>
  <conditionalFormatting sqref="C10:E10">
    <cfRule type="expression" dxfId="118" priority="5" stopIfTrue="1">
      <formula>IF(OR($L$10="en juego",$L$10="hoy!"),1,0)</formula>
    </cfRule>
  </conditionalFormatting>
  <conditionalFormatting sqref="C11:E11">
    <cfRule type="expression" dxfId="117" priority="6" stopIfTrue="1">
      <formula>IF(OR($L$11="en juego",$L$11="hoy!"),1,0)</formula>
    </cfRule>
  </conditionalFormatting>
  <dataValidations count="1">
    <dataValidation type="whole" allowBlank="1" showErrorMessage="1" errorTitle="Dato no válido" error="Ingrese sólo un número entero_x000a_entre 0 y 99." sqref="C6:C11 E6:E11" xr:uid="{17BF1911-453E-4F18-8A5C-B6CDFDB2058F}">
      <formula1>0</formula1>
      <formula2>99</formula2>
    </dataValidation>
  </dataValidations>
  <pageMargins left="0.75" right="0.75" top="1" bottom="1" header="0" footer="0"/>
  <pageSetup paperSize="9" scale="89" orientation="portrait" horizontalDpi="300" verticalDpi="300"/>
  <headerFooter alignWithMargins="0"/>
  <ignoredErrors>
    <ignoredError sqref="F10 F7"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1">
    <tabColor indexed="46"/>
    <pageSetUpPr fitToPage="1"/>
  </sheetPr>
  <dimension ref="A1:W28"/>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8.42578125" style="23" bestFit="1" customWidth="1"/>
    <col min="8" max="12" width="3.7109375" style="23" customWidth="1"/>
    <col min="13" max="14" width="3.85546875" style="23" customWidth="1"/>
    <col min="15" max="15" width="8.28515625" style="23" bestFit="1" customWidth="1"/>
    <col min="16" max="16" width="8.140625" style="23" bestFit="1" customWidth="1"/>
    <col min="17" max="18" width="7.7109375" style="23" customWidth="1"/>
    <col min="19" max="19" width="0.42578125" style="23" customWidth="1"/>
    <col min="20" max="20" width="4" style="23" customWidth="1"/>
    <col min="21" max="21" width="7.28515625" style="23" bestFit="1" customWidth="1"/>
    <col min="22" max="22" width="5.42578125" style="23" bestFit="1" customWidth="1"/>
    <col min="23" max="23" width="6"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19" t="s">
        <v>225</v>
      </c>
      <c r="C4" s="319"/>
      <c r="D4" s="319"/>
      <c r="E4" s="319"/>
      <c r="F4" s="319"/>
      <c r="G4" s="319"/>
      <c r="H4" s="319"/>
      <c r="I4" s="319"/>
      <c r="J4" s="319"/>
      <c r="K4" s="319"/>
      <c r="L4" s="319"/>
      <c r="M4" s="319"/>
      <c r="O4" s="307" t="s">
        <v>226</v>
      </c>
      <c r="P4" s="307"/>
      <c r="Q4" s="307"/>
      <c r="T4" s="326" t="s">
        <v>264</v>
      </c>
      <c r="U4" s="327"/>
      <c r="V4" s="327"/>
      <c r="W4" s="327"/>
    </row>
    <row r="5" spans="1:23" ht="12.75" customHeight="1">
      <c r="G5" s="186"/>
      <c r="H5" s="325" t="s">
        <v>228</v>
      </c>
      <c r="I5" s="325"/>
      <c r="J5" s="322" t="s">
        <v>229</v>
      </c>
      <c r="K5" s="322"/>
      <c r="L5" s="322" t="s">
        <v>230</v>
      </c>
      <c r="M5" s="322"/>
      <c r="O5" s="147" t="s">
        <v>231</v>
      </c>
      <c r="P5" s="147" t="s">
        <v>232</v>
      </c>
      <c r="Q5" s="147" t="s">
        <v>233</v>
      </c>
      <c r="T5" s="327"/>
      <c r="U5" s="327"/>
      <c r="V5" s="327"/>
      <c r="W5" s="327"/>
    </row>
    <row r="6" spans="1:23" ht="14.25" customHeight="1">
      <c r="A6" s="187" t="str">
        <f t="shared" ref="A6:A11" ca="1" si="0">IF(OR(L6="finalizado",L6="en juego",L6="hoy!"),"Ø","")</f>
        <v/>
      </c>
      <c r="B6" s="280" t="str">
        <f>IF(U7&lt;&gt;"",U7,"")</f>
        <v>España</v>
      </c>
      <c r="C6" s="256">
        <f ca="1">RANDBETWEEN(0,10)</f>
        <v>5</v>
      </c>
      <c r="D6" s="213" t="s">
        <v>234</v>
      </c>
      <c r="E6" s="256">
        <f ca="1">RANDBETWEEN(0,10)</f>
        <v>0</v>
      </c>
      <c r="F6" s="282" t="str">
        <f>IF(U9&lt;&gt;"",U9,"")</f>
        <v>Costa Rica</v>
      </c>
      <c r="G6" s="188"/>
      <c r="H6" s="320">
        <v>44888</v>
      </c>
      <c r="I6" s="320"/>
      <c r="J6" s="321">
        <v>0.45833333333333331</v>
      </c>
      <c r="K6" s="321"/>
      <c r="L6" s="323" t="str">
        <f t="shared" ref="L6:L11" ca="1" si="1">IF(OR(H6="",J6="",H6&lt;$U$24),"",IF(H6=$U$24,IF(AND(J6&lt;=$V$26,$V$26&lt;=(J6+0.08333333333)),"en juego",IF($V$26&lt;J6,"hoy!","finalizado")),IF($U$24&gt;H6,"finalizado","")))</f>
        <v/>
      </c>
      <c r="M6" s="323"/>
      <c r="O6" s="150">
        <f>IF(R6=3,0,IF(COUNTBLANK(C6:E6)=2,"",IF(AND(C6='resultados oficiales'!C18,'- E -'!E6='resultados oficiales'!E18),10,0)))</f>
        <v>0</v>
      </c>
      <c r="P6" s="150">
        <f>IF(R6=3,0,IF($O6=0,IF(AND(($C6-$E6)&gt;0,('resultados oficiales'!$C18-'resultados oficiales'!$E18)&gt;0),5,IF(AND(($C6-$E6)&lt;0,('resultados oficiales'!$C18-'resultados oficiales'!$E18)&lt;0),5,0)),0))</f>
        <v>0</v>
      </c>
      <c r="Q6" s="150">
        <f>IF(R6=3,0,IF($O6=0,IF(AND(($C6-$E6)=0,('resultados oficiales'!$C18-'resultados oficiales'!$E18)=0),5,0),0))</f>
        <v>0</v>
      </c>
      <c r="R6" s="151">
        <f>COUNTBLANK('resultados oficiales'!C18:E18)</f>
        <v>3</v>
      </c>
      <c r="V6" s="184"/>
    </row>
    <row r="7" spans="1:23" ht="14.25" customHeight="1">
      <c r="A7" s="187" t="str">
        <f t="shared" ca="1" si="0"/>
        <v/>
      </c>
      <c r="B7" s="286" t="str">
        <f>IF(U11&lt;&gt;"",U11,"")</f>
        <v>Alemania</v>
      </c>
      <c r="C7" s="256">
        <f t="shared" ref="C7:C11" ca="1" si="2">RANDBETWEEN(0,10)</f>
        <v>9</v>
      </c>
      <c r="D7" s="213" t="s">
        <v>234</v>
      </c>
      <c r="E7" s="256">
        <f t="shared" ref="E7:E11" ca="1" si="3">RANDBETWEEN(0,10)</f>
        <v>3</v>
      </c>
      <c r="F7" s="284" t="str">
        <f>IF(U13&lt;&gt;"",U13,"")</f>
        <v>Japon</v>
      </c>
      <c r="G7" s="188"/>
      <c r="H7" s="320">
        <f>+H6</f>
        <v>44888</v>
      </c>
      <c r="I7" s="320"/>
      <c r="J7" s="321">
        <v>0.33333333333333331</v>
      </c>
      <c r="K7" s="321"/>
      <c r="L7" s="323" t="str">
        <f t="shared" ca="1" si="1"/>
        <v/>
      </c>
      <c r="M7" s="323"/>
      <c r="N7" s="189"/>
      <c r="O7" s="150">
        <f>IF(R7=3,0,IF(COUNTBLANK(C7:E7)=2,"",IF(AND(C7='resultados oficiales'!C20,'- E -'!E7='resultados oficiales'!E20),10,0)))</f>
        <v>0</v>
      </c>
      <c r="P7" s="150">
        <f>IF(R7=3,0,IF($O7=0,IF(AND(($C7-$E7)&gt;0,('resultados oficiales'!$C20-'resultados oficiales'!$E20)&gt;0),5,IF(AND(($C7-$E7)&lt;0,('resultados oficiales'!$C20-'resultados oficiales'!$E20)&lt;0),5,0)),0))</f>
        <v>0</v>
      </c>
      <c r="Q7" s="150">
        <f>IF(R7=3,0,IF($O7=0,IF(AND(($C7-$E7)=0,('resultados oficiales'!$C20-'resultados oficiales'!$E20)=0),5,0),0))</f>
        <v>0</v>
      </c>
      <c r="R7" s="151">
        <f>COUNTBLANK('resultados oficiales'!C20:E20)</f>
        <v>3</v>
      </c>
      <c r="T7" s="22"/>
      <c r="U7" s="324" t="s">
        <v>265</v>
      </c>
      <c r="V7" s="324"/>
      <c r="W7" s="22"/>
    </row>
    <row r="8" spans="1:23" ht="14.25" customHeight="1">
      <c r="A8" s="187" t="str">
        <f t="shared" ca="1" si="0"/>
        <v/>
      </c>
      <c r="B8" s="280" t="str">
        <f>IF(U7&lt;&gt;"",U7,"")</f>
        <v>España</v>
      </c>
      <c r="C8" s="256">
        <f t="shared" ca="1" si="2"/>
        <v>9</v>
      </c>
      <c r="D8" s="213" t="s">
        <v>234</v>
      </c>
      <c r="E8" s="256">
        <f t="shared" ca="1" si="3"/>
        <v>1</v>
      </c>
      <c r="F8" s="285" t="str">
        <f>IF(U11&lt;&gt;"",U11,"")</f>
        <v>Alemania</v>
      </c>
      <c r="G8" s="188"/>
      <c r="H8" s="320">
        <f>+H7+4</f>
        <v>44892</v>
      </c>
      <c r="I8" s="320"/>
      <c r="J8" s="321">
        <v>0.58333333333333337</v>
      </c>
      <c r="K8" s="321"/>
      <c r="L8" s="323" t="str">
        <f t="shared" ca="1" si="1"/>
        <v/>
      </c>
      <c r="M8" s="323"/>
      <c r="N8" s="190"/>
      <c r="O8" s="150">
        <f>IF(R8=3,0,IF(COUNTBLANK(C8:E8)=2,"",IF(AND(C8='resultados oficiales'!C22,'- E -'!E8='resultados oficiales'!E22),10,0)))</f>
        <v>0</v>
      </c>
      <c r="P8" s="150">
        <f>IF(R8=3,0,IF($O8=0,IF(AND(($C8-$E8)&gt;0,('resultados oficiales'!$C22-'resultados oficiales'!$E22)&gt;0),5,IF(AND(($C8-$E8)&lt;0,('resultados oficiales'!$C22-'resultados oficiales'!$E22)&lt;0),5,0)),0))</f>
        <v>0</v>
      </c>
      <c r="Q8" s="150">
        <f>IF(R8=3,0,IF($O8=0,IF(AND(($C8-$E8)=0,('resultados oficiales'!$C22-'resultados oficiales'!$E22)=0),5,0),0))</f>
        <v>0</v>
      </c>
      <c r="R8" s="151">
        <f>COUNTBLANK('resultados oficiales'!C22:E22)</f>
        <v>3</v>
      </c>
      <c r="U8" s="24"/>
      <c r="V8" s="25"/>
    </row>
    <row r="9" spans="1:23" ht="14.25" customHeight="1">
      <c r="A9" s="187" t="str">
        <f t="shared" ca="1" si="0"/>
        <v/>
      </c>
      <c r="B9" s="279" t="str">
        <f>IF(U13&lt;&gt;"",U13,"")</f>
        <v>Japon</v>
      </c>
      <c r="C9" s="256">
        <f t="shared" ca="1" si="2"/>
        <v>9</v>
      </c>
      <c r="D9" s="213" t="s">
        <v>234</v>
      </c>
      <c r="E9" s="256">
        <f t="shared" ca="1" si="3"/>
        <v>8</v>
      </c>
      <c r="F9" s="282" t="str">
        <f>IF(U9&lt;&gt;"",U9,"")</f>
        <v>Costa Rica</v>
      </c>
      <c r="G9" s="188"/>
      <c r="H9" s="320">
        <f>+H8</f>
        <v>44892</v>
      </c>
      <c r="I9" s="320"/>
      <c r="J9" s="321">
        <v>0.20833333333333334</v>
      </c>
      <c r="K9" s="321"/>
      <c r="L9" s="323" t="str">
        <f t="shared" ca="1" si="1"/>
        <v/>
      </c>
      <c r="M9" s="323"/>
      <c r="O9" s="150">
        <f>IF(R9=3,0,IF(COUNTBLANK(C9:E9)=2,"",IF(AND(C9='resultados oficiales'!C24,'- E -'!E9='resultados oficiales'!E24),10,0)))</f>
        <v>0</v>
      </c>
      <c r="P9" s="150">
        <f>IF(R9=3,0,IF($O9=0,IF(AND(($C9-$E9)&gt;0,('resultados oficiales'!$C24-'resultados oficiales'!$E24)&gt;0),5,IF(AND(($C9-$E9)&lt;0,('resultados oficiales'!$C24-'resultados oficiales'!$E24)&lt;0),5,0)),0))</f>
        <v>0</v>
      </c>
      <c r="Q9" s="150">
        <f>IF(R9=3,0,IF($O9=0,IF(AND(($C9-$E9)=0,('resultados oficiales'!$C24-'resultados oficiales'!$E24)=0),5,0),0))</f>
        <v>0</v>
      </c>
      <c r="R9" s="151">
        <f>COUNTBLANK('resultados oficiales'!C24:E24)</f>
        <v>3</v>
      </c>
      <c r="T9" s="22"/>
      <c r="U9" s="324" t="s">
        <v>266</v>
      </c>
      <c r="V9" s="324"/>
      <c r="W9" s="22"/>
    </row>
    <row r="10" spans="1:23" ht="14.25" customHeight="1">
      <c r="A10" s="187" t="str">
        <f t="shared" ca="1" si="0"/>
        <v/>
      </c>
      <c r="B10" s="283" t="str">
        <f>IF(U9&lt;&gt;"",U9,"")</f>
        <v>Costa Rica</v>
      </c>
      <c r="C10" s="256">
        <f t="shared" ca="1" si="2"/>
        <v>9</v>
      </c>
      <c r="D10" s="213" t="s">
        <v>234</v>
      </c>
      <c r="E10" s="256">
        <f t="shared" ca="1" si="3"/>
        <v>6</v>
      </c>
      <c r="F10" s="285" t="str">
        <f>IF(U11&lt;&gt;"",U11,"")</f>
        <v>Alemania</v>
      </c>
      <c r="G10" s="188"/>
      <c r="H10" s="320">
        <f>+H9+4</f>
        <v>44896</v>
      </c>
      <c r="I10" s="320"/>
      <c r="J10" s="321">
        <v>0.58333333333333337</v>
      </c>
      <c r="K10" s="321"/>
      <c r="L10" s="323" t="str">
        <f t="shared" ca="1" si="1"/>
        <v/>
      </c>
      <c r="M10" s="323"/>
      <c r="O10" s="150">
        <f>IF(R10=3,0,IF(COUNTBLANK(C10:E10)=2,"",IF(AND(C10='resultados oficiales'!C26,'- E -'!E10='resultados oficiales'!E26),10,0)))</f>
        <v>0</v>
      </c>
      <c r="P10" s="150">
        <f>IF(R10=3,0,IF($O10=0,IF(AND(($C10-$E10)&gt;0,('resultados oficiales'!$C26-'resultados oficiales'!$E26)&gt;0),5,IF(AND(($C10-$E10)&lt;0,('resultados oficiales'!$C26-'resultados oficiales'!$E26)&lt;0),5,0)),0))</f>
        <v>0</v>
      </c>
      <c r="Q10" s="150">
        <f>IF(R10=3,0,IF($O10=0,IF(AND(($C10-$E10)=0,('resultados oficiales'!$C26-'resultados oficiales'!$E26)=0),5,0),0))</f>
        <v>0</v>
      </c>
      <c r="R10" s="151">
        <f>COUNTBLANK('resultados oficiales'!C26:E26)</f>
        <v>3</v>
      </c>
      <c r="U10" s="24"/>
      <c r="V10" s="25"/>
    </row>
    <row r="11" spans="1:23" ht="14.25" customHeight="1">
      <c r="A11" s="187" t="str">
        <f t="shared" ca="1" si="0"/>
        <v/>
      </c>
      <c r="B11" s="278" t="str">
        <f>IF(U13&lt;&gt;"",U13,"")</f>
        <v>Japon</v>
      </c>
      <c r="C11" s="256">
        <f t="shared" ca="1" si="2"/>
        <v>10</v>
      </c>
      <c r="D11" s="213" t="s">
        <v>234</v>
      </c>
      <c r="E11" s="256">
        <f t="shared" ca="1" si="3"/>
        <v>8</v>
      </c>
      <c r="F11" s="281" t="str">
        <f>IF(U7&lt;&gt;"",U7,"")</f>
        <v>España</v>
      </c>
      <c r="G11" s="188"/>
      <c r="H11" s="320">
        <f>+H10</f>
        <v>44896</v>
      </c>
      <c r="I11" s="320"/>
      <c r="J11" s="321">
        <f>+J10</f>
        <v>0.58333333333333337</v>
      </c>
      <c r="K11" s="321"/>
      <c r="L11" s="323" t="str">
        <f t="shared" ca="1" si="1"/>
        <v/>
      </c>
      <c r="M11" s="323"/>
      <c r="O11" s="150">
        <f ca="1">IF(COUNTBLANK(C10:E10)=2,"",IF(AND(C11='resultados oficiales'!C28,'- E -'!E11='resultados oficiales'!E28),10,0))</f>
        <v>0</v>
      </c>
      <c r="P11" s="150">
        <f>IF(R11=3,0,IF($O11=0,IF(AND(($C11-$E11)&gt;0,('resultados oficiales'!$C28-'resultados oficiales'!$E28)&gt;0),5,IF(AND(($C11-$E11)&lt;0,('resultados oficiales'!$C28-'resultados oficiales'!$E28)&lt;0),5,0)),0))</f>
        <v>0</v>
      </c>
      <c r="Q11" s="150">
        <f>IF(R11=3,0,IF(R11=3,0,IF($O11=0,IF(AND(($C11-$E11)=0,('resultados oficiales'!$C28-'resultados oficiales'!$E28)=0),5,0),0)))</f>
        <v>0</v>
      </c>
      <c r="R11" s="151">
        <f>COUNTBLANK('resultados oficiales'!C28:E28)</f>
        <v>3</v>
      </c>
      <c r="T11" s="22"/>
      <c r="U11" s="324" t="s">
        <v>267</v>
      </c>
      <c r="V11" s="324"/>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324" t="s">
        <v>268</v>
      </c>
      <c r="V13" s="324"/>
      <c r="W13" s="22"/>
    </row>
    <row r="14" spans="1:23" ht="13.5" customHeight="1">
      <c r="B14" s="191"/>
      <c r="C14" s="192"/>
      <c r="D14" s="192"/>
      <c r="E14" s="192"/>
      <c r="G14" s="193"/>
      <c r="H14" s="192"/>
      <c r="I14" s="192"/>
      <c r="J14" s="185"/>
      <c r="K14" s="197"/>
      <c r="L14" s="196"/>
      <c r="M14" s="196"/>
      <c r="O14" s="198"/>
      <c r="U14" s="199"/>
      <c r="V14" s="200"/>
    </row>
    <row r="15" spans="1:23" ht="12.95">
      <c r="G15" s="319" t="s">
        <v>239</v>
      </c>
      <c r="H15" s="319"/>
      <c r="I15" s="319"/>
      <c r="J15" s="319"/>
      <c r="K15" s="319"/>
      <c r="L15" s="319"/>
      <c r="M15" s="319"/>
      <c r="N15" s="319"/>
      <c r="O15" s="319"/>
      <c r="P15" s="307" t="s">
        <v>226</v>
      </c>
      <c r="Q15" s="307"/>
      <c r="R15" s="307"/>
      <c r="V15" s="184"/>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calculoE!F52</f>
        <v>España</v>
      </c>
      <c r="H17" s="215">
        <f ca="1">calculoE!G52</f>
        <v>3</v>
      </c>
      <c r="I17" s="215">
        <f ca="1">calculoE!H52</f>
        <v>2</v>
      </c>
      <c r="J17" s="215">
        <f ca="1">calculoE!I52</f>
        <v>0</v>
      </c>
      <c r="K17" s="215">
        <f ca="1">calculoE!J52</f>
        <v>1</v>
      </c>
      <c r="L17" s="215">
        <f ca="1">calculoE!K52</f>
        <v>22</v>
      </c>
      <c r="M17" s="215">
        <f ca="1">calculoE!L52</f>
        <v>11</v>
      </c>
      <c r="N17" s="215">
        <f ca="1">L17-M17</f>
        <v>11</v>
      </c>
      <c r="O17" s="215">
        <f ca="1">calculoE!M52</f>
        <v>6</v>
      </c>
      <c r="P17" s="19"/>
      <c r="Q17" s="150">
        <f>IF(COUNTBLANK('resultados oficiales'!$C$18:$E$28)=33,0,IF(G17='resultados oficiales'!B43,50,0))</f>
        <v>0</v>
      </c>
      <c r="R17" s="19"/>
      <c r="T17" s="203"/>
      <c r="U17" s="24"/>
      <c r="V17" s="25"/>
      <c r="W17" s="24"/>
    </row>
    <row r="18" spans="2:23" ht="12.95">
      <c r="F18" s="68" t="s">
        <v>247</v>
      </c>
      <c r="G18" s="202" t="str">
        <f ca="1">calculoE!F53</f>
        <v>Japon</v>
      </c>
      <c r="H18" s="215">
        <f ca="1">calculoE!G53</f>
        <v>3</v>
      </c>
      <c r="I18" s="215">
        <f ca="1">calculoE!H53</f>
        <v>2</v>
      </c>
      <c r="J18" s="215">
        <f ca="1">calculoE!I53</f>
        <v>0</v>
      </c>
      <c r="K18" s="215">
        <f ca="1">calculoE!J53</f>
        <v>1</v>
      </c>
      <c r="L18" s="215">
        <f ca="1">calculoE!K53</f>
        <v>22</v>
      </c>
      <c r="M18" s="215">
        <f ca="1">calculoE!L53</f>
        <v>25</v>
      </c>
      <c r="N18" s="215">
        <f ca="1">L18-M18</f>
        <v>-3</v>
      </c>
      <c r="O18" s="215">
        <f ca="1">calculoE!M53</f>
        <v>6</v>
      </c>
      <c r="P18" s="19"/>
      <c r="Q18" s="150">
        <f>IF(COUNTBLANK('resultados oficiales'!$C$18:$E$28)=33,0,IF(G18='resultados oficiales'!F63,50,0))</f>
        <v>0</v>
      </c>
      <c r="R18" s="19"/>
      <c r="T18" s="203"/>
      <c r="U18" s="24"/>
      <c r="V18" s="25"/>
      <c r="W18" s="24"/>
    </row>
    <row r="19" spans="2:23" ht="12.95">
      <c r="F19" s="24"/>
      <c r="G19" s="204" t="str">
        <f ca="1">calculoE!F54</f>
        <v>Costa Rica</v>
      </c>
      <c r="H19" s="215">
        <f ca="1">calculoE!G54</f>
        <v>3</v>
      </c>
      <c r="I19" s="215">
        <f ca="1">calculoE!H54</f>
        <v>1</v>
      </c>
      <c r="J19" s="215">
        <f ca="1">calculoE!I54</f>
        <v>0</v>
      </c>
      <c r="K19" s="215">
        <f ca="1">calculoE!J54</f>
        <v>2</v>
      </c>
      <c r="L19" s="215">
        <f ca="1">calculoE!K54</f>
        <v>17</v>
      </c>
      <c r="M19" s="215">
        <f ca="1">calculoE!L54</f>
        <v>20</v>
      </c>
      <c r="N19" s="215">
        <f ca="1">L19-M19</f>
        <v>-3</v>
      </c>
      <c r="O19" s="215">
        <f ca="1">calculoE!M54</f>
        <v>3</v>
      </c>
      <c r="P19" s="19"/>
      <c r="Q19" s="19"/>
      <c r="R19" s="19"/>
      <c r="T19" s="24"/>
      <c r="U19" s="24"/>
      <c r="V19" s="25"/>
      <c r="W19" s="24"/>
    </row>
    <row r="20" spans="2:23" ht="12.95">
      <c r="F20" s="24"/>
      <c r="G20" s="204" t="str">
        <f ca="1">calculoE!F55</f>
        <v>Alemania</v>
      </c>
      <c r="H20" s="215">
        <f ca="1">calculoE!G55</f>
        <v>3</v>
      </c>
      <c r="I20" s="215">
        <f ca="1">calculoE!H55</f>
        <v>1</v>
      </c>
      <c r="J20" s="215">
        <f ca="1">calculoE!I55</f>
        <v>0</v>
      </c>
      <c r="K20" s="215">
        <f ca="1">calculoE!J55</f>
        <v>2</v>
      </c>
      <c r="L20" s="215">
        <f ca="1">calculoE!K55</f>
        <v>16</v>
      </c>
      <c r="M20" s="215">
        <f ca="1">calculoE!L55</f>
        <v>21</v>
      </c>
      <c r="N20" s="215">
        <f ca="1">L20-M20</f>
        <v>-5</v>
      </c>
      <c r="O20" s="215">
        <f ca="1">calculoE!M55</f>
        <v>3</v>
      </c>
      <c r="P20" s="19"/>
      <c r="Q20" s="19"/>
      <c r="R20" s="19"/>
      <c r="T20" s="24"/>
      <c r="U20" s="24"/>
      <c r="V20" s="25"/>
      <c r="W20" s="24"/>
    </row>
    <row r="21" spans="2:23" ht="12.95" thickBot="1">
      <c r="P21" s="19"/>
      <c r="Q21" s="19"/>
      <c r="R21" s="19"/>
      <c r="V21" s="184"/>
    </row>
    <row r="22" spans="2:23" ht="11.25" customHeight="1" thickBot="1">
      <c r="P22" s="205" t="s">
        <v>248</v>
      </c>
      <c r="Q22" s="206"/>
      <c r="R22" s="207">
        <f ca="1">SUM(O6:Q11)+Q17+Q18</f>
        <v>0</v>
      </c>
      <c r="V22" s="184"/>
    </row>
    <row r="23" spans="2:23" ht="9" customHeight="1">
      <c r="V23" s="208"/>
    </row>
    <row r="24" spans="2:23" ht="12.95">
      <c r="B24" s="209"/>
      <c r="C24" s="210"/>
      <c r="N24" s="211"/>
      <c r="O24" s="211"/>
      <c r="T24" s="177" t="s">
        <v>249</v>
      </c>
      <c r="U24" s="178">
        <f ca="1">TODAY()</f>
        <v>44878</v>
      </c>
      <c r="V24" s="179">
        <f ca="1">NOW()</f>
        <v>44878.303923611114</v>
      </c>
    </row>
    <row r="25" spans="2:23" hidden="1"/>
    <row r="26" spans="2:23" hidden="1">
      <c r="U26" s="23">
        <f ca="1">HOUR(V24)</f>
        <v>7</v>
      </c>
      <c r="V26" s="23">
        <f ca="1">MINUTE(V24)</f>
        <v>17</v>
      </c>
    </row>
    <row r="28" spans="2:23" ht="12.95">
      <c r="U28" s="134"/>
      <c r="V28" s="134"/>
    </row>
  </sheetData>
  <sheetProtection algorithmName="SHA-512" hashValue="yJrZYcpc02GCiGyEmhmusphJPk7VsQr+9vn77+tABRMJ61wB6DDp0Qq46yy5aZftf2q5ny4xEI62SgEt9wIz8w==" saltValue="dn855kx0TkqI5/AArT8mdg==" spinCount="100000" sheet="1" selectLockedCells="1"/>
  <dataConsolidate/>
  <customSheetViews>
    <customSheetView guid="{387210E2-BDFB-42E5-A6C7-A37C9701EAB6}" showGridLines="0" showRowCol="0" outlineSymbols="0" fitToPage="1" hiddenRows="1">
      <selection activeCell="U7" sqref="U7:V7"/>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U7" sqref="U7:V7"/>
      <pageMargins left="0" right="0" top="0" bottom="0" header="0" footer="0"/>
      <pageSetup paperSize="9" scale="89" orientation="portrait" horizontalDpi="300" verticalDpi="300"/>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116" priority="21" stopIfTrue="1">
      <formula>IF(AND($H$17=3,$H$18=3,$H$19=3,$H$20=3),1,0)</formula>
    </cfRule>
  </conditionalFormatting>
  <conditionalFormatting sqref="G17:O18">
    <cfRule type="expression" dxfId="115" priority="22" stopIfTrue="1">
      <formula>IF(AND($H$17=3,$H$18=3,$H$19=3,$H$20=3),1,0)</formula>
    </cfRule>
  </conditionalFormatting>
  <conditionalFormatting sqref="B7 J7:M7 F7:G7">
    <cfRule type="expression" dxfId="114" priority="23" stopIfTrue="1">
      <formula>IF(OR($L$7="en juego",$L$7="hoy!"),1,0)</formula>
    </cfRule>
  </conditionalFormatting>
  <conditionalFormatting sqref="H7:I7 P15:R16 Q17:Q18 O4:Q11 B6 L6:M6 F6:I6">
    <cfRule type="expression" dxfId="113" priority="24" stopIfTrue="1">
      <formula>IF(OR($L$6="en juego",$L$6="hoy!"),1,0)</formula>
    </cfRule>
  </conditionalFormatting>
  <conditionalFormatting sqref="H9:I9 B8 L8:M8 F8:I8">
    <cfRule type="expression" dxfId="112" priority="25" stopIfTrue="1">
      <formula>IF(OR($L$8="en juego",$L$8="hoy!"),1,0)</formula>
    </cfRule>
  </conditionalFormatting>
  <conditionalFormatting sqref="B9 L9:M9 F9:G9">
    <cfRule type="expression" dxfId="111" priority="26" stopIfTrue="1">
      <formula>IF(OR($L$9="en juego",$L$9="hoy!"),1,0)</formula>
    </cfRule>
  </conditionalFormatting>
  <conditionalFormatting sqref="L10:M10 B10 H11:I11 F10:I10">
    <cfRule type="expression" dxfId="110" priority="27" stopIfTrue="1">
      <formula>IF(OR($L$10="en juego",$L$10="hoy!"),1,0)</formula>
    </cfRule>
  </conditionalFormatting>
  <conditionalFormatting sqref="L11:M11 B11 F11:G11">
    <cfRule type="expression" dxfId="109" priority="28" stopIfTrue="1">
      <formula>IF(OR($L$11="en juego",$L$11="hoy!"),1,0)</formula>
    </cfRule>
  </conditionalFormatting>
  <conditionalFormatting sqref="J6:K6">
    <cfRule type="expression" dxfId="108" priority="11" stopIfTrue="1">
      <formula>IF(OR($L$9="en juego",$L$9="hoy!"),1,0)</formula>
    </cfRule>
  </conditionalFormatting>
  <conditionalFormatting sqref="J8:K8">
    <cfRule type="expression" dxfId="107" priority="10" stopIfTrue="1">
      <formula>IF(OR($L$7="en juego",$L$7="hoy!"),1,0)</formula>
    </cfRule>
  </conditionalFormatting>
  <conditionalFormatting sqref="J9:K9">
    <cfRule type="expression" dxfId="106" priority="9" stopIfTrue="1">
      <formula>IF(OR($L$9="en juego",$L$9="hoy!"),1,0)</formula>
    </cfRule>
  </conditionalFormatting>
  <conditionalFormatting sqref="J11:K11">
    <cfRule type="expression" dxfId="105" priority="7" stopIfTrue="1">
      <formula>IF(OR($L$9="en juego",$L$9="hoy!"),1,0)</formula>
    </cfRule>
  </conditionalFormatting>
  <conditionalFormatting sqref="J10:K10">
    <cfRule type="expression" dxfId="104" priority="8" stopIfTrue="1">
      <formula>IF(OR($L$9="en juego",$L$9="hoy!"),1,0)</formula>
    </cfRule>
  </conditionalFormatting>
  <conditionalFormatting sqref="C7:E7">
    <cfRule type="expression" dxfId="103" priority="1" stopIfTrue="1">
      <formula>IF(OR($L$7="en juego",$L$7="hoy!"),1,0)</formula>
    </cfRule>
  </conditionalFormatting>
  <conditionalFormatting sqref="C6:E6 C7:C11 E7:E11">
    <cfRule type="expression" dxfId="102" priority="2" stopIfTrue="1">
      <formula>IF(OR($L$6="en juego",$L$6="hoy!"),1,0)</formula>
    </cfRule>
  </conditionalFormatting>
  <conditionalFormatting sqref="C8:E8">
    <cfRule type="expression" dxfId="101" priority="3" stopIfTrue="1">
      <formula>IF(OR($L$8="en juego",$L$8="hoy!"),1,0)</formula>
    </cfRule>
  </conditionalFormatting>
  <conditionalFormatting sqref="C9:E9">
    <cfRule type="expression" dxfId="100" priority="4" stopIfTrue="1">
      <formula>IF(OR($L$9="en juego",$L$9="hoy!"),1,0)</formula>
    </cfRule>
  </conditionalFormatting>
  <conditionalFormatting sqref="C10:E10">
    <cfRule type="expression" dxfId="99" priority="5" stopIfTrue="1">
      <formula>IF(OR($L$10="en juego",$L$10="hoy!"),1,0)</formula>
    </cfRule>
  </conditionalFormatting>
  <conditionalFormatting sqref="C11:E11">
    <cfRule type="expression" dxfId="98" priority="6" stopIfTrue="1">
      <formula>IF(OR($L$11="en juego",$L$11="hoy!"),1,0)</formula>
    </cfRule>
  </conditionalFormatting>
  <dataValidations count="1">
    <dataValidation type="whole" allowBlank="1" showErrorMessage="1" errorTitle="Dato no válido" error="Ingrese sólo un número entero_x000a_entre 0 y 99." sqref="C6:C11 E6:E11" xr:uid="{2DD89380-53B5-411F-A552-A3C02F7109DD}">
      <formula1>0</formula1>
      <formula2>99</formula2>
    </dataValidation>
  </dataValidations>
  <pageMargins left="0.75" right="0.75" top="1" bottom="1" header="0" footer="0"/>
  <pageSetup paperSize="9" scale="89" orientation="portrait" horizontalDpi="300" verticalDpi="300"/>
  <headerFooter alignWithMargins="0"/>
  <ignoredErrors>
    <ignoredError sqref="F7"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2">
    <tabColor indexed="17"/>
    <pageSetUpPr fitToPage="1"/>
  </sheetPr>
  <dimension ref="A1:W28"/>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7.85546875" style="23" bestFit="1"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1.28515625" style="23" customWidth="1"/>
    <col min="20" max="20" width="3.85546875" style="23" customWidth="1"/>
    <col min="21" max="21" width="7.28515625" style="23" bestFit="1" customWidth="1"/>
    <col min="22" max="22" width="5.7109375" style="23" customWidth="1"/>
    <col min="23" max="23" width="6"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19" t="s">
        <v>225</v>
      </c>
      <c r="C4" s="319"/>
      <c r="D4" s="319"/>
      <c r="E4" s="319"/>
      <c r="F4" s="319"/>
      <c r="G4" s="319"/>
      <c r="H4" s="319"/>
      <c r="I4" s="319"/>
      <c r="J4" s="319"/>
      <c r="K4" s="319"/>
      <c r="L4" s="319"/>
      <c r="M4" s="319"/>
      <c r="O4" s="307" t="s">
        <v>226</v>
      </c>
      <c r="P4" s="307"/>
      <c r="Q4" s="307"/>
      <c r="T4" s="326" t="s">
        <v>269</v>
      </c>
      <c r="U4" s="327"/>
      <c r="V4" s="327"/>
      <c r="W4" s="327"/>
    </row>
    <row r="5" spans="1:23" ht="12.75" customHeight="1">
      <c r="G5" s="186"/>
      <c r="H5" s="325" t="s">
        <v>228</v>
      </c>
      <c r="I5" s="325"/>
      <c r="J5" s="322" t="s">
        <v>229</v>
      </c>
      <c r="K5" s="322"/>
      <c r="L5" s="322" t="s">
        <v>230</v>
      </c>
      <c r="M5" s="322"/>
      <c r="O5" s="147" t="s">
        <v>231</v>
      </c>
      <c r="P5" s="147" t="s">
        <v>232</v>
      </c>
      <c r="Q5" s="147" t="s">
        <v>233</v>
      </c>
      <c r="T5" s="327"/>
      <c r="U5" s="327"/>
      <c r="V5" s="327"/>
      <c r="W5" s="327"/>
    </row>
    <row r="6" spans="1:23" ht="14.25" customHeight="1">
      <c r="A6" s="187" t="str">
        <f t="shared" ref="A6:A11" ca="1" si="0">IF(OR(L6="finalizado",L6="en juego",L6="hoy!"),"Ø","")</f>
        <v/>
      </c>
      <c r="B6" s="287" t="str">
        <f>IF(U7&lt;&gt;"",U7,"")</f>
        <v>Belgica</v>
      </c>
      <c r="C6" s="256">
        <f ca="1">RANDBETWEEN(0,10)</f>
        <v>10</v>
      </c>
      <c r="D6" s="213" t="s">
        <v>234</v>
      </c>
      <c r="E6" s="256">
        <f ca="1">RANDBETWEEN(0,10)</f>
        <v>8</v>
      </c>
      <c r="F6" s="269" t="str">
        <f>IF(U9&lt;&gt;"",U9,"")</f>
        <v>Canada</v>
      </c>
      <c r="G6" s="188"/>
      <c r="H6" s="320">
        <v>44888</v>
      </c>
      <c r="I6" s="320"/>
      <c r="J6" s="321">
        <v>0.58333333333333337</v>
      </c>
      <c r="K6" s="321"/>
      <c r="L6" s="323" t="str">
        <f t="shared" ref="L6:L11" ca="1" si="1">IF(OR(H6="",J6="",H6&lt;$U$24),"",IF(H6=$U$24,IF(AND(J6&lt;=$V$26,$V$26&lt;=(J6+0.08333333333)),"en juego",IF($V$26&lt;J6,"hoy!","finalizado")),IF($U$24&gt;H6,"finalizado","")))</f>
        <v/>
      </c>
      <c r="M6" s="323"/>
      <c r="O6" s="150">
        <f>IF(R6=3,0,IF(COUNTBLANK(C6:E6)=2,"",IF(AND(C6='resultados oficiales'!J18,'- F -'!E6='resultados oficiales'!L18),10,0)))</f>
        <v>0</v>
      </c>
      <c r="P6" s="150">
        <f>IF(R6=3,0,IF($O6=0,IF(AND(($C6-$E6)&gt;0,('resultados oficiales'!$J18-'resultados oficiales'!$L18)&gt;0),5,IF(AND(($C6-$E6)&lt;0,('resultados oficiales'!$J18-'resultados oficiales'!$L18)&lt;0),5,0)),0))</f>
        <v>0</v>
      </c>
      <c r="Q6" s="150">
        <f>IF(R6=3,0,IF($O6=0,IF(AND(($C6-$E6)=0,('resultados oficiales'!$J18-'resultados oficiales'!$L18)=0),5,0),0))</f>
        <v>0</v>
      </c>
      <c r="R6" s="151">
        <f>COUNTBLANK('resultados oficiales'!J18:L18)</f>
        <v>3</v>
      </c>
      <c r="V6" s="184"/>
    </row>
    <row r="7" spans="1:23" ht="14.25" customHeight="1">
      <c r="A7" s="187" t="str">
        <f t="shared" ca="1" si="0"/>
        <v/>
      </c>
      <c r="B7" s="268" t="str">
        <f>IF(U11&lt;&gt;"",U11,"")</f>
        <v>Marruecos</v>
      </c>
      <c r="C7" s="256">
        <f t="shared" ref="C7:C11" ca="1" si="2">RANDBETWEEN(0,10)</f>
        <v>1</v>
      </c>
      <c r="D7" s="213" t="s">
        <v>234</v>
      </c>
      <c r="E7" s="256">
        <f t="shared" ref="E7:E11" ca="1" si="3">RANDBETWEEN(0,10)</f>
        <v>8</v>
      </c>
      <c r="F7" s="289" t="str">
        <f>IF(U13&lt;&gt;"",U13,"")</f>
        <v>Croacia</v>
      </c>
      <c r="G7" s="188"/>
      <c r="H7" s="320">
        <f>+H6</f>
        <v>44888</v>
      </c>
      <c r="I7" s="320"/>
      <c r="J7" s="321">
        <v>0.20833333333333334</v>
      </c>
      <c r="K7" s="321"/>
      <c r="L7" s="323" t="str">
        <f t="shared" ca="1" si="1"/>
        <v/>
      </c>
      <c r="M7" s="323"/>
      <c r="N7" s="189"/>
      <c r="O7" s="150">
        <f>IF(R7=3,0,IF(COUNTBLANK(C7:E7)=2,"",IF(AND(C7='resultados oficiales'!J20,'- F -'!E7='resultados oficiales'!L20),10,0)))</f>
        <v>0</v>
      </c>
      <c r="P7" s="150">
        <f>IF(R7=3,0,IF($O7=0,IF(AND(($C7-$E7)&gt;0,('resultados oficiales'!$J20-'resultados oficiales'!$L20)&gt;0),5,IF(AND(($C7-$E7)&lt;0,('resultados oficiales'!$J20-'resultados oficiales'!$L20)&lt;0),5,0)),0))</f>
        <v>0</v>
      </c>
      <c r="Q7" s="150">
        <f>IF(R7=3,0,IF($O7=0,IF(AND(($C7-$E7)=0,('resultados oficiales'!$J20-'resultados oficiales'!$L20)=0),5,0),0))</f>
        <v>0</v>
      </c>
      <c r="R7" s="151">
        <f>COUNTBLANK('resultados oficiales'!J20:L20)</f>
        <v>3</v>
      </c>
      <c r="T7" s="22"/>
      <c r="U7" s="324" t="s">
        <v>270</v>
      </c>
      <c r="V7" s="324"/>
      <c r="W7" s="22"/>
    </row>
    <row r="8" spans="1:23" ht="14.25" customHeight="1">
      <c r="A8" s="187" t="str">
        <f t="shared" ca="1" si="0"/>
        <v/>
      </c>
      <c r="B8" s="290" t="str">
        <f>IF(U13&lt;&gt;"",U13,"")</f>
        <v>Croacia</v>
      </c>
      <c r="C8" s="256">
        <f t="shared" ca="1" si="2"/>
        <v>0</v>
      </c>
      <c r="D8" s="213" t="s">
        <v>234</v>
      </c>
      <c r="E8" s="256">
        <f t="shared" ca="1" si="3"/>
        <v>7</v>
      </c>
      <c r="F8" s="269" t="str">
        <f>IF(U9&lt;&gt;"",U9,"")</f>
        <v>Canada</v>
      </c>
      <c r="G8" s="188"/>
      <c r="H8" s="320">
        <f>+H7+4</f>
        <v>44892</v>
      </c>
      <c r="I8" s="320"/>
      <c r="J8" s="321">
        <v>0.45833333333333331</v>
      </c>
      <c r="K8" s="321"/>
      <c r="L8" s="323" t="str">
        <f t="shared" ca="1" si="1"/>
        <v/>
      </c>
      <c r="M8" s="323"/>
      <c r="N8" s="190"/>
      <c r="O8" s="150">
        <f>IF(R8=3,0,IF(COUNTBLANK(C8:E8)=2,"",IF(AND(C8='resultados oficiales'!J22,'- F -'!E8='resultados oficiales'!L22),10,0)))</f>
        <v>0</v>
      </c>
      <c r="P8" s="150">
        <f>IF(R8=3,0,IF($O8=0,IF(AND(($C8-$E8)&gt;0,('resultados oficiales'!$J22-'resultados oficiales'!$L22)&gt;0),5,IF(AND(($C8-$E8)&lt;0,('resultados oficiales'!$J22-'resultados oficiales'!$L22)&lt;0),5,0)),0))</f>
        <v>0</v>
      </c>
      <c r="Q8" s="150">
        <f>IF(R8=3,0,IF($O8=0,IF(AND(($C8-$E8)=0,('resultados oficiales'!$J22-'resultados oficiales'!$L22)=0),5,0),0))</f>
        <v>0</v>
      </c>
      <c r="R8" s="151">
        <f>COUNTBLANK('resultados oficiales'!J22:L22)</f>
        <v>3</v>
      </c>
      <c r="U8" s="24"/>
      <c r="V8" s="25"/>
    </row>
    <row r="9" spans="1:23" ht="14.25" customHeight="1">
      <c r="A9" s="187" t="str">
        <f t="shared" ca="1" si="0"/>
        <v/>
      </c>
      <c r="B9" s="287" t="str">
        <f>IF(U7&lt;&gt;"",U7,"")</f>
        <v>Belgica</v>
      </c>
      <c r="C9" s="256">
        <f t="shared" ca="1" si="2"/>
        <v>2</v>
      </c>
      <c r="D9" s="213" t="s">
        <v>234</v>
      </c>
      <c r="E9" s="256">
        <f t="shared" ca="1" si="3"/>
        <v>10</v>
      </c>
      <c r="F9" s="267" t="str">
        <f>IF(U11&lt;&gt;"",U11,"")</f>
        <v>Marruecos</v>
      </c>
      <c r="G9" s="188"/>
      <c r="H9" s="320">
        <f>+H8</f>
        <v>44892</v>
      </c>
      <c r="I9" s="320"/>
      <c r="J9" s="321">
        <v>0.33333333333333331</v>
      </c>
      <c r="K9" s="321"/>
      <c r="L9" s="323" t="str">
        <f t="shared" ca="1" si="1"/>
        <v/>
      </c>
      <c r="M9" s="323"/>
      <c r="O9" s="150">
        <f>IF(R9=3,0,IF(COUNTBLANK(C9:E9)=2,"",IF(AND(C9='resultados oficiales'!J24,'- F -'!E9='resultados oficiales'!L24),10,0)))</f>
        <v>0</v>
      </c>
      <c r="P9" s="150">
        <f>IF(R9=3,0,IF($O9=0,IF(AND(($C9-$E9)&gt;0,('resultados oficiales'!$J24-'resultados oficiales'!$L24)&gt;0),5,IF(AND(($C9-$E9)&lt;0,('resultados oficiales'!$J24-'resultados oficiales'!$L24)&lt;0),5,0)),0))</f>
        <v>0</v>
      </c>
      <c r="Q9" s="150">
        <f>IF(R9=3,0,IF($O9=0,IF(AND(($C9-$E9)=0,('resultados oficiales'!$J24-'resultados oficiales'!$L24)=0),5,0),0))</f>
        <v>0</v>
      </c>
      <c r="R9" s="151">
        <f>COUNTBLANK('resultados oficiales'!J24:L24)</f>
        <v>3</v>
      </c>
      <c r="T9" s="22"/>
      <c r="U9" s="324" t="s">
        <v>271</v>
      </c>
      <c r="V9" s="324"/>
      <c r="W9" s="22"/>
    </row>
    <row r="10" spans="1:23" ht="14.25" customHeight="1">
      <c r="A10" s="187" t="str">
        <f t="shared" ca="1" si="0"/>
        <v/>
      </c>
      <c r="B10" s="290" t="str">
        <f>IF(U13&lt;&gt;"",U13,"")</f>
        <v>Croacia</v>
      </c>
      <c r="C10" s="256">
        <f t="shared" ca="1" si="2"/>
        <v>7</v>
      </c>
      <c r="D10" s="213" t="s">
        <v>234</v>
      </c>
      <c r="E10" s="256">
        <f t="shared" ca="1" si="3"/>
        <v>3</v>
      </c>
      <c r="F10" s="288" t="str">
        <f>IF(U7&lt;&gt;"",U7,"")</f>
        <v>Belgica</v>
      </c>
      <c r="G10" s="188"/>
      <c r="H10" s="320">
        <f>+H9+4</f>
        <v>44896</v>
      </c>
      <c r="I10" s="320"/>
      <c r="J10" s="321">
        <v>0.41666666666666669</v>
      </c>
      <c r="K10" s="321"/>
      <c r="L10" s="323" t="str">
        <f t="shared" ca="1" si="1"/>
        <v/>
      </c>
      <c r="M10" s="323"/>
      <c r="O10" s="150">
        <f>IF(R10=3,0,IF(COUNTBLANK(C10:E10)=2,"",IF(AND(C10='resultados oficiales'!J26,'- F -'!E10='resultados oficiales'!L26),10,0)))</f>
        <v>0</v>
      </c>
      <c r="P10" s="150">
        <f>IF(R10=3,0,IF($O10=0,IF(AND(($C10-$E10)&gt;0,('resultados oficiales'!$J26-'resultados oficiales'!$L26)&gt;0),5,IF(AND(($C10-$E10)&lt;0,('resultados oficiales'!$J26-'resultados oficiales'!$L26)&lt;0),5,0)),0))</f>
        <v>0</v>
      </c>
      <c r="Q10" s="150">
        <f>IF(R10=3,0,IF($O10=0,IF(AND(($C10-$E10)=0,('resultados oficiales'!$J26-'resultados oficiales'!$L26)=0),5,0),0))</f>
        <v>0</v>
      </c>
      <c r="R10" s="151">
        <f>COUNTBLANK('resultados oficiales'!J26:L26)</f>
        <v>3</v>
      </c>
      <c r="U10" s="24"/>
      <c r="V10" s="25"/>
    </row>
    <row r="11" spans="1:23" ht="14.25" customHeight="1">
      <c r="A11" s="187" t="str">
        <f t="shared" ca="1" si="0"/>
        <v/>
      </c>
      <c r="B11" s="279" t="str">
        <f>IF(U9&lt;&gt;"",U9,"")</f>
        <v>Canada</v>
      </c>
      <c r="C11" s="256">
        <f t="shared" ca="1" si="2"/>
        <v>4</v>
      </c>
      <c r="D11" s="213" t="s">
        <v>234</v>
      </c>
      <c r="E11" s="256">
        <f t="shared" ca="1" si="3"/>
        <v>0</v>
      </c>
      <c r="F11" s="267" t="str">
        <f>IF(U11&lt;&gt;"",U11,"")</f>
        <v>Marruecos</v>
      </c>
      <c r="G11" s="188"/>
      <c r="H11" s="320">
        <f>+H10</f>
        <v>44896</v>
      </c>
      <c r="I11" s="320"/>
      <c r="J11" s="321">
        <f>+J10</f>
        <v>0.41666666666666669</v>
      </c>
      <c r="K11" s="321"/>
      <c r="L11" s="323" t="str">
        <f t="shared" ca="1" si="1"/>
        <v/>
      </c>
      <c r="M11" s="323"/>
      <c r="O11" s="150">
        <f>IF(R11=3,0,IF(COUNTBLANK(C10:E10)=2,"",IF(AND(C11='resultados oficiales'!J28,'- F -'!E11='resultados oficiales'!L28),10,0)))</f>
        <v>0</v>
      </c>
      <c r="P11" s="150">
        <f>IF(R11=3,0,IF($O11=0,IF(AND(($C11-$E11)&gt;0,('resultados oficiales'!$J28-'resultados oficiales'!$L28)&gt;0),5,IF(AND(($C11-$E11)&lt;0,('resultados oficiales'!$J28-'resultados oficiales'!$L28)&lt;0),5,0)),0))</f>
        <v>0</v>
      </c>
      <c r="Q11" s="150">
        <f>IF(R11=3,0,IF($O11=0,IF(AND(($C11-$E11)=0,('resultados oficiales'!$J28-'resultados oficiales'!$L28)=0),5,0),0))</f>
        <v>0</v>
      </c>
      <c r="R11" s="151">
        <f>COUNTBLANK('resultados oficiales'!J28:L28)</f>
        <v>3</v>
      </c>
      <c r="T11" s="22"/>
      <c r="U11" s="324" t="s">
        <v>272</v>
      </c>
      <c r="V11" s="324"/>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324" t="s">
        <v>273</v>
      </c>
      <c r="V13" s="324"/>
      <c r="W13" s="22"/>
    </row>
    <row r="14" spans="1:23" ht="13.5" customHeight="1">
      <c r="B14" s="191"/>
      <c r="C14" s="192"/>
      <c r="D14" s="192"/>
      <c r="E14" s="192"/>
      <c r="G14" s="193"/>
      <c r="H14" s="192"/>
      <c r="I14" s="192"/>
      <c r="J14" s="185"/>
      <c r="K14" s="197"/>
      <c r="L14" s="196"/>
      <c r="M14" s="196"/>
      <c r="O14" s="198"/>
      <c r="U14" s="199"/>
      <c r="V14" s="200"/>
    </row>
    <row r="15" spans="1:23" ht="12.95">
      <c r="G15" s="319" t="s">
        <v>239</v>
      </c>
      <c r="H15" s="319"/>
      <c r="I15" s="319"/>
      <c r="J15" s="319"/>
      <c r="K15" s="319"/>
      <c r="L15" s="319"/>
      <c r="M15" s="319"/>
      <c r="N15" s="319"/>
      <c r="O15" s="319"/>
      <c r="P15" s="307" t="s">
        <v>226</v>
      </c>
      <c r="Q15" s="307"/>
      <c r="R15" s="307"/>
      <c r="V15" s="184"/>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calculoF!F52</f>
        <v>Canada</v>
      </c>
      <c r="H17" s="215">
        <f ca="1">calculoF!G52</f>
        <v>3</v>
      </c>
      <c r="I17" s="215">
        <f ca="1">calculoF!H52</f>
        <v>2</v>
      </c>
      <c r="J17" s="215">
        <f ca="1">calculoF!I52</f>
        <v>0</v>
      </c>
      <c r="K17" s="215">
        <f ca="1">calculoF!J52</f>
        <v>1</v>
      </c>
      <c r="L17" s="215">
        <f ca="1">calculoF!K52</f>
        <v>19</v>
      </c>
      <c r="M17" s="215">
        <f ca="1">calculoF!L52</f>
        <v>10</v>
      </c>
      <c r="N17" s="215">
        <f ca="1">L17-M17</f>
        <v>9</v>
      </c>
      <c r="O17" s="215">
        <f ca="1">calculoF!M52</f>
        <v>6</v>
      </c>
      <c r="P17" s="19"/>
      <c r="Q17" s="150">
        <f>IF(COUNTBLANK('resultados oficiales'!$J$18:$L$28)=33,0,IF(G17='resultados oficiales'!B63,50,0))</f>
        <v>0</v>
      </c>
      <c r="R17" s="19"/>
      <c r="T17" s="203"/>
      <c r="U17" s="24"/>
      <c r="V17" s="25"/>
      <c r="W17" s="24"/>
    </row>
    <row r="18" spans="2:23" ht="12.95">
      <c r="F18" s="68" t="s">
        <v>247</v>
      </c>
      <c r="G18" s="202" t="str">
        <f ca="1">calculoF!F53</f>
        <v>Croacia</v>
      </c>
      <c r="H18" s="215">
        <f ca="1">calculoF!G53</f>
        <v>3</v>
      </c>
      <c r="I18" s="215">
        <f ca="1">calculoF!H53</f>
        <v>2</v>
      </c>
      <c r="J18" s="215">
        <f ca="1">calculoF!I53</f>
        <v>0</v>
      </c>
      <c r="K18" s="215">
        <f ca="1">calculoF!J53</f>
        <v>1</v>
      </c>
      <c r="L18" s="215">
        <f ca="1">calculoF!K53</f>
        <v>15</v>
      </c>
      <c r="M18" s="215">
        <f ca="1">calculoF!L53</f>
        <v>11</v>
      </c>
      <c r="N18" s="215">
        <f ca="1">L18-M18</f>
        <v>4</v>
      </c>
      <c r="O18" s="215">
        <f ca="1">calculoF!M53</f>
        <v>6</v>
      </c>
      <c r="P18" s="19"/>
      <c r="Q18" s="150">
        <f>IF(COUNTBLANK('resultados oficiales'!$J$18:$L$28)=33,0,IF(G18='resultados oficiales'!F43,50,0))</f>
        <v>0</v>
      </c>
      <c r="R18" s="19"/>
      <c r="T18" s="203"/>
      <c r="U18" s="24"/>
      <c r="V18" s="25"/>
      <c r="W18" s="24"/>
    </row>
    <row r="19" spans="2:23" ht="12.95">
      <c r="F19" s="24"/>
      <c r="G19" s="204" t="str">
        <f ca="1">calculoF!F54</f>
        <v>Marruecos</v>
      </c>
      <c r="H19" s="215">
        <f ca="1">calculoF!G54</f>
        <v>3</v>
      </c>
      <c r="I19" s="215">
        <f ca="1">calculoF!H54</f>
        <v>1</v>
      </c>
      <c r="J19" s="215">
        <f ca="1">calculoF!I54</f>
        <v>0</v>
      </c>
      <c r="K19" s="215">
        <f ca="1">calculoF!J54</f>
        <v>2</v>
      </c>
      <c r="L19" s="215">
        <f ca="1">calculoF!K54</f>
        <v>11</v>
      </c>
      <c r="M19" s="215">
        <f ca="1">calculoF!L54</f>
        <v>14</v>
      </c>
      <c r="N19" s="215">
        <f ca="1">L19-M19</f>
        <v>-3</v>
      </c>
      <c r="O19" s="215">
        <f ca="1">calculoF!M54</f>
        <v>3</v>
      </c>
      <c r="P19" s="19"/>
      <c r="Q19" s="19"/>
      <c r="R19" s="19"/>
      <c r="T19" s="24"/>
      <c r="U19" s="24"/>
      <c r="V19" s="25"/>
      <c r="W19" s="24"/>
    </row>
    <row r="20" spans="2:23" ht="12.95">
      <c r="F20" s="24"/>
      <c r="G20" s="204" t="str">
        <f ca="1">calculoF!F55</f>
        <v>Belgica</v>
      </c>
      <c r="H20" s="215">
        <f ca="1">calculoF!G55</f>
        <v>3</v>
      </c>
      <c r="I20" s="215">
        <f ca="1">calculoF!H55</f>
        <v>1</v>
      </c>
      <c r="J20" s="215">
        <f ca="1">calculoF!I55</f>
        <v>0</v>
      </c>
      <c r="K20" s="215">
        <f ca="1">calculoF!J55</f>
        <v>2</v>
      </c>
      <c r="L20" s="215">
        <f ca="1">calculoF!K55</f>
        <v>15</v>
      </c>
      <c r="M20" s="215">
        <f ca="1">calculoF!L55</f>
        <v>25</v>
      </c>
      <c r="N20" s="215">
        <f ca="1">L20-M20</f>
        <v>-10</v>
      </c>
      <c r="O20" s="215">
        <f ca="1">calculoF!M55</f>
        <v>3</v>
      </c>
      <c r="P20" s="19"/>
      <c r="Q20" s="19"/>
      <c r="R20" s="19"/>
      <c r="T20" s="24"/>
      <c r="U20" s="24"/>
      <c r="V20" s="25"/>
      <c r="W20" s="24"/>
    </row>
    <row r="21" spans="2:23" ht="12.95" thickBot="1">
      <c r="P21" s="19"/>
      <c r="Q21" s="19"/>
      <c r="R21" s="19"/>
      <c r="V21" s="184"/>
    </row>
    <row r="22" spans="2:23" ht="11.25" customHeight="1" thickBot="1">
      <c r="P22" s="205" t="s">
        <v>248</v>
      </c>
      <c r="Q22" s="206"/>
      <c r="R22" s="207">
        <f>SUM(O6:Q11)+Q17+Q18</f>
        <v>0</v>
      </c>
      <c r="V22" s="184"/>
    </row>
    <row r="23" spans="2:23" ht="9" customHeight="1">
      <c r="V23" s="208"/>
    </row>
    <row r="24" spans="2:23" ht="12.95">
      <c r="B24" s="209"/>
      <c r="C24" s="210"/>
      <c r="N24" s="211"/>
      <c r="O24" s="211"/>
      <c r="T24" s="177" t="s">
        <v>249</v>
      </c>
      <c r="U24" s="178">
        <f ca="1">TODAY()</f>
        <v>44878</v>
      </c>
      <c r="V24" s="179">
        <f ca="1">NOW()</f>
        <v>44878.303923611114</v>
      </c>
    </row>
    <row r="25" spans="2:23" hidden="1"/>
    <row r="26" spans="2:23" hidden="1">
      <c r="U26" s="23">
        <f ca="1">HOUR(V24)</f>
        <v>7</v>
      </c>
      <c r="V26" s="23">
        <f ca="1">MINUTE(V24)</f>
        <v>17</v>
      </c>
    </row>
    <row r="28" spans="2:23" ht="12.95">
      <c r="U28" s="134"/>
      <c r="V28" s="134"/>
    </row>
  </sheetData>
  <sheetProtection algorithmName="SHA-512" hashValue="X69NHXKIy5deLJVQYqo8DstiixwoVQmtAdfCzkFEopjZiwKlH2pzQWle4RUQzBIWlmWEl+UTm7CNTuW97qAfcQ==" saltValue="s3kgXu6OijmzdS+OlshXvQ==" spinCount="100000" sheet="1" selectLockedCells="1"/>
  <dataConsolidate/>
  <customSheetViews>
    <customSheetView guid="{387210E2-BDFB-42E5-A6C7-A37C9701EAB6}"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97" priority="16" stopIfTrue="1">
      <formula>IF(AND($H$17=3,$H$18=3,$H$19=3,$H$20=3),1,0)</formula>
    </cfRule>
  </conditionalFormatting>
  <conditionalFormatting sqref="G17:O18">
    <cfRule type="expression" dxfId="96" priority="17" stopIfTrue="1">
      <formula>IF(AND($H$17=3,$H$18=3,$H$19=3,$H$20=3),1,0)</formula>
    </cfRule>
  </conditionalFormatting>
  <conditionalFormatting sqref="B7 J8:K8 J10:K11 F7:M7">
    <cfRule type="expression" dxfId="95" priority="18" stopIfTrue="1">
      <formula>IF(OR($L$7="en juego",$L$7="hoy!"),1,0)</formula>
    </cfRule>
  </conditionalFormatting>
  <conditionalFormatting sqref="H7:I7 P15:R16 Q17:Q18 O4:Q11 B6 F6:M6">
    <cfRule type="expression" dxfId="94" priority="19" stopIfTrue="1">
      <formula>IF(OR($L$6="en juego",$L$6="hoy!"),1,0)</formula>
    </cfRule>
  </conditionalFormatting>
  <conditionalFormatting sqref="H9:I9 L8:M8 B8 F8:I8">
    <cfRule type="expression" dxfId="93" priority="20" stopIfTrue="1">
      <formula>IF(OR($L$8="en juego",$L$8="hoy!"),1,0)</formula>
    </cfRule>
  </conditionalFormatting>
  <conditionalFormatting sqref="L9:M9 B9 F9:G9">
    <cfRule type="expression" dxfId="92" priority="21" stopIfTrue="1">
      <formula>IF(OR($L$9="en juego",$L$9="hoy!"),1,0)</formula>
    </cfRule>
  </conditionalFormatting>
  <conditionalFormatting sqref="H11:I11 L10:M10 B10 F10:G10">
    <cfRule type="expression" dxfId="91" priority="22" stopIfTrue="1">
      <formula>IF(OR($L$10="en juego",$L$10="hoy!"),1,0)</formula>
    </cfRule>
  </conditionalFormatting>
  <conditionalFormatting sqref="L11:M11 B11 F11:G11">
    <cfRule type="expression" dxfId="90" priority="23" stopIfTrue="1">
      <formula>IF(OR($L$11="en juego",$L$11="hoy!"),1,0)</formula>
    </cfRule>
  </conditionalFormatting>
  <conditionalFormatting sqref="J9:K9">
    <cfRule type="expression" dxfId="89" priority="8" stopIfTrue="1">
      <formula>IF(OR($L$6="en juego",$L$6="hoy!"),1,0)</formula>
    </cfRule>
  </conditionalFormatting>
  <conditionalFormatting sqref="H10:I10">
    <cfRule type="expression" dxfId="88" priority="7" stopIfTrue="1">
      <formula>IF(OR($L$8="en juego",$L$8="hoy!"),1,0)</formula>
    </cfRule>
  </conditionalFormatting>
  <conditionalFormatting sqref="C7:E7">
    <cfRule type="expression" dxfId="87" priority="1" stopIfTrue="1">
      <formula>IF(OR($L$7="en juego",$L$7="hoy!"),1,0)</formula>
    </cfRule>
  </conditionalFormatting>
  <conditionalFormatting sqref="C6:E6 C7:C11 E7:E11">
    <cfRule type="expression" dxfId="86" priority="2" stopIfTrue="1">
      <formula>IF(OR($L$6="en juego",$L$6="hoy!"),1,0)</formula>
    </cfRule>
  </conditionalFormatting>
  <conditionalFormatting sqref="C8:E8">
    <cfRule type="expression" dxfId="85" priority="3" stopIfTrue="1">
      <formula>IF(OR($L$8="en juego",$L$8="hoy!"),1,0)</formula>
    </cfRule>
  </conditionalFormatting>
  <conditionalFormatting sqref="C9:E9">
    <cfRule type="expression" dxfId="84" priority="4" stopIfTrue="1">
      <formula>IF(OR($L$9="en juego",$L$9="hoy!"),1,0)</formula>
    </cfRule>
  </conditionalFormatting>
  <conditionalFormatting sqref="C10:E10">
    <cfRule type="expression" dxfId="83" priority="5" stopIfTrue="1">
      <formula>IF(OR($L$10="en juego",$L$10="hoy!"),1,0)</formula>
    </cfRule>
  </conditionalFormatting>
  <conditionalFormatting sqref="C11:E11">
    <cfRule type="expression" dxfId="82" priority="6" stopIfTrue="1">
      <formula>IF(OR($L$11="en juego",$L$11="hoy!"),1,0)</formula>
    </cfRule>
  </conditionalFormatting>
  <dataValidations count="1">
    <dataValidation type="whole" allowBlank="1" showErrorMessage="1" errorTitle="Dato no válido" error="Ingrese sólo un número entero_x000a_entre 0 y 99." sqref="C6:C11 E6:E11" xr:uid="{FA101154-9883-4028-930D-D6E9E4928246}">
      <formula1>0</formula1>
      <formula2>99</formula2>
    </dataValidation>
  </dataValidations>
  <pageMargins left="0.75" right="0.75" top="1" bottom="1" header="0" footer="0"/>
  <pageSetup paperSize="9" scale="8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4">
    <tabColor indexed="8"/>
    <pageSetUpPr fitToPage="1"/>
  </sheetPr>
  <dimension ref="A1:W28"/>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10.28515625" style="23"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0.28515625" style="23" customWidth="1"/>
    <col min="20" max="20" width="3.7109375" style="23" customWidth="1"/>
    <col min="21" max="21" width="7.28515625" style="23" bestFit="1" customWidth="1"/>
    <col min="22" max="22" width="6" style="23" customWidth="1"/>
    <col min="23" max="23" width="5.5703125"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19" t="s">
        <v>225</v>
      </c>
      <c r="C4" s="319"/>
      <c r="D4" s="319"/>
      <c r="E4" s="319"/>
      <c r="F4" s="319"/>
      <c r="G4" s="319"/>
      <c r="H4" s="319"/>
      <c r="I4" s="319"/>
      <c r="J4" s="319"/>
      <c r="K4" s="319"/>
      <c r="L4" s="319"/>
      <c r="M4" s="319"/>
      <c r="O4" s="307" t="s">
        <v>226</v>
      </c>
      <c r="P4" s="307"/>
      <c r="Q4" s="307"/>
      <c r="T4" s="326" t="s">
        <v>274</v>
      </c>
      <c r="U4" s="327"/>
      <c r="V4" s="327"/>
      <c r="W4" s="327"/>
    </row>
    <row r="5" spans="1:23" ht="12.75" customHeight="1">
      <c r="G5" s="186"/>
      <c r="H5" s="325" t="s">
        <v>228</v>
      </c>
      <c r="I5" s="325"/>
      <c r="J5" s="322" t="s">
        <v>229</v>
      </c>
      <c r="K5" s="322"/>
      <c r="L5" s="322" t="s">
        <v>230</v>
      </c>
      <c r="M5" s="322"/>
      <c r="O5" s="147" t="s">
        <v>231</v>
      </c>
      <c r="P5" s="147" t="s">
        <v>232</v>
      </c>
      <c r="Q5" s="147" t="s">
        <v>233</v>
      </c>
      <c r="T5" s="327"/>
      <c r="U5" s="327"/>
      <c r="V5" s="327"/>
      <c r="W5" s="327"/>
    </row>
    <row r="6" spans="1:23" ht="14.25" customHeight="1">
      <c r="A6" s="187" t="str">
        <f t="shared" ref="A6:A11" ca="1" si="0">IF(OR(L6="finalizado",L6="en juego",L6="hoy!"),"Ø","")</f>
        <v/>
      </c>
      <c r="B6" s="276" t="str">
        <f>IF(U11&lt;&gt;"",U11,"")</f>
        <v>Suiza</v>
      </c>
      <c r="C6" s="256">
        <f ca="1">RANDBETWEEN(0,10)</f>
        <v>1</v>
      </c>
      <c r="D6" s="213" t="s">
        <v>234</v>
      </c>
      <c r="E6" s="256">
        <f ca="1">RANDBETWEEN(0,10)</f>
        <v>10</v>
      </c>
      <c r="F6" s="293" t="str">
        <f>IF(U13&lt;&gt;"",U13,"")</f>
        <v>Camerun</v>
      </c>
      <c r="G6" s="188"/>
      <c r="H6" s="320">
        <v>44889</v>
      </c>
      <c r="I6" s="320"/>
      <c r="J6" s="321">
        <v>0.20833333333333334</v>
      </c>
      <c r="K6" s="321"/>
      <c r="L6" s="323" t="str">
        <f t="shared" ref="L6:L11" ca="1" si="1">IF(OR(H6="",J6="",H6&lt;$U$24),"",IF(H6=$U$24,IF(AND(J6&lt;=$V$26,$V$26&lt;=(J6+0.08333333333)),"en juego",IF($V$26&lt;J6,"hoy!","finalizado")),IF($U$24&gt;H6,"finalizado","")))</f>
        <v/>
      </c>
      <c r="M6" s="323"/>
      <c r="O6" s="150">
        <f>IF(R6=3,0,IF(COUNTBLANK(C6:E6)=2,"",IF(AND(C6='resultados oficiales'!Q18,'- G -'!E6='resultados oficiales'!S18),10,0)))</f>
        <v>0</v>
      </c>
      <c r="P6" s="150">
        <f>IF(R6=3,0,IF($O6=0,IF(AND(($C6-$E6)&gt;0,('resultados oficiales'!$Q18-'resultados oficiales'!$S18)&gt;0),5,IF(AND(($C6-$E6)&lt;0,('resultados oficiales'!$Q18-'resultados oficiales'!$S18)&lt;0),5,0)),0))</f>
        <v>0</v>
      </c>
      <c r="Q6" s="150">
        <f>IF(R6=3,0,IF($O6=0,IF(AND(($C6-$E6)=0,('resultados oficiales'!$Q18-'resultados oficiales'!$S18)=0),5,0),0))</f>
        <v>0</v>
      </c>
      <c r="R6" s="151">
        <f>COUNTBLANK('resultados oficiales'!Q18:S18)</f>
        <v>3</v>
      </c>
      <c r="V6" s="184"/>
    </row>
    <row r="7" spans="1:23" ht="14.25" customHeight="1">
      <c r="A7" s="187" t="str">
        <f t="shared" ca="1" si="0"/>
        <v/>
      </c>
      <c r="B7" s="291" t="str">
        <f>IF(U7&lt;&gt;"",U7,"")</f>
        <v>Brasil</v>
      </c>
      <c r="C7" s="256">
        <f t="shared" ref="C7:C11" ca="1" si="2">RANDBETWEEN(0,10)</f>
        <v>3</v>
      </c>
      <c r="D7" s="213" t="s">
        <v>234</v>
      </c>
      <c r="E7" s="256">
        <f t="shared" ref="E7:E11" ca="1" si="3">RANDBETWEEN(0,10)</f>
        <v>3</v>
      </c>
      <c r="F7" s="295" t="str">
        <f>IF(U9&lt;&gt;"",U9,"")</f>
        <v>Serbia</v>
      </c>
      <c r="G7" s="188"/>
      <c r="H7" s="320">
        <f>+H6</f>
        <v>44889</v>
      </c>
      <c r="I7" s="320"/>
      <c r="J7" s="321">
        <v>0.58333333333333337</v>
      </c>
      <c r="K7" s="321"/>
      <c r="L7" s="323" t="str">
        <f t="shared" ca="1" si="1"/>
        <v/>
      </c>
      <c r="M7" s="323"/>
      <c r="N7" s="189"/>
      <c r="O7" s="150">
        <f>IF(R7=3,0,IF(COUNTBLANK(C7:E7)=2,"",IF(AND(C7='resultados oficiales'!Q20,'- G -'!E7='resultados oficiales'!S20),10,0)))</f>
        <v>0</v>
      </c>
      <c r="P7" s="150">
        <f>IF(R7=3,0,IF($O7=0,IF(AND(($C7-$E7)&gt;0,('resultados oficiales'!$Q20-'resultados oficiales'!$S20)&gt;0),5,IF(AND(($C7-$E7)&lt;0,('resultados oficiales'!$Q20-'resultados oficiales'!$S20)&lt;0),5,0)),0))</f>
        <v>0</v>
      </c>
      <c r="Q7" s="150">
        <f>IF(R7=3,0,IF($O7=0,IF(AND(($C7-$E7)=0,('resultados oficiales'!$Q20-'resultados oficiales'!$S20)=0),5,0),0))</f>
        <v>0</v>
      </c>
      <c r="R7" s="151">
        <f>COUNTBLANK('resultados oficiales'!Q20:S20)</f>
        <v>3</v>
      </c>
      <c r="T7" s="22"/>
      <c r="U7" s="324" t="s">
        <v>275</v>
      </c>
      <c r="V7" s="324"/>
      <c r="W7" s="22"/>
    </row>
    <row r="8" spans="1:23" ht="14.25" customHeight="1">
      <c r="A8" s="187" t="str">
        <f t="shared" ca="1" si="0"/>
        <v/>
      </c>
      <c r="B8" s="291" t="str">
        <f>IF(U7&lt;&gt;"",U7,"")</f>
        <v>Brasil</v>
      </c>
      <c r="C8" s="256">
        <f t="shared" ca="1" si="2"/>
        <v>1</v>
      </c>
      <c r="D8" s="213" t="s">
        <v>234</v>
      </c>
      <c r="E8" s="256">
        <f t="shared" ca="1" si="3"/>
        <v>7</v>
      </c>
      <c r="F8" s="277" t="str">
        <f>IF(U11&lt;&gt;"",U11,"")</f>
        <v>Suiza</v>
      </c>
      <c r="G8" s="188"/>
      <c r="H8" s="320">
        <f>+H7+4</f>
        <v>44893</v>
      </c>
      <c r="I8" s="320"/>
      <c r="J8" s="321">
        <v>0.45833333333333331</v>
      </c>
      <c r="K8" s="321"/>
      <c r="L8" s="323" t="str">
        <f t="shared" ca="1" si="1"/>
        <v/>
      </c>
      <c r="M8" s="323"/>
      <c r="N8" s="190"/>
      <c r="O8" s="150">
        <f>IF(R8=3,0,IF(COUNTBLANK(C8:E8)=2,"",IF(AND(C8='resultados oficiales'!Q22,'- G -'!E8='resultados oficiales'!S22),10,0)))</f>
        <v>0</v>
      </c>
      <c r="P8" s="150">
        <f>IF(R8=3,0,IF($O8=0,IF(AND(($C8-$E8)&gt;0,('resultados oficiales'!$Q22-'resultados oficiales'!$S22)&gt;0),5,IF(AND(($C8-$E8)&lt;0,('resultados oficiales'!$Q22-'resultados oficiales'!$S22)&lt;0),5,0)),0))</f>
        <v>0</v>
      </c>
      <c r="Q8" s="150">
        <f>IF(R8=3,0,IF($O8=0,IF(AND(($C8-$E8)=0,('resultados oficiales'!$Q22-'resultados oficiales'!$S22)=0),5,0),0))</f>
        <v>0</v>
      </c>
      <c r="R8" s="151">
        <f>COUNTBLANK('resultados oficiales'!Q22:S22)</f>
        <v>3</v>
      </c>
      <c r="U8" s="24"/>
      <c r="V8" s="25"/>
    </row>
    <row r="9" spans="1:23" ht="14.25" customHeight="1">
      <c r="A9" s="187" t="str">
        <f t="shared" ca="1" si="0"/>
        <v/>
      </c>
      <c r="B9" s="294" t="str">
        <f>IF(U13&lt;&gt;"",U13,"")</f>
        <v>Camerun</v>
      </c>
      <c r="C9" s="256">
        <f t="shared" ca="1" si="2"/>
        <v>10</v>
      </c>
      <c r="D9" s="213" t="s">
        <v>234</v>
      </c>
      <c r="E9" s="256">
        <f t="shared" ca="1" si="3"/>
        <v>9</v>
      </c>
      <c r="F9" s="295" t="str">
        <f>IF(U9&lt;&gt;"",U9,"")</f>
        <v>Serbia</v>
      </c>
      <c r="G9" s="188"/>
      <c r="H9" s="320">
        <f>+H8</f>
        <v>44893</v>
      </c>
      <c r="I9" s="320"/>
      <c r="J9" s="321">
        <v>0.20833333333333334</v>
      </c>
      <c r="K9" s="321"/>
      <c r="L9" s="323" t="str">
        <f t="shared" ca="1" si="1"/>
        <v/>
      </c>
      <c r="M9" s="323"/>
      <c r="O9" s="150">
        <f>IF(R9=3,0,IF(COUNTBLANK(C9:E9)=2,"",IF(AND(C9='resultados oficiales'!Q24,'- G -'!E9='resultados oficiales'!S24),10,0)))</f>
        <v>0</v>
      </c>
      <c r="P9" s="150">
        <f>IF(R9=3,0,IF($O9=0,IF(AND(($C9-$E9)&gt;0,('resultados oficiales'!$Q24-'resultados oficiales'!$S24)&gt;0),5,IF(AND(($C9-$E9)&lt;0,('resultados oficiales'!$Q24-'resultados oficiales'!$S24)&lt;0),5,0)),0))</f>
        <v>0</v>
      </c>
      <c r="Q9" s="150">
        <f>IF(R9=3,0,IF($O9=0,IF(AND(($C9-$E9)=0,('resultados oficiales'!$Q24-'resultados oficiales'!$S24)=0),5,0),0))</f>
        <v>0</v>
      </c>
      <c r="R9" s="151">
        <f>COUNTBLANK('resultados oficiales'!Q24:S24)</f>
        <v>3</v>
      </c>
      <c r="T9" s="22"/>
      <c r="U9" s="324" t="s">
        <v>276</v>
      </c>
      <c r="V9" s="324"/>
      <c r="W9" s="22"/>
    </row>
    <row r="10" spans="1:23" ht="14.25" customHeight="1">
      <c r="A10" s="187" t="str">
        <f t="shared" ca="1" si="0"/>
        <v/>
      </c>
      <c r="B10" s="294" t="str">
        <f>IF(U13&lt;&gt;"",U13,"")</f>
        <v>Camerun</v>
      </c>
      <c r="C10" s="256">
        <f t="shared" ca="1" si="2"/>
        <v>3</v>
      </c>
      <c r="D10" s="213" t="s">
        <v>234</v>
      </c>
      <c r="E10" s="256">
        <f t="shared" ca="1" si="3"/>
        <v>1</v>
      </c>
      <c r="F10" s="292" t="str">
        <f>IF(U7&lt;&gt;"",U7,"")</f>
        <v>Brasil</v>
      </c>
      <c r="G10" s="188"/>
      <c r="H10" s="320">
        <f>+H9+4</f>
        <v>44897</v>
      </c>
      <c r="I10" s="320"/>
      <c r="J10" s="321">
        <v>0.58333333333333337</v>
      </c>
      <c r="K10" s="321"/>
      <c r="L10" s="323" t="str">
        <f t="shared" ca="1" si="1"/>
        <v/>
      </c>
      <c r="M10" s="323"/>
      <c r="O10" s="150">
        <f>IF(R10=3,0,IF(COUNTBLANK(C10:E10)=2,"",IF(AND(C10='resultados oficiales'!Q26,'- G -'!E10='resultados oficiales'!S26),10,0)))</f>
        <v>0</v>
      </c>
      <c r="P10" s="150">
        <f>IF(R10=3,0,IF($O10=0,IF(AND(($C10-$E10)&gt;0,('resultados oficiales'!$Q26-'resultados oficiales'!$S26)&gt;0),5,IF(AND(($C10-$E10)&lt;0,('resultados oficiales'!$Q26-'resultados oficiales'!$S26)&lt;0),5,0)),0))</f>
        <v>0</v>
      </c>
      <c r="Q10" s="150">
        <f>IF(R10=3,0,IF($O10=0,IF(AND(($C10-$E10)=0,('resultados oficiales'!$Q26-'resultados oficiales'!$S26)=0),5,0),0))</f>
        <v>0</v>
      </c>
      <c r="R10" s="151">
        <f>COUNTBLANK('resultados oficiales'!Q26:S26)</f>
        <v>3</v>
      </c>
      <c r="U10" s="24"/>
      <c r="V10" s="25"/>
    </row>
    <row r="11" spans="1:23" ht="14.25" customHeight="1">
      <c r="A11" s="187" t="str">
        <f t="shared" ca="1" si="0"/>
        <v/>
      </c>
      <c r="B11" s="296" t="str">
        <f>IF(U9&lt;&gt;"",U9,"")</f>
        <v>Serbia</v>
      </c>
      <c r="C11" s="256">
        <f t="shared" ca="1" si="2"/>
        <v>3</v>
      </c>
      <c r="D11" s="213" t="s">
        <v>234</v>
      </c>
      <c r="E11" s="256">
        <f t="shared" ca="1" si="3"/>
        <v>2</v>
      </c>
      <c r="F11" s="277" t="str">
        <f>IF(U11&lt;&gt;"",U11,"")</f>
        <v>Suiza</v>
      </c>
      <c r="G11" s="188"/>
      <c r="H11" s="320">
        <f>+H10</f>
        <v>44897</v>
      </c>
      <c r="I11" s="320"/>
      <c r="J11" s="321">
        <f>+J10</f>
        <v>0.58333333333333337</v>
      </c>
      <c r="K11" s="321"/>
      <c r="L11" s="323" t="str">
        <f t="shared" ca="1" si="1"/>
        <v/>
      </c>
      <c r="M11" s="323"/>
      <c r="O11" s="150">
        <f>IF(R11=3,0,IF(COUNTBLANK(C10:E10)=2,"",IF(AND(C11='resultados oficiales'!Q28,'- G -'!E11='resultados oficiales'!S28),10,0)))</f>
        <v>0</v>
      </c>
      <c r="P11" s="150">
        <f>IF(R11=3,0,IF($O11=0,IF(AND(($C11-$E11)&gt;0,('resultados oficiales'!$Q28-'resultados oficiales'!$S28)&gt;0),5,IF(AND(($C11-$E11)&lt;0,('resultados oficiales'!$Q28-'resultados oficiales'!$S28)&lt;0),5,0)),0))</f>
        <v>0</v>
      </c>
      <c r="Q11" s="150">
        <f>IF(R11=3,0,IF($O11=0,IF(AND(($C11-$E11)=0,('resultados oficiales'!$Q28-'resultados oficiales'!$S28)=0),5,0),0))</f>
        <v>0</v>
      </c>
      <c r="R11" s="151">
        <f>COUNTBLANK('resultados oficiales'!Q28:S28)</f>
        <v>3</v>
      </c>
      <c r="T11" s="22"/>
      <c r="U11" s="324" t="s">
        <v>277</v>
      </c>
      <c r="V11" s="324"/>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324" t="s">
        <v>278</v>
      </c>
      <c r="V13" s="324"/>
      <c r="W13" s="22"/>
    </row>
    <row r="14" spans="1:23" ht="13.5" customHeight="1">
      <c r="B14" s="191"/>
      <c r="C14" s="192"/>
      <c r="D14" s="192"/>
      <c r="E14" s="192"/>
      <c r="G14" s="193"/>
      <c r="H14" s="192"/>
      <c r="I14" s="192"/>
      <c r="J14" s="185"/>
      <c r="K14" s="197"/>
      <c r="L14" s="196"/>
      <c r="M14" s="196"/>
      <c r="O14" s="198"/>
      <c r="U14" s="199"/>
      <c r="V14" s="200"/>
    </row>
    <row r="15" spans="1:23" ht="12.95">
      <c r="G15" s="319" t="s">
        <v>239</v>
      </c>
      <c r="H15" s="319"/>
      <c r="I15" s="319"/>
      <c r="J15" s="319"/>
      <c r="K15" s="319"/>
      <c r="L15" s="319"/>
      <c r="M15" s="319"/>
      <c r="N15" s="319"/>
      <c r="O15" s="319"/>
      <c r="P15" s="307" t="s">
        <v>226</v>
      </c>
      <c r="Q15" s="307"/>
      <c r="R15" s="307"/>
      <c r="V15" s="184"/>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calculoG!F52</f>
        <v>Camerun</v>
      </c>
      <c r="H17" s="215">
        <f ca="1">calculoG!G52</f>
        <v>3</v>
      </c>
      <c r="I17" s="215">
        <f ca="1">calculoG!H52</f>
        <v>3</v>
      </c>
      <c r="J17" s="215">
        <f ca="1">calculoG!I52</f>
        <v>0</v>
      </c>
      <c r="K17" s="215">
        <f ca="1">calculoG!J52</f>
        <v>0</v>
      </c>
      <c r="L17" s="215">
        <f ca="1">calculoG!K52</f>
        <v>23</v>
      </c>
      <c r="M17" s="215">
        <f ca="1">calculoG!L52</f>
        <v>11</v>
      </c>
      <c r="N17" s="215">
        <f ca="1">L17-M17</f>
        <v>12</v>
      </c>
      <c r="O17" s="215">
        <f ca="1">calculoG!M52</f>
        <v>9</v>
      </c>
      <c r="P17" s="19"/>
      <c r="Q17" s="150">
        <f>IF(COUNTBLANK('resultados oficiales'!$Q$18:$S$28)=33,0,IF(G17='resultados oficiales'!B48,50,0))</f>
        <v>0</v>
      </c>
      <c r="R17" s="19"/>
      <c r="T17" s="203"/>
      <c r="U17" s="24"/>
      <c r="V17" s="25"/>
      <c r="W17" s="24"/>
    </row>
    <row r="18" spans="2:23" ht="12.95">
      <c r="F18" s="68" t="s">
        <v>247</v>
      </c>
      <c r="G18" s="202" t="str">
        <f ca="1">calculoG!F53</f>
        <v>Serbia</v>
      </c>
      <c r="H18" s="215">
        <f ca="1">calculoG!G53</f>
        <v>3</v>
      </c>
      <c r="I18" s="215">
        <f ca="1">calculoG!H53</f>
        <v>1</v>
      </c>
      <c r="J18" s="215">
        <f ca="1">calculoG!I53</f>
        <v>1</v>
      </c>
      <c r="K18" s="215">
        <f ca="1">calculoG!J53</f>
        <v>1</v>
      </c>
      <c r="L18" s="215">
        <f ca="1">calculoG!K53</f>
        <v>15</v>
      </c>
      <c r="M18" s="215">
        <f ca="1">calculoG!L53</f>
        <v>15</v>
      </c>
      <c r="N18" s="215">
        <f ca="1">L18-M18</f>
        <v>0</v>
      </c>
      <c r="O18" s="215">
        <f ca="1">calculoG!M53</f>
        <v>4</v>
      </c>
      <c r="P18" s="19"/>
      <c r="Q18" s="150">
        <f>IF(COUNTBLANK('resultados oficiales'!$Q$18:$S$28)=33,0,IF(G18='resultados oficiales'!F68,50,0))</f>
        <v>0</v>
      </c>
      <c r="R18" s="19"/>
      <c r="T18" s="203"/>
      <c r="U18" s="24"/>
      <c r="V18" s="25"/>
      <c r="W18" s="24"/>
    </row>
    <row r="19" spans="2:23" ht="12.95">
      <c r="F19" s="24"/>
      <c r="G19" s="204" t="str">
        <f ca="1">calculoG!F54</f>
        <v>Suiza</v>
      </c>
      <c r="H19" s="215">
        <f ca="1">calculoG!G54</f>
        <v>3</v>
      </c>
      <c r="I19" s="215">
        <f ca="1">calculoG!H54</f>
        <v>1</v>
      </c>
      <c r="J19" s="215">
        <f ca="1">calculoG!I54</f>
        <v>0</v>
      </c>
      <c r="K19" s="215">
        <f ca="1">calculoG!J54</f>
        <v>2</v>
      </c>
      <c r="L19" s="215">
        <f ca="1">calculoG!K54</f>
        <v>10</v>
      </c>
      <c r="M19" s="215">
        <f ca="1">calculoG!L54</f>
        <v>14</v>
      </c>
      <c r="N19" s="215">
        <f ca="1">L19-M19</f>
        <v>-4</v>
      </c>
      <c r="O19" s="215">
        <f ca="1">calculoG!M54</f>
        <v>3</v>
      </c>
      <c r="P19" s="19"/>
      <c r="Q19" s="19"/>
      <c r="R19" s="19"/>
      <c r="T19" s="24"/>
      <c r="U19" s="24"/>
      <c r="V19" s="25"/>
      <c r="W19" s="24"/>
    </row>
    <row r="20" spans="2:23" ht="12.95">
      <c r="F20" s="24"/>
      <c r="G20" s="204" t="str">
        <f ca="1">calculoG!F55</f>
        <v>Brasil</v>
      </c>
      <c r="H20" s="215">
        <f ca="1">calculoG!G55</f>
        <v>3</v>
      </c>
      <c r="I20" s="215">
        <f ca="1">calculoG!H55</f>
        <v>0</v>
      </c>
      <c r="J20" s="215">
        <f ca="1">calculoG!I55</f>
        <v>1</v>
      </c>
      <c r="K20" s="215">
        <f ca="1">calculoG!J55</f>
        <v>2</v>
      </c>
      <c r="L20" s="215">
        <f ca="1">calculoG!K55</f>
        <v>5</v>
      </c>
      <c r="M20" s="215">
        <f ca="1">calculoG!L55</f>
        <v>13</v>
      </c>
      <c r="N20" s="215">
        <f ca="1">L20-M20</f>
        <v>-8</v>
      </c>
      <c r="O20" s="215">
        <f ca="1">calculoG!M55</f>
        <v>1</v>
      </c>
      <c r="P20" s="19"/>
      <c r="Q20" s="19"/>
      <c r="R20" s="19"/>
      <c r="T20" s="24"/>
      <c r="U20" s="24"/>
      <c r="V20" s="25"/>
      <c r="W20" s="24"/>
    </row>
    <row r="21" spans="2:23" ht="12.95" thickBot="1">
      <c r="P21" s="19"/>
      <c r="Q21" s="19"/>
      <c r="R21" s="19"/>
      <c r="V21" s="184"/>
    </row>
    <row r="22" spans="2:23" ht="11.25" customHeight="1" thickBot="1">
      <c r="P22" s="205" t="s">
        <v>248</v>
      </c>
      <c r="Q22" s="206"/>
      <c r="R22" s="207">
        <f>SUM(O6:Q11)+Q17+Q18</f>
        <v>0</v>
      </c>
      <c r="V22" s="184"/>
    </row>
    <row r="23" spans="2:23" ht="9" customHeight="1">
      <c r="V23" s="208"/>
    </row>
    <row r="24" spans="2:23" ht="12.95">
      <c r="B24" s="209"/>
      <c r="C24" s="210"/>
      <c r="N24" s="211"/>
      <c r="O24" s="211"/>
      <c r="T24" s="177" t="s">
        <v>249</v>
      </c>
      <c r="U24" s="178">
        <f ca="1">TODAY()</f>
        <v>44878</v>
      </c>
      <c r="V24" s="179">
        <f ca="1">NOW()</f>
        <v>44878.303923611114</v>
      </c>
    </row>
    <row r="25" spans="2:23" ht="12.75" hidden="1" customHeight="1"/>
    <row r="26" spans="2:23" ht="12.75" hidden="1" customHeight="1">
      <c r="U26" s="23">
        <f ca="1">HOUR(V24)</f>
        <v>7</v>
      </c>
      <c r="V26" s="23">
        <f ca="1">MINUTE(V24)</f>
        <v>17</v>
      </c>
    </row>
    <row r="28" spans="2:23" ht="12.95">
      <c r="U28" s="134"/>
      <c r="V28" s="134"/>
    </row>
  </sheetData>
  <sheetProtection algorithmName="SHA-512" hashValue="HQnGy98A7EgSeEYv0OeuXLc/ZVLTm2qtpq044y6ITKJv4+kqjSlRdM1mgUDGiZHhvC8W+XpU21S+Q1FQnLlxsQ==" saltValue="vKWDUFKl0JrXAPzMrMKahA==" spinCount="100000" sheet="1" selectLockedCells="1"/>
  <dataConsolidate/>
  <customSheetViews>
    <customSheetView guid="{387210E2-BDFB-42E5-A6C7-A37C9701EAB6}" showGridLines="0" showRowCol="0" outlineSymbols="0" fitToPage="1" hiddenRows="1">
      <selection activeCell="L27" sqref="L27"/>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L27" sqref="L27"/>
      <pageMargins left="0" right="0" top="0" bottom="0" header="0" footer="0"/>
      <pageSetup paperSize="9" scale="89" orientation="portrait" horizontalDpi="300" verticalDpi="300"/>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81" priority="20" stopIfTrue="1">
      <formula>IF(AND($H$17=3,$H$18=3,$H$19=3,$H$20=3),1,0)</formula>
    </cfRule>
  </conditionalFormatting>
  <conditionalFormatting sqref="G17:O18">
    <cfRule type="expression" dxfId="80" priority="21" stopIfTrue="1">
      <formula>IF(AND($H$17=3,$H$18=3,$H$19=3,$H$20=3),1,0)</formula>
    </cfRule>
  </conditionalFormatting>
  <conditionalFormatting sqref="J8:K8 J7:M7 B7 F7:G7">
    <cfRule type="expression" dxfId="79" priority="22" stopIfTrue="1">
      <formula>IF(OR($L$7="en juego",$L$7="hoy!"),1,0)</formula>
    </cfRule>
  </conditionalFormatting>
  <conditionalFormatting sqref="H7:I7 P15:R16 Q17:Q18 O4:Q11 B6 J11:K11 L6:M6 F6:I6">
    <cfRule type="expression" dxfId="78" priority="23" stopIfTrue="1">
      <formula>IF(OR($L$6="en juego",$L$6="hoy!"),1,0)</formula>
    </cfRule>
  </conditionalFormatting>
  <conditionalFormatting sqref="H9:I9 L8:M8 B8 F8:I8">
    <cfRule type="expression" dxfId="77" priority="24" stopIfTrue="1">
      <formula>IF(OR($L$8="en juego",$L$8="hoy!"),1,0)</formula>
    </cfRule>
  </conditionalFormatting>
  <conditionalFormatting sqref="B9 L9:M9 F9:I9">
    <cfRule type="expression" dxfId="76" priority="25" stopIfTrue="1">
      <formula>IF(OR($L$9="en juego",$L$9="hoy!"),1,0)</formula>
    </cfRule>
  </conditionalFormatting>
  <conditionalFormatting sqref="L10:M10 B10 H11:I11 F10:I10">
    <cfRule type="expression" dxfId="75" priority="26" stopIfTrue="1">
      <formula>IF(OR($L$10="en juego",$L$10="hoy!"),1,0)</formula>
    </cfRule>
  </conditionalFormatting>
  <conditionalFormatting sqref="L11:M11 B11 F11:G11">
    <cfRule type="expression" dxfId="74" priority="27" stopIfTrue="1">
      <formula>IF(OR($L$11="en juego",$L$11="hoy!"),1,0)</formula>
    </cfRule>
  </conditionalFormatting>
  <conditionalFormatting sqref="J6:K6">
    <cfRule type="expression" dxfId="73" priority="10" stopIfTrue="1">
      <formula>IF(OR($L$7="en juego",$L$7="hoy!"),1,0)</formula>
    </cfRule>
  </conditionalFormatting>
  <conditionalFormatting sqref="J9:K9">
    <cfRule type="expression" dxfId="72" priority="9" stopIfTrue="1">
      <formula>IF(OR($L$7="en juego",$L$7="hoy!"),1,0)</formula>
    </cfRule>
  </conditionalFormatting>
  <conditionalFormatting sqref="J10:K10">
    <cfRule type="expression" dxfId="71" priority="8" stopIfTrue="1">
      <formula>IF(OR($L$7="en juego",$L$7="hoy!"),1,0)</formula>
    </cfRule>
  </conditionalFormatting>
  <conditionalFormatting sqref="C7 E7">
    <cfRule type="expression" dxfId="70" priority="2" stopIfTrue="1">
      <formula>IF(OR($L$7="en juego",$L$7="hoy!"),1,0)</formula>
    </cfRule>
  </conditionalFormatting>
  <conditionalFormatting sqref="C6:E6 C7:C11 E7:E11">
    <cfRule type="expression" dxfId="69" priority="3" stopIfTrue="1">
      <formula>IF(OR($L$6="en juego",$L$6="hoy!"),1,0)</formula>
    </cfRule>
  </conditionalFormatting>
  <conditionalFormatting sqref="C8 E8">
    <cfRule type="expression" dxfId="68" priority="4" stopIfTrue="1">
      <formula>IF(OR($L$8="en juego",$L$8="hoy!"),1,0)</formula>
    </cfRule>
  </conditionalFormatting>
  <conditionalFormatting sqref="C9 E9">
    <cfRule type="expression" dxfId="67" priority="5" stopIfTrue="1">
      <formula>IF(OR($L$9="en juego",$L$9="hoy!"),1,0)</formula>
    </cfRule>
  </conditionalFormatting>
  <conditionalFormatting sqref="C10 E10">
    <cfRule type="expression" dxfId="66" priority="6" stopIfTrue="1">
      <formula>IF(OR($L$10="en juego",$L$10="hoy!"),1,0)</formula>
    </cfRule>
  </conditionalFormatting>
  <conditionalFormatting sqref="C11 E11">
    <cfRule type="expression" dxfId="65" priority="7" stopIfTrue="1">
      <formula>IF(OR($L$11="en juego",$L$11="hoy!"),1,0)</formula>
    </cfRule>
  </conditionalFormatting>
  <conditionalFormatting sqref="D7:D11">
    <cfRule type="expression" dxfId="64" priority="1" stopIfTrue="1">
      <formula>IF(OR($L$6="en juego",$L$6="hoy!"),1,0)</formula>
    </cfRule>
  </conditionalFormatting>
  <dataValidations count="1">
    <dataValidation type="whole" allowBlank="1" showErrorMessage="1" errorTitle="Dato no válido" error="Ingrese sólo un número entero_x000a_entre 0 y 99." sqref="C6:C11 E6:E11" xr:uid="{B148E49B-27F1-43B2-8A61-CBD067043277}">
      <formula1>0</formula1>
      <formula2>99</formula2>
    </dataValidation>
  </dataValidations>
  <pageMargins left="0.75" right="0.75" top="1" bottom="1" header="0" footer="0"/>
  <pageSetup paperSize="9" scale="89" orientation="portrait" horizontalDpi="300" verticalDpi="300"/>
  <headerFooter alignWithMargins="0"/>
  <ignoredErrors>
    <ignoredError sqref="F10"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6">
    <tabColor indexed="37"/>
    <pageSetUpPr fitToPage="1"/>
  </sheetPr>
  <dimension ref="A1:AB28"/>
  <sheetViews>
    <sheetView showGridLines="0" showRowColHeaders="0" tabSelected="1" showOutlineSymbols="0" zoomScale="90" zoomScaleNormal="90" workbookViewId="0">
      <selection activeCell="E6" sqref="E6"/>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9.85546875" style="23" bestFit="1"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1.28515625" style="23" customWidth="1"/>
    <col min="20" max="20" width="3.28515625" style="23" customWidth="1"/>
    <col min="21" max="21" width="7.28515625" style="23" bestFit="1" customWidth="1"/>
    <col min="22" max="22" width="5.28515625" style="23" customWidth="1"/>
    <col min="23" max="23" width="5.5703125" style="23" customWidth="1"/>
    <col min="24" max="16384" width="11.42578125" style="23"/>
  </cols>
  <sheetData>
    <row r="1" spans="1:28" s="181" customFormat="1" ht="35.1" customHeight="1">
      <c r="A1" s="315"/>
      <c r="B1" s="315"/>
      <c r="C1" s="315"/>
      <c r="D1" s="315"/>
      <c r="E1" s="315"/>
      <c r="F1" s="315"/>
      <c r="G1" s="315"/>
      <c r="H1" s="315"/>
      <c r="I1" s="315"/>
      <c r="J1" s="315"/>
      <c r="K1" s="315"/>
      <c r="L1" s="315"/>
      <c r="M1" s="315"/>
      <c r="N1" s="315"/>
      <c r="O1" s="315"/>
      <c r="P1" s="315"/>
      <c r="Q1" s="315"/>
      <c r="R1" s="315"/>
      <c r="S1" s="315"/>
      <c r="T1" s="180"/>
    </row>
    <row r="2" spans="1:28" s="181" customFormat="1" ht="35.1" customHeight="1">
      <c r="A2" s="315"/>
      <c r="B2" s="315"/>
      <c r="C2" s="315"/>
      <c r="D2" s="315"/>
      <c r="E2" s="315"/>
      <c r="F2" s="315"/>
      <c r="G2" s="315"/>
      <c r="H2" s="315"/>
      <c r="I2" s="315"/>
      <c r="J2" s="315"/>
      <c r="K2" s="315"/>
      <c r="L2" s="315"/>
      <c r="M2" s="315"/>
      <c r="N2" s="315"/>
      <c r="O2" s="315"/>
      <c r="P2" s="315"/>
      <c r="Q2" s="315"/>
      <c r="R2" s="315"/>
      <c r="S2" s="315"/>
      <c r="T2" s="180"/>
    </row>
    <row r="3" spans="1:28" ht="21" customHeight="1">
      <c r="G3" s="184"/>
      <c r="L3" s="185"/>
      <c r="M3" s="185"/>
      <c r="R3" s="184"/>
    </row>
    <row r="4" spans="1:28" ht="12.75" customHeight="1">
      <c r="B4" s="319" t="s">
        <v>225</v>
      </c>
      <c r="C4" s="319"/>
      <c r="D4" s="319"/>
      <c r="E4" s="319"/>
      <c r="F4" s="319"/>
      <c r="G4" s="319"/>
      <c r="H4" s="319"/>
      <c r="I4" s="319"/>
      <c r="J4" s="319"/>
      <c r="K4" s="319"/>
      <c r="L4" s="319"/>
      <c r="M4" s="319"/>
      <c r="O4" s="307" t="s">
        <v>226</v>
      </c>
      <c r="P4" s="307"/>
      <c r="Q4" s="307"/>
      <c r="T4" s="326" t="s">
        <v>279</v>
      </c>
      <c r="U4" s="327"/>
      <c r="V4" s="327"/>
      <c r="W4" s="327"/>
    </row>
    <row r="5" spans="1:28" ht="12.75" customHeight="1">
      <c r="G5" s="186"/>
      <c r="H5" s="325" t="s">
        <v>228</v>
      </c>
      <c r="I5" s="325"/>
      <c r="J5" s="322" t="s">
        <v>229</v>
      </c>
      <c r="K5" s="322"/>
      <c r="L5" s="322" t="s">
        <v>230</v>
      </c>
      <c r="M5" s="322"/>
      <c r="O5" s="147" t="s">
        <v>231</v>
      </c>
      <c r="P5" s="147" t="s">
        <v>232</v>
      </c>
      <c r="Q5" s="147" t="s">
        <v>233</v>
      </c>
      <c r="T5" s="327"/>
      <c r="U5" s="327"/>
      <c r="V5" s="327"/>
      <c r="W5" s="327"/>
    </row>
    <row r="6" spans="1:28" ht="14.25" customHeight="1">
      <c r="A6" s="187" t="str">
        <f t="shared" ref="A6:A11" ca="1" si="0">IF(OR(L6="finalizado",L6="en juego",L6="hoy!"),"Ø","")</f>
        <v/>
      </c>
      <c r="B6" s="297" t="str">
        <f>IF(U11&lt;&gt;"",U11,"")</f>
        <v>Uruguay</v>
      </c>
      <c r="C6" s="256">
        <f ca="1">RANDBETWEEN(0,10)</f>
        <v>7</v>
      </c>
      <c r="D6" s="213" t="s">
        <v>234</v>
      </c>
      <c r="E6" s="256">
        <f ca="1">RANDBETWEEN(0,10)</f>
        <v>7</v>
      </c>
      <c r="F6" s="269" t="str">
        <f>IF(U13&lt;&gt;"",U13,"")</f>
        <v>Corea del Sur</v>
      </c>
      <c r="G6" s="188"/>
      <c r="H6" s="320">
        <v>44889</v>
      </c>
      <c r="I6" s="320"/>
      <c r="J6" s="321">
        <v>0.33333333333333331</v>
      </c>
      <c r="K6" s="321"/>
      <c r="L6" s="323" t="str">
        <f t="shared" ref="L6:L11" ca="1" si="1">IF(OR(H6="",J6="",H6&lt;$U$24),"",IF(H6=$U$24,IF(AND(J6&lt;=$V$26,$V$26&lt;=(J6+0.08333333333)),"en juego",IF($V$26&lt;J6,"hoy!","finalizado")),IF($U$24&gt;H6,"finalizado","")))</f>
        <v/>
      </c>
      <c r="M6" s="323"/>
      <c r="O6" s="150">
        <f>IF(R6=3,0,IF(COUNTBLANK(C6:E6)=2,"",IF(AND(C6='resultados oficiales'!X18,'- H -'!E6='resultados oficiales'!Z18),10,0)))</f>
        <v>0</v>
      </c>
      <c r="P6" s="150">
        <f>IF(R6=3,0,IF($O6=0,IF(AND(($C6-$E6)&gt;0,('resultados oficiales'!$X18-'resultados oficiales'!$Z18)&gt;0),5,IF(AND(($C6-$E6)&lt;0,('resultados oficiales'!$X18-'resultados oficiales'!$Z18)&lt;0),5,0)),0))</f>
        <v>0</v>
      </c>
      <c r="Q6" s="150">
        <f>IF(R6=3,0,IF($O6=0,IF(AND(($C6-$E6)=0,('resultados oficiales'!$X18-'resultados oficiales'!$Z18)=0),5,0),0))</f>
        <v>0</v>
      </c>
      <c r="R6" s="151">
        <f>COUNTBLANK('resultados oficiales'!X18:Z18)</f>
        <v>3</v>
      </c>
      <c r="V6" s="184"/>
    </row>
    <row r="7" spans="1:28" ht="14.25" customHeight="1">
      <c r="A7" s="187" t="str">
        <f t="shared" ca="1" si="0"/>
        <v/>
      </c>
      <c r="B7" s="299" t="str">
        <f>IF(U7&lt;&gt;"",U7,"")</f>
        <v>Portugal</v>
      </c>
      <c r="C7" s="256">
        <f t="shared" ref="C7:C11" ca="1" si="2">RANDBETWEEN(0,10)</f>
        <v>9</v>
      </c>
      <c r="D7" s="213" t="s">
        <v>234</v>
      </c>
      <c r="E7" s="256">
        <f t="shared" ref="E7:E11" ca="1" si="3">RANDBETWEEN(0,10)</f>
        <v>10</v>
      </c>
      <c r="F7" s="301" t="str">
        <f>IF(U9&lt;&gt;"",U9,"")</f>
        <v>Ghana</v>
      </c>
      <c r="G7" s="188"/>
      <c r="H7" s="320">
        <f>+H6</f>
        <v>44889</v>
      </c>
      <c r="I7" s="320"/>
      <c r="J7" s="321">
        <v>0.45833333333333331</v>
      </c>
      <c r="K7" s="321"/>
      <c r="L7" s="323" t="str">
        <f t="shared" ca="1" si="1"/>
        <v/>
      </c>
      <c r="M7" s="323"/>
      <c r="N7" s="189"/>
      <c r="O7" s="150">
        <f>IF(R7=3,0,IF(COUNTBLANK(C7:E7)=2,"",IF(AND(C7='resultados oficiales'!X20,'- H -'!E7='resultados oficiales'!Z20),10,0)))</f>
        <v>0</v>
      </c>
      <c r="P7" s="150">
        <f>IF(R7=3,0,IF($O7=0,IF(AND(($C7-$E7)&gt;0,('resultados oficiales'!$X20-'resultados oficiales'!$Z20)&gt;0),5,IF(AND(($C7-$E7)&lt;0,('resultados oficiales'!$X20-'resultados oficiales'!$Z20)&lt;0),5,0)),0))</f>
        <v>0</v>
      </c>
      <c r="Q7" s="150">
        <f>IF(R7=3,0,IF($O7=0,IF(AND(($C7-$E7)=0,('resultados oficiales'!$X20-'resultados oficiales'!$Z20)=0),5,0),0))</f>
        <v>0</v>
      </c>
      <c r="R7" s="151">
        <f>COUNTBLANK('resultados oficiales'!X20:Z20)</f>
        <v>3</v>
      </c>
      <c r="T7" s="22"/>
      <c r="U7" s="324" t="s">
        <v>280</v>
      </c>
      <c r="V7" s="324"/>
      <c r="W7" s="22"/>
    </row>
    <row r="8" spans="1:28" ht="14.25" customHeight="1">
      <c r="A8" s="187" t="str">
        <f t="shared" ca="1" si="0"/>
        <v/>
      </c>
      <c r="B8" s="278" t="str">
        <f>IF(U13&lt;&gt;"",U13,"")</f>
        <v>Corea del Sur</v>
      </c>
      <c r="C8" s="256">
        <f t="shared" ca="1" si="2"/>
        <v>3</v>
      </c>
      <c r="D8" s="213" t="s">
        <v>234</v>
      </c>
      <c r="E8" s="256">
        <f t="shared" ca="1" si="3"/>
        <v>9</v>
      </c>
      <c r="F8" s="301" t="str">
        <f>IF(U9&lt;&gt;"",U9,"")</f>
        <v>Ghana</v>
      </c>
      <c r="G8" s="188"/>
      <c r="H8" s="320">
        <f>+H7+4</f>
        <v>44893</v>
      </c>
      <c r="I8" s="320"/>
      <c r="J8" s="321">
        <v>0.33333333333333331</v>
      </c>
      <c r="K8" s="321"/>
      <c r="L8" s="323" t="str">
        <f t="shared" ca="1" si="1"/>
        <v/>
      </c>
      <c r="M8" s="323"/>
      <c r="N8" s="190"/>
      <c r="O8" s="150">
        <f>IF(R8=3,0,IF(COUNTBLANK(C8:E8)=2,"",IF(AND(C8='resultados oficiales'!X22,'- H -'!E8='resultados oficiales'!Z22),10,0)))</f>
        <v>0</v>
      </c>
      <c r="P8" s="150">
        <f>IF(R8=3,0,IF($O8=0,IF(AND(($C8-$E8)&gt;0,('resultados oficiales'!$X22-'resultados oficiales'!$Z22)&gt;0),5,IF(AND(($C8-$E8)&lt;0,('resultados oficiales'!$X22-'resultados oficiales'!$Z22)&lt;0),5,0)),0))</f>
        <v>0</v>
      </c>
      <c r="Q8" s="150">
        <f>IF(R8=3,0,IF($O8=0,IF(AND(($C8-$E8)=0,('resultados oficiales'!$X22-'resultados oficiales'!$Z22)=0),5,0),0))</f>
        <v>0</v>
      </c>
      <c r="R8" s="151">
        <f>COUNTBLANK('resultados oficiales'!X22:Z22)</f>
        <v>3</v>
      </c>
      <c r="U8" s="24"/>
      <c r="V8" s="25"/>
    </row>
    <row r="9" spans="1:28" ht="14.25" customHeight="1">
      <c r="A9" s="187" t="str">
        <f t="shared" ca="1" si="0"/>
        <v/>
      </c>
      <c r="B9" s="299" t="str">
        <f>IF(U7&lt;&gt;"",U7,"")</f>
        <v>Portugal</v>
      </c>
      <c r="C9" s="256">
        <f t="shared" ca="1" si="2"/>
        <v>10</v>
      </c>
      <c r="D9" s="213" t="s">
        <v>234</v>
      </c>
      <c r="E9" s="256">
        <f t="shared" ca="1" si="3"/>
        <v>5</v>
      </c>
      <c r="F9" s="298" t="str">
        <f>IF(U11&lt;&gt;"",U11,"")</f>
        <v>Uruguay</v>
      </c>
      <c r="G9" s="188"/>
      <c r="H9" s="320">
        <f>+H8</f>
        <v>44893</v>
      </c>
      <c r="I9" s="320"/>
      <c r="J9" s="321">
        <v>0.58333333333333337</v>
      </c>
      <c r="K9" s="321"/>
      <c r="L9" s="323" t="str">
        <f t="shared" ca="1" si="1"/>
        <v/>
      </c>
      <c r="M9" s="323"/>
      <c r="O9" s="150">
        <f>IF(R9=3,0,IF(COUNTBLANK(C9:E9)=2,"",IF(AND(C9='resultados oficiales'!X24,'- H -'!E9='resultados oficiales'!Z24),10,0)))</f>
        <v>0</v>
      </c>
      <c r="P9" s="150">
        <f>IF(R9=3,0,IF($O9=0,IF(AND(($C9-$E9)&gt;0,('resultados oficiales'!$X24-'resultados oficiales'!$Z24)&gt;0),5,IF(AND(($C9-$E9)&lt;0,('resultados oficiales'!$X24-'resultados oficiales'!$Z24)&lt;0),5,0)),0))</f>
        <v>0</v>
      </c>
      <c r="Q9" s="150">
        <f>IF(R9=3,0,IF($O9=0,IF(AND(($C9-$E9)=0,('resultados oficiales'!$X24-'resultados oficiales'!$Z24)=0),5,0),0))</f>
        <v>0</v>
      </c>
      <c r="R9" s="151">
        <f>COUNTBLANK('resultados oficiales'!X24:Z24)</f>
        <v>3</v>
      </c>
      <c r="T9" s="22"/>
      <c r="U9" s="324" t="s">
        <v>281</v>
      </c>
      <c r="V9" s="324"/>
      <c r="W9" s="22"/>
    </row>
    <row r="10" spans="1:28" ht="14.25" customHeight="1">
      <c r="A10" s="187" t="str">
        <f t="shared" ca="1" si="0"/>
        <v/>
      </c>
      <c r="B10" s="279" t="str">
        <f>IF(U13&lt;&gt;"",U13,"")</f>
        <v>Corea del Sur</v>
      </c>
      <c r="C10" s="256">
        <f t="shared" ca="1" si="2"/>
        <v>9</v>
      </c>
      <c r="D10" s="213" t="s">
        <v>234</v>
      </c>
      <c r="E10" s="256">
        <f t="shared" ca="1" si="3"/>
        <v>7</v>
      </c>
      <c r="F10" s="300" t="str">
        <f>IF(U7&lt;&gt;"",U7,"")</f>
        <v>Portugal</v>
      </c>
      <c r="G10" s="188"/>
      <c r="H10" s="320">
        <f>+H9+4</f>
        <v>44897</v>
      </c>
      <c r="I10" s="320"/>
      <c r="J10" s="321">
        <v>0.41666666666666669</v>
      </c>
      <c r="K10" s="321"/>
      <c r="L10" s="323" t="str">
        <f t="shared" ca="1" si="1"/>
        <v/>
      </c>
      <c r="M10" s="323"/>
      <c r="O10" s="150">
        <f>IF(R10=3,0,IF(COUNTBLANK(C10:E10)=2,"",IF(AND(C10='resultados oficiales'!X26,'- H -'!E10='resultados oficiales'!Z26),10,0)))</f>
        <v>0</v>
      </c>
      <c r="P10" s="150">
        <f>IF(R10=3,0,IF($O10=0,IF(AND(($C10-$E10)&gt;0,('resultados oficiales'!$X26-'resultados oficiales'!$Z26)&gt;0),5,IF(AND(($C10-$E10)&lt;0,('resultados oficiales'!$X26-'resultados oficiales'!$Z26)&lt;0),5,0)),0))</f>
        <v>0</v>
      </c>
      <c r="Q10" s="150">
        <f>IF(R10=3,0,IF($O10=0,IF(AND(($C10-$E10)=0,('resultados oficiales'!$X26-'resultados oficiales'!$Z26)=0),5,0),0))</f>
        <v>0</v>
      </c>
      <c r="R10" s="151">
        <f>COUNTBLANK('resultados oficiales'!X26:Z26)</f>
        <v>3</v>
      </c>
      <c r="U10" s="24"/>
      <c r="V10" s="25"/>
    </row>
    <row r="11" spans="1:28" ht="14.25" customHeight="1">
      <c r="A11" s="187" t="str">
        <f t="shared" ca="1" si="0"/>
        <v/>
      </c>
      <c r="B11" s="302" t="str">
        <f>IF(U9&lt;&gt;"",U9,"")</f>
        <v>Ghana</v>
      </c>
      <c r="C11" s="256">
        <f t="shared" ca="1" si="2"/>
        <v>8</v>
      </c>
      <c r="D11" s="213" t="s">
        <v>234</v>
      </c>
      <c r="E11" s="256">
        <f t="shared" ca="1" si="3"/>
        <v>1</v>
      </c>
      <c r="F11" s="298" t="str">
        <f>IF(U11&lt;&gt;"",U11,"")</f>
        <v>Uruguay</v>
      </c>
      <c r="G11" s="188"/>
      <c r="H11" s="320">
        <f>+H10</f>
        <v>44897</v>
      </c>
      <c r="I11" s="320"/>
      <c r="J11" s="321">
        <f>+J10</f>
        <v>0.41666666666666669</v>
      </c>
      <c r="K11" s="321"/>
      <c r="L11" s="323" t="str">
        <f t="shared" ca="1" si="1"/>
        <v/>
      </c>
      <c r="M11" s="323"/>
      <c r="O11" s="150">
        <f>IF(R11=3,0,IF(COUNTBLANK(C11:E11)=2,"",IF(AND(C11='resultados oficiales'!X28,'- H -'!E11='resultados oficiales'!Z28),10,0)))</f>
        <v>0</v>
      </c>
      <c r="P11" s="150">
        <f>IF(R11=3,0,IF($O11=0,IF(AND(($C11-$E11)&gt;0,('resultados oficiales'!$X28-'resultados oficiales'!$Z28)&gt;0),5,IF(AND(($C11-$E11)&lt;0,('resultados oficiales'!$X28-'resultados oficiales'!$Z28)&lt;0),5,0)),0))</f>
        <v>0</v>
      </c>
      <c r="Q11" s="150">
        <f>IF(R11=3,0,IF($O11=0,IF(AND(($C11-$E11)=0,('resultados oficiales'!$X28-'resultados oficiales'!$Z28)=0),5,0),0))</f>
        <v>0</v>
      </c>
      <c r="R11" s="151">
        <f>COUNTBLANK('resultados oficiales'!X28:Z28)</f>
        <v>3</v>
      </c>
      <c r="T11" s="22"/>
      <c r="U11" s="328" t="s">
        <v>282</v>
      </c>
      <c r="V11" s="328"/>
      <c r="W11" s="22"/>
    </row>
    <row r="12" spans="1:28" ht="14.25" customHeight="1">
      <c r="B12" s="191"/>
      <c r="C12" s="192"/>
      <c r="D12" s="192"/>
      <c r="E12" s="192"/>
      <c r="G12" s="193"/>
      <c r="H12" s="192"/>
      <c r="I12" s="194"/>
      <c r="J12" s="185"/>
      <c r="K12" s="195"/>
      <c r="L12" s="196"/>
      <c r="M12" s="196"/>
      <c r="U12" s="24"/>
      <c r="V12" s="25"/>
    </row>
    <row r="13" spans="1:28" ht="14.25" customHeight="1">
      <c r="B13" s="191"/>
      <c r="C13" s="192"/>
      <c r="D13" s="192"/>
      <c r="E13" s="192"/>
      <c r="H13" s="192"/>
      <c r="I13" s="192"/>
      <c r="J13" s="185"/>
      <c r="K13" s="197"/>
      <c r="L13" s="196"/>
      <c r="M13" s="196"/>
      <c r="T13" s="22"/>
      <c r="U13" s="324" t="s">
        <v>283</v>
      </c>
      <c r="V13" s="324"/>
      <c r="W13" s="22"/>
      <c r="AB13" s="193"/>
    </row>
    <row r="14" spans="1:28" ht="13.5" customHeight="1">
      <c r="B14" s="191"/>
      <c r="C14" s="192"/>
      <c r="D14" s="192"/>
      <c r="E14" s="192"/>
      <c r="G14" s="193"/>
      <c r="H14" s="192"/>
      <c r="I14" s="192"/>
      <c r="J14" s="185"/>
      <c r="K14" s="197"/>
      <c r="L14" s="196"/>
      <c r="M14" s="196"/>
      <c r="O14" s="198"/>
      <c r="U14" s="199"/>
      <c r="V14" s="200"/>
    </row>
    <row r="15" spans="1:28" ht="12.95">
      <c r="G15" s="319" t="s">
        <v>239</v>
      </c>
      <c r="H15" s="319"/>
      <c r="I15" s="319"/>
      <c r="J15" s="319"/>
      <c r="K15" s="319"/>
      <c r="L15" s="319"/>
      <c r="M15" s="319"/>
      <c r="N15" s="319"/>
      <c r="O15" s="319"/>
      <c r="P15" s="307" t="s">
        <v>226</v>
      </c>
      <c r="Q15" s="307"/>
      <c r="R15" s="307"/>
      <c r="V15" s="184"/>
    </row>
    <row r="16" spans="1:28">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calculoH!F52</f>
        <v>Ghana</v>
      </c>
      <c r="H17" s="215">
        <f ca="1">calculoH!G52</f>
        <v>3</v>
      </c>
      <c r="I17" s="215">
        <f ca="1">calculoH!H52</f>
        <v>3</v>
      </c>
      <c r="J17" s="215">
        <f ca="1">calculoH!I52</f>
        <v>0</v>
      </c>
      <c r="K17" s="215">
        <f ca="1">calculoH!J52</f>
        <v>0</v>
      </c>
      <c r="L17" s="215">
        <f ca="1">calculoH!K52</f>
        <v>27</v>
      </c>
      <c r="M17" s="215">
        <f ca="1">calculoH!L52</f>
        <v>13</v>
      </c>
      <c r="N17" s="215">
        <f ca="1">L17-M17</f>
        <v>14</v>
      </c>
      <c r="O17" s="215">
        <f ca="1">calculoH!M52</f>
        <v>9</v>
      </c>
      <c r="P17" s="19"/>
      <c r="Q17" s="150">
        <f>IF(COUNTBLANK('resultados oficiales'!$X$18:$Z$28)=33,0,IF(G17='resultados oficiales'!B68,50,0))</f>
        <v>0</v>
      </c>
      <c r="R17" s="19"/>
      <c r="T17" s="203"/>
      <c r="U17" s="24"/>
      <c r="V17" s="25"/>
      <c r="W17" s="24"/>
    </row>
    <row r="18" spans="2:23" ht="12.95">
      <c r="F18" s="68" t="s">
        <v>247</v>
      </c>
      <c r="G18" s="202" t="str">
        <f ca="1">calculoH!F53</f>
        <v>Corea del Sur</v>
      </c>
      <c r="H18" s="215">
        <f ca="1">calculoH!G53</f>
        <v>3</v>
      </c>
      <c r="I18" s="215">
        <f ca="1">calculoH!H53</f>
        <v>1</v>
      </c>
      <c r="J18" s="215">
        <f ca="1">calculoH!I53</f>
        <v>1</v>
      </c>
      <c r="K18" s="215">
        <f ca="1">calculoH!J53</f>
        <v>1</v>
      </c>
      <c r="L18" s="215">
        <f ca="1">calculoH!K53</f>
        <v>19</v>
      </c>
      <c r="M18" s="215">
        <f ca="1">calculoH!L53</f>
        <v>23</v>
      </c>
      <c r="N18" s="215">
        <f ca="1">L18-M18</f>
        <v>-4</v>
      </c>
      <c r="O18" s="215">
        <f ca="1">calculoH!M53</f>
        <v>4</v>
      </c>
      <c r="P18" s="19"/>
      <c r="Q18" s="150">
        <f>IF(COUNTBLANK('resultados oficiales'!$X$18:$Z$28)=33,0,IF(G18='resultados oficiales'!F48,50,0))</f>
        <v>0</v>
      </c>
      <c r="R18" s="19"/>
      <c r="T18" s="203"/>
      <c r="U18" s="24"/>
      <c r="V18" s="25"/>
      <c r="W18" s="24"/>
    </row>
    <row r="19" spans="2:23" ht="12.95">
      <c r="F19" s="24"/>
      <c r="G19" s="204" t="str">
        <f ca="1">calculoH!F54</f>
        <v>Portugal</v>
      </c>
      <c r="H19" s="215">
        <f ca="1">calculoH!G54</f>
        <v>3</v>
      </c>
      <c r="I19" s="215">
        <f ca="1">calculoH!H54</f>
        <v>1</v>
      </c>
      <c r="J19" s="215">
        <f ca="1">calculoH!I54</f>
        <v>0</v>
      </c>
      <c r="K19" s="215">
        <f ca="1">calculoH!J54</f>
        <v>2</v>
      </c>
      <c r="L19" s="215">
        <f ca="1">calculoH!K54</f>
        <v>26</v>
      </c>
      <c r="M19" s="215">
        <f ca="1">calculoH!L54</f>
        <v>24</v>
      </c>
      <c r="N19" s="215">
        <f ca="1">L19-M19</f>
        <v>2</v>
      </c>
      <c r="O19" s="215">
        <f ca="1">calculoH!M54</f>
        <v>3</v>
      </c>
      <c r="P19" s="19"/>
      <c r="Q19" s="19"/>
      <c r="R19" s="19"/>
      <c r="T19" s="24"/>
      <c r="U19" s="24"/>
      <c r="V19" s="25"/>
      <c r="W19" s="24"/>
    </row>
    <row r="20" spans="2:23" ht="12.95">
      <c r="F20" s="24"/>
      <c r="G20" s="204" t="str">
        <f ca="1">calculoH!F55</f>
        <v>Uruguay</v>
      </c>
      <c r="H20" s="215">
        <f ca="1">calculoH!G55</f>
        <v>3</v>
      </c>
      <c r="I20" s="215">
        <f ca="1">calculoH!H55</f>
        <v>0</v>
      </c>
      <c r="J20" s="215">
        <f ca="1">calculoH!I55</f>
        <v>1</v>
      </c>
      <c r="K20" s="215">
        <f ca="1">calculoH!J55</f>
        <v>2</v>
      </c>
      <c r="L20" s="215">
        <f ca="1">calculoH!K55</f>
        <v>13</v>
      </c>
      <c r="M20" s="215">
        <f ca="1">calculoH!L55</f>
        <v>25</v>
      </c>
      <c r="N20" s="215">
        <f ca="1">L20-M20</f>
        <v>-12</v>
      </c>
      <c r="O20" s="215">
        <f ca="1">calculoH!M55</f>
        <v>1</v>
      </c>
      <c r="P20" s="19"/>
      <c r="Q20" s="19"/>
      <c r="R20" s="19"/>
      <c r="T20" s="24"/>
      <c r="U20" s="24"/>
      <c r="V20" s="25"/>
      <c r="W20" s="24"/>
    </row>
    <row r="21" spans="2:23" ht="12.95" thickBot="1">
      <c r="P21" s="19"/>
      <c r="Q21" s="19"/>
      <c r="R21" s="19"/>
      <c r="V21" s="184"/>
    </row>
    <row r="22" spans="2:23" ht="11.25" customHeight="1" thickBot="1">
      <c r="P22" s="205" t="s">
        <v>248</v>
      </c>
      <c r="Q22" s="206"/>
      <c r="R22" s="207">
        <f>SUM(O6:Q11)+Q17+Q18</f>
        <v>0</v>
      </c>
      <c r="V22" s="184"/>
    </row>
    <row r="23" spans="2:23" ht="9" customHeight="1">
      <c r="V23" s="208"/>
    </row>
    <row r="24" spans="2:23" ht="12.95">
      <c r="B24" s="209"/>
      <c r="C24" s="210"/>
      <c r="N24" s="211"/>
      <c r="O24" s="211"/>
      <c r="T24" s="177" t="s">
        <v>249</v>
      </c>
      <c r="U24" s="178">
        <f ca="1">TODAY()</f>
        <v>44878</v>
      </c>
      <c r="V24" s="179">
        <f ca="1">NOW()</f>
        <v>44878.303923611114</v>
      </c>
    </row>
    <row r="25" spans="2:23" ht="12.75" hidden="1" customHeight="1"/>
    <row r="26" spans="2:23" ht="12.75" hidden="1" customHeight="1">
      <c r="U26" s="23">
        <f ca="1">HOUR(V24)</f>
        <v>7</v>
      </c>
      <c r="V26" s="23">
        <f ca="1">MINUTE(V24)</f>
        <v>17</v>
      </c>
    </row>
    <row r="28" spans="2:23" ht="12.95">
      <c r="U28" s="134"/>
      <c r="V28" s="134"/>
    </row>
  </sheetData>
  <sheetProtection algorithmName="SHA-512" hashValue="/TiGwkcZnxMP5MN8ewP16rEvj+TFO5gQOwyvuFrPzsy8rAnCCTdNhxWHhcpcSpiRqGkspdgE4VyoZAf+L4lsjw==" saltValue="nrwi5bbBOZNSkusFSuG55Q==" spinCount="100000" sheet="1" selectLockedCells="1"/>
  <dataConsolidate/>
  <customSheetViews>
    <customSheetView guid="{387210E2-BDFB-42E5-A6C7-A37C9701EAB6}" showGridLines="0" showRowCol="0" outlineSymbols="0" fitToPage="1" hiddenRows="1">
      <selection sqref="A1:S2"/>
      <pageMargins left="0" right="0" top="0" bottom="0" header="0" footer="0"/>
      <pageSetup paperSize="9" scale="89" orientation="portrait" horizontalDpi="300" verticalDpi="300" r:id="rId1"/>
      <headerFooter alignWithMargins="0"/>
    </customSheetView>
    <customSheetView guid="{E2621C8A-2AE3-484D-B751-B92E60BB88F8}" showGridLines="0" showRowCol="0" outlineSymbols="0" fitToPage="1" hiddenRows="1">
      <selection sqref="A1:S2"/>
      <pageMargins left="0" right="0" top="0" bottom="0" header="0" footer="0"/>
      <pageSetup paperSize="9" scale="89" orientation="portrait" horizontalDpi="300" verticalDpi="300" r:id="rId2"/>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63" priority="18" stopIfTrue="1">
      <formula>IF(AND($H$17=3,$H$18=3,$H$19=3,$H$20=3),1,0)</formula>
    </cfRule>
  </conditionalFormatting>
  <conditionalFormatting sqref="G17:O18">
    <cfRule type="expression" dxfId="62" priority="19" stopIfTrue="1">
      <formula>IF(AND($H$17=3,$H$18=3,$H$19=3,$H$20=3),1,0)</formula>
    </cfRule>
  </conditionalFormatting>
  <conditionalFormatting sqref="J7:M7 B7 F7:G7">
    <cfRule type="expression" dxfId="61" priority="20" stopIfTrue="1">
      <formula>IF(OR($L$7="en juego",$L$7="hoy!"),1,0)</formula>
    </cfRule>
  </conditionalFormatting>
  <conditionalFormatting sqref="H7:I7 P15:R16 Q17:Q18 O4:Q11 B6 F6:M6">
    <cfRule type="expression" dxfId="60" priority="21" stopIfTrue="1">
      <formula>IF(OR($L$6="en juego",$L$6="hoy!"),1,0)</formula>
    </cfRule>
  </conditionalFormatting>
  <conditionalFormatting sqref="H9:I9 B8 L8:M8 F8:I8">
    <cfRule type="expression" dxfId="59" priority="22" stopIfTrue="1">
      <formula>IF(OR($L$8="en juego",$L$8="hoy!"),1,0)</formula>
    </cfRule>
  </conditionalFormatting>
  <conditionalFormatting sqref="B9 L9:M9 F9:G9">
    <cfRule type="expression" dxfId="58" priority="23" stopIfTrue="1">
      <formula>IF(OR($L$9="en juego",$L$9="hoy!"),1,0)</formula>
    </cfRule>
  </conditionalFormatting>
  <conditionalFormatting sqref="H11:I11 L10:M10 B10 F10:I10">
    <cfRule type="expression" dxfId="57" priority="24" stopIfTrue="1">
      <formula>IF(OR($L$10="en juego",$L$10="hoy!"),1,0)</formula>
    </cfRule>
  </conditionalFormatting>
  <conditionalFormatting sqref="L11:M11 B11 F11:G11">
    <cfRule type="expression" dxfId="56" priority="25" stopIfTrue="1">
      <formula>IF(OR($L$11="en juego",$L$11="hoy!"),1,0)</formula>
    </cfRule>
  </conditionalFormatting>
  <conditionalFormatting sqref="J9:K9">
    <cfRule type="expression" dxfId="55" priority="10" stopIfTrue="1">
      <formula>IF(OR($L$6="en juego",$L$6="hoy!"),1,0)</formula>
    </cfRule>
  </conditionalFormatting>
  <conditionalFormatting sqref="J10:K10">
    <cfRule type="expression" dxfId="54" priority="9" stopIfTrue="1">
      <formula>IF(OR($L$7="en juego",$L$7="hoy!"),1,0)</formula>
    </cfRule>
  </conditionalFormatting>
  <conditionalFormatting sqref="J11:K11">
    <cfRule type="expression" dxfId="53" priority="8" stopIfTrue="1">
      <formula>IF(OR($L$7="en juego",$L$7="hoy!"),1,0)</formula>
    </cfRule>
  </conditionalFormatting>
  <conditionalFormatting sqref="J8:K8">
    <cfRule type="expression" dxfId="52" priority="7" stopIfTrue="1">
      <formula>IF(OR($L$6="en juego",$L$6="hoy!"),1,0)</formula>
    </cfRule>
  </conditionalFormatting>
  <conditionalFormatting sqref="C7:E7">
    <cfRule type="expression" dxfId="51" priority="1" stopIfTrue="1">
      <formula>IF(OR($L$7="en juego",$L$7="hoy!"),1,0)</formula>
    </cfRule>
  </conditionalFormatting>
  <conditionalFormatting sqref="C6:E6 C7:C11 E7:E11">
    <cfRule type="expression" dxfId="50" priority="2" stopIfTrue="1">
      <formula>IF(OR($L$6="en juego",$L$6="hoy!"),1,0)</formula>
    </cfRule>
  </conditionalFormatting>
  <conditionalFormatting sqref="C8:E8">
    <cfRule type="expression" dxfId="49" priority="3" stopIfTrue="1">
      <formula>IF(OR($L$8="en juego",$L$8="hoy!"),1,0)</formula>
    </cfRule>
  </conditionalFormatting>
  <conditionalFormatting sqref="C9:E9">
    <cfRule type="expression" dxfId="48" priority="4" stopIfTrue="1">
      <formula>IF(OR($L$9="en juego",$L$9="hoy!"),1,0)</formula>
    </cfRule>
  </conditionalFormatting>
  <conditionalFormatting sqref="C10:E10">
    <cfRule type="expression" dxfId="47" priority="5" stopIfTrue="1">
      <formula>IF(OR($L$10="en juego",$L$10="hoy!"),1,0)</formula>
    </cfRule>
  </conditionalFormatting>
  <conditionalFormatting sqref="C11:E11">
    <cfRule type="expression" dxfId="46" priority="6" stopIfTrue="1">
      <formula>IF(OR($L$11="en juego",$L$11="hoy!"),1,0)</formula>
    </cfRule>
  </conditionalFormatting>
  <dataValidations count="1">
    <dataValidation type="whole" allowBlank="1" showErrorMessage="1" errorTitle="Dato no válido" error="Ingrese sólo un número entero_x000a_entre 0 y 99." sqref="C6:C11 E6:E11" xr:uid="{6D6EA688-C7D0-419E-9E41-A462AD9A59EF}">
      <formula1>0</formula1>
      <formula2>99</formula2>
    </dataValidation>
  </dataValidations>
  <pageMargins left="0.75" right="0.75" top="1" bottom="1" header="0" footer="0"/>
  <pageSetup paperSize="9" scale="89" orientation="portrait" horizontalDpi="300" verticalDpi="300" r:id="rId3"/>
  <headerFooter alignWithMargins="0"/>
  <ignoredErrors>
    <ignoredError sqref="F8" formula="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8">
    <tabColor indexed="50"/>
  </sheetPr>
  <dimension ref="A1:U70"/>
  <sheetViews>
    <sheetView showGridLines="0" showOutlineSymbols="0" zoomScale="110" zoomScaleNormal="110" workbookViewId="0">
      <pane ySplit="7" topLeftCell="A26" activePane="bottomLeft" state="frozen"/>
      <selection pane="bottomLeft" activeCell="F41" sqref="F41"/>
      <selection activeCell="K25" sqref="K25"/>
    </sheetView>
  </sheetViews>
  <sheetFormatPr defaultColWidth="11.42578125" defaultRowHeight="12.6"/>
  <cols>
    <col min="1" max="1" width="2.140625" style="26" customWidth="1"/>
    <col min="2" max="2" width="14.7109375" style="26" customWidth="1"/>
    <col min="3" max="4" width="6.7109375" style="26" customWidth="1"/>
    <col min="5" max="5" width="15.7109375" style="26" customWidth="1"/>
    <col min="6" max="6" width="3.7109375" style="26" customWidth="1"/>
    <col min="7" max="7" width="2" style="26" customWidth="1"/>
    <col min="8" max="8" width="6.42578125" style="26" customWidth="1"/>
    <col min="9" max="9" width="11.7109375" style="26" customWidth="1"/>
    <col min="10" max="10" width="15.7109375" style="26" customWidth="1"/>
    <col min="11" max="11" width="3.7109375" style="26" customWidth="1"/>
    <col min="12" max="12" width="8.42578125" style="26" bestFit="1" customWidth="1"/>
    <col min="13" max="13" width="7.5703125" style="26" bestFit="1" customWidth="1"/>
    <col min="14" max="14" width="1.7109375" style="26" customWidth="1"/>
    <col min="15" max="15" width="11.42578125" style="26"/>
    <col min="16" max="16" width="2.42578125" style="26" hidden="1" customWidth="1"/>
    <col min="17" max="17" width="2" style="26" hidden="1" customWidth="1"/>
    <col min="18" max="16384" width="11.42578125" style="26"/>
  </cols>
  <sheetData>
    <row r="1" spans="1:21" s="136" customFormat="1" ht="27" customHeight="1">
      <c r="A1"/>
      <c r="B1"/>
      <c r="C1"/>
      <c r="D1"/>
      <c r="E1"/>
      <c r="F1"/>
      <c r="G1"/>
      <c r="H1"/>
      <c r="I1"/>
      <c r="J1"/>
      <c r="K1"/>
      <c r="L1"/>
      <c r="M1"/>
      <c r="N1"/>
      <c r="O1"/>
      <c r="P1" s="212"/>
      <c r="Q1" s="212"/>
      <c r="R1" s="212"/>
      <c r="S1" s="212"/>
      <c r="T1" s="135"/>
      <c r="U1" s="135"/>
    </row>
    <row r="2" spans="1:21" s="136" customFormat="1" ht="34.5" customHeight="1">
      <c r="A2"/>
      <c r="B2"/>
      <c r="C2"/>
      <c r="D2"/>
      <c r="E2"/>
      <c r="F2"/>
      <c r="G2"/>
      <c r="H2"/>
      <c r="I2"/>
      <c r="J2"/>
      <c r="K2"/>
      <c r="L2"/>
      <c r="M2"/>
      <c r="N2"/>
      <c r="O2"/>
      <c r="P2" s="212"/>
      <c r="Q2" s="212"/>
      <c r="R2" s="212"/>
      <c r="S2" s="212"/>
      <c r="T2" s="135"/>
      <c r="U2" s="135"/>
    </row>
    <row r="3" spans="1:21" ht="5.25" customHeight="1">
      <c r="A3"/>
      <c r="B3"/>
      <c r="C3"/>
      <c r="D3"/>
      <c r="E3"/>
      <c r="F3"/>
      <c r="G3"/>
      <c r="H3"/>
      <c r="I3"/>
      <c r="J3"/>
      <c r="K3"/>
      <c r="L3"/>
      <c r="M3"/>
      <c r="N3"/>
      <c r="O3"/>
    </row>
    <row r="4" spans="1:21" ht="5.25" customHeight="1">
      <c r="A4"/>
      <c r="B4"/>
      <c r="C4"/>
      <c r="D4"/>
      <c r="E4"/>
      <c r="F4"/>
      <c r="G4"/>
      <c r="H4"/>
      <c r="I4"/>
      <c r="J4"/>
      <c r="K4"/>
      <c r="L4"/>
      <c r="M4"/>
      <c r="N4"/>
      <c r="O4"/>
    </row>
    <row r="5" spans="1:21" ht="5.25" customHeight="1">
      <c r="A5"/>
      <c r="B5"/>
      <c r="C5"/>
      <c r="D5"/>
      <c r="E5"/>
      <c r="F5"/>
      <c r="G5"/>
      <c r="H5"/>
      <c r="I5"/>
      <c r="J5"/>
      <c r="K5"/>
      <c r="L5"/>
      <c r="M5"/>
      <c r="N5"/>
      <c r="O5"/>
    </row>
    <row r="6" spans="1:21" ht="12.75" customHeight="1">
      <c r="E6" s="28"/>
      <c r="F6" s="27"/>
      <c r="L6" s="331" t="s">
        <v>226</v>
      </c>
      <c r="M6" s="331"/>
      <c r="O6" s="29"/>
    </row>
    <row r="7" spans="1:21" ht="12" customHeight="1">
      <c r="B7" s="329" t="s">
        <v>284</v>
      </c>
      <c r="C7" s="329"/>
      <c r="D7" s="329"/>
      <c r="E7" s="329" t="s">
        <v>285</v>
      </c>
      <c r="F7" s="329"/>
      <c r="G7" s="330" t="s">
        <v>286</v>
      </c>
      <c r="H7" s="330"/>
      <c r="I7" s="30"/>
      <c r="J7" s="137" t="s">
        <v>287</v>
      </c>
      <c r="L7" s="45" t="s">
        <v>231</v>
      </c>
      <c r="M7" s="45" t="s">
        <v>288</v>
      </c>
    </row>
    <row r="8" spans="1:21" ht="6.75" customHeight="1">
      <c r="A8" s="31"/>
      <c r="B8" s="32"/>
      <c r="C8" s="32"/>
      <c r="D8" s="32"/>
      <c r="E8" s="32"/>
      <c r="F8" s="32"/>
      <c r="G8" s="32"/>
      <c r="H8" s="32"/>
      <c r="I8" s="32"/>
      <c r="J8" s="32"/>
      <c r="L8"/>
      <c r="P8" s="26" t="s">
        <v>14</v>
      </c>
      <c r="Q8" s="26">
        <f ca="1">SUM('- A -'!$H$17:$H$20)</f>
        <v>12</v>
      </c>
    </row>
    <row r="9" spans="1:21" ht="12" customHeight="1">
      <c r="A9" s="31"/>
      <c r="B9" s="32"/>
      <c r="C9" s="32"/>
      <c r="D9" s="32"/>
      <c r="E9" s="112" t="str">
        <f ca="1">IF(AND('- A -'!H17=0,'- A -'!G17&lt;&gt;""),"1ero Grupo A",'- A -'!G17)</f>
        <v>Netherlands</v>
      </c>
      <c r="F9" s="109">
        <v>2</v>
      </c>
      <c r="G9" s="124"/>
      <c r="H9" s="34"/>
      <c r="I9" s="32"/>
      <c r="J9" s="32"/>
      <c r="L9"/>
      <c r="P9" s="26" t="s">
        <v>25</v>
      </c>
      <c r="Q9" s="26">
        <f ca="1">SUM('- B -'!$H$17:$H$20)</f>
        <v>12</v>
      </c>
    </row>
    <row r="10" spans="1:21" ht="12" customHeight="1">
      <c r="A10" s="31" t="str">
        <f>IF(OR(E10="en juego",E10="hoy!",E10="finalizado"),"  -&gt;     1","1")</f>
        <v>1</v>
      </c>
      <c r="B10" s="35"/>
      <c r="C10" s="36">
        <v>44898</v>
      </c>
      <c r="D10" s="37">
        <v>0.41666666666666669</v>
      </c>
      <c r="E10" s="111" t="str">
        <f>IF(OR(C10="",D10="",C10&lt;$L$6),"",IF(C10=$L$6,IF(AND(D10&lt;=$S$29,$S$29&lt;=(D10+0.08333333333)),"en juego",IF($S$29&lt;D10,"hoy!","finalizado")),IF($L$6&gt;C10,"finalizado","")))</f>
        <v/>
      </c>
      <c r="F10" s="32"/>
      <c r="G10" s="38"/>
      <c r="H10" s="39"/>
      <c r="I10" s="32"/>
      <c r="J10" s="40" t="str">
        <f ca="1">IF(AND(E9&lt;&gt;"",E11&lt;&gt;""),IF(OR(F9="",F11="",AND(F9=F11,AND(G9="",G11=""))),"OF1",IF(F9=F11,IF(G9="v",E9,E11),IF(F9&gt;F11,E9,E11))),"")</f>
        <v>USA</v>
      </c>
      <c r="L10" s="150">
        <f ca="1">IF(AND(F9='resultados oficiales'!C33,F11='resultados oficiales'!E33,E9='resultados oficiales'!B33,E11='resultados oficiales'!F33),40,0)</f>
        <v>0</v>
      </c>
      <c r="M10" s="150">
        <f ca="1">IF(J10='resultados oficiales'!I35,30,0)</f>
        <v>0</v>
      </c>
      <c r="P10" s="26" t="s">
        <v>47</v>
      </c>
      <c r="Q10" s="26">
        <f ca="1">SUM('- C -'!$H$17:$H$20)</f>
        <v>12</v>
      </c>
    </row>
    <row r="11" spans="1:21" ht="12" customHeight="1">
      <c r="A11" s="31"/>
      <c r="B11" s="41"/>
      <c r="C11" s="32"/>
      <c r="D11" s="32"/>
      <c r="E11" s="113" t="str">
        <f ca="1">IF(AND('- B -'!H18=0,'- B -'!G18&lt;&gt;""),"2do Grupo B",'- B -'!G18)</f>
        <v>USA</v>
      </c>
      <c r="F11" s="109">
        <v>3</v>
      </c>
      <c r="G11" s="125"/>
      <c r="H11" s="43"/>
      <c r="I11" s="32"/>
      <c r="J11" s="32"/>
      <c r="L11"/>
      <c r="P11" s="26" t="s">
        <v>36</v>
      </c>
      <c r="Q11" s="26">
        <f ca="1">SUM('- D -'!$H$17:$H$20)</f>
        <v>12</v>
      </c>
    </row>
    <row r="12" spans="1:21" ht="8.25" customHeight="1">
      <c r="A12" s="31"/>
      <c r="B12" s="41"/>
      <c r="C12" s="32"/>
      <c r="D12" s="32"/>
      <c r="E12" s="114"/>
      <c r="F12" s="32"/>
      <c r="G12" s="32"/>
      <c r="H12" s="32"/>
      <c r="I12" s="32"/>
      <c r="J12" s="32"/>
      <c r="L12"/>
      <c r="P12" s="26" t="s">
        <v>63</v>
      </c>
      <c r="Q12" s="26">
        <f ca="1">SUM('- E -'!$H$17:$H$20)</f>
        <v>12</v>
      </c>
    </row>
    <row r="13" spans="1:21" ht="12" customHeight="1">
      <c r="A13" s="31"/>
      <c r="B13" s="41"/>
      <c r="C13" s="36"/>
      <c r="D13" s="32"/>
      <c r="E13" s="115" t="str">
        <f ca="1">IF(AND('- C -'!H17=0,'- C -'!G17&lt;&gt;""),"1ero Grupo C",'- C -'!G17)</f>
        <v>Arabia Saudi</v>
      </c>
      <c r="F13" s="109">
        <v>4</v>
      </c>
      <c r="G13" s="33" t="s">
        <v>289</v>
      </c>
      <c r="H13" s="34"/>
      <c r="I13" s="32"/>
      <c r="J13" s="32"/>
      <c r="L13"/>
      <c r="P13" s="26" t="s">
        <v>58</v>
      </c>
      <c r="Q13" s="26">
        <f ca="1">SUM('- F -'!$H$17:$H$20)</f>
        <v>12</v>
      </c>
    </row>
    <row r="14" spans="1:21" ht="12" customHeight="1">
      <c r="A14" s="31" t="str">
        <f>IF(OR(E14="en juego",E14="hoy!",E14="finalizado"),"  -&gt;     2","2")</f>
        <v>2</v>
      </c>
      <c r="B14" s="35"/>
      <c r="C14" s="36">
        <f>+C10</f>
        <v>44898</v>
      </c>
      <c r="D14" s="37">
        <v>0.58333333333333337</v>
      </c>
      <c r="E14" s="111" t="str">
        <f>IF(OR(C14="",D14="",C14&lt;$L$6),"",IF(C14=$L$6,IF(AND(D14&lt;=$S$29,$S$29&lt;=(D14+0.08333333333)),"en juego",IF($S$29&lt;D14,"hoy!","finalizado")),IF($L$6&gt;C14,"finalizado","")))</f>
        <v/>
      </c>
      <c r="F14" s="32"/>
      <c r="G14" s="38"/>
      <c r="H14" s="39"/>
      <c r="I14" s="32"/>
      <c r="J14" s="40" t="str">
        <f ca="1">IF(AND(E13&lt;&gt;"",E15&lt;&gt;""),IF(OR(F13="",F15="",AND(F13=F15,AND(G13="",G15=""))),"OF2",IF(F13=F15,IF(G13="v",E13,E15),IF(F13&gt;F15,E13,E15))),"")</f>
        <v>Arabia Saudi</v>
      </c>
      <c r="L14" s="150">
        <f ca="1">IF(AND(F13='resultados oficiales'!C38,F15='resultados oficiales'!E38,E13='resultados oficiales'!B38,E15='resultados oficiales'!F38),40,0)</f>
        <v>0</v>
      </c>
      <c r="M14" s="150">
        <f ca="1">IF(J14='resultados oficiales'!M35,30,0)</f>
        <v>0</v>
      </c>
      <c r="P14" s="26" t="s">
        <v>76</v>
      </c>
      <c r="Q14" s="26">
        <f ca="1">SUM('- G -'!$H$17:$H$20)</f>
        <v>12</v>
      </c>
    </row>
    <row r="15" spans="1:21" ht="12" customHeight="1">
      <c r="A15" s="31"/>
      <c r="B15" s="41"/>
      <c r="C15" s="32"/>
      <c r="D15" s="32"/>
      <c r="E15" s="116" t="str">
        <f ca="1">IF(AND('- D -'!H18=0,'- D -'!G18&lt;&gt;""),"2do Grupo D",'- D -'!G18)</f>
        <v>Francia</v>
      </c>
      <c r="F15" s="109">
        <v>4</v>
      </c>
      <c r="G15" s="42"/>
      <c r="H15" s="43"/>
      <c r="I15" s="32"/>
      <c r="J15" s="32"/>
      <c r="L15"/>
      <c r="P15" s="26" t="s">
        <v>81</v>
      </c>
      <c r="Q15" s="26">
        <f ca="1">SUM('- H -'!$H$17:$H$20)</f>
        <v>12</v>
      </c>
    </row>
    <row r="16" spans="1:21" ht="8.25" customHeight="1">
      <c r="A16" s="31"/>
      <c r="B16" s="41"/>
      <c r="C16" s="32"/>
      <c r="D16" s="32"/>
      <c r="E16" s="114"/>
      <c r="F16" s="32"/>
      <c r="G16" s="32"/>
      <c r="H16" s="32"/>
      <c r="I16" s="32"/>
      <c r="J16" s="32"/>
      <c r="L16"/>
    </row>
    <row r="17" spans="1:19" ht="12" customHeight="1">
      <c r="A17" s="31"/>
      <c r="B17" s="41"/>
      <c r="C17" s="32"/>
      <c r="D17" s="32"/>
      <c r="E17" s="113" t="str">
        <f ca="1">IF(AND('- B -'!H17=0,'- B -'!G17&lt;&gt;""),"1ero Grupo B",'- B -'!G17)</f>
        <v>Iran</v>
      </c>
      <c r="F17" s="109">
        <v>0</v>
      </c>
      <c r="G17" s="33"/>
      <c r="H17" s="34"/>
      <c r="I17" s="32"/>
      <c r="J17" s="32"/>
      <c r="L17"/>
    </row>
    <row r="18" spans="1:19" ht="12" customHeight="1">
      <c r="A18" s="31" t="str">
        <f>IF(OR(E18="en juego",E18="hoy!",E18="finalizado"),"  -&gt;     3","3")</f>
        <v>3</v>
      </c>
      <c r="B18" s="35"/>
      <c r="C18" s="36">
        <f>+C14+1</f>
        <v>44899</v>
      </c>
      <c r="D18" s="37">
        <v>0.58333333333333337</v>
      </c>
      <c r="E18" s="111" t="str">
        <f>IF(OR(C18="",D18="",C18&lt;$L$6),"",IF(C18=$L$6,IF(AND(D18&lt;=$S$29,$S$29&lt;=(D18+0.08333333333)),"en juego",IF($S$29&lt;D18,"hoy!","finalizado")),IF($L$6&gt;C18,"finalizado","")))</f>
        <v/>
      </c>
      <c r="F18" s="32"/>
      <c r="G18" s="38"/>
      <c r="H18" s="39"/>
      <c r="I18" s="32"/>
      <c r="J18" s="40" t="str">
        <f ca="1">IF(AND(E17&lt;&gt;"",E19&lt;&gt;""),IF(OR(F17="",F19="",AND(F17=F19,AND(G17="",G19=""))),"OF3",IF(F17=F19,IF(G17="v",E17,E19),IF(F17&gt;F19,E17,E19))),"")</f>
        <v>OF3</v>
      </c>
      <c r="L18" s="150">
        <f ca="1">IF(AND(F17='resultados oficiales'!C53,F19='resultados oficiales'!E53,E17='resultados oficiales'!B53,E19='resultados oficiales'!F53),40,0)</f>
        <v>0</v>
      </c>
      <c r="M18" s="150">
        <f ca="1">IF(J18='resultados oficiales'!I55,30,0)</f>
        <v>0</v>
      </c>
    </row>
    <row r="19" spans="1:19" ht="12" customHeight="1">
      <c r="A19" s="31"/>
      <c r="B19" s="41"/>
      <c r="C19" s="32"/>
      <c r="D19" s="32"/>
      <c r="E19" s="112" t="str">
        <f ca="1">IF(AND('- A -'!H18=0,'- A -'!G18&lt;&gt;""),"2do Grupo A",'- A -'!G18)</f>
        <v>Qatar</v>
      </c>
      <c r="F19" s="109">
        <v>0</v>
      </c>
      <c r="G19" s="42"/>
      <c r="H19" s="43"/>
      <c r="I19" s="32"/>
      <c r="J19" s="32"/>
      <c r="L19"/>
    </row>
    <row r="20" spans="1:19" ht="7.5" customHeight="1">
      <c r="A20" s="31"/>
      <c r="B20" s="41"/>
      <c r="C20" s="32"/>
      <c r="D20" s="32"/>
      <c r="E20" s="114"/>
      <c r="F20" s="32"/>
      <c r="G20" s="32"/>
      <c r="H20" s="32"/>
      <c r="I20" s="32"/>
      <c r="J20" s="32"/>
      <c r="L20"/>
    </row>
    <row r="21" spans="1:19" ht="12" customHeight="1">
      <c r="A21" s="31"/>
      <c r="B21" s="41"/>
      <c r="C21" s="32"/>
      <c r="D21" s="32"/>
      <c r="E21" s="116" t="str">
        <f ca="1">IF(AND('- D -'!H17=0,'- D -'!G17&lt;&gt;""),"1ero Grupo D",'- D -'!G17)</f>
        <v>Australia</v>
      </c>
      <c r="F21" s="109">
        <v>0</v>
      </c>
      <c r="G21" s="33"/>
      <c r="H21" s="34"/>
      <c r="I21" s="32"/>
      <c r="J21" s="32"/>
      <c r="L21"/>
    </row>
    <row r="22" spans="1:19" ht="12" customHeight="1">
      <c r="A22" s="31" t="str">
        <f>IF(OR(E22="en juego",E22="hoy!",E22="finalizado"),"  -&gt;     4","4")</f>
        <v>4</v>
      </c>
      <c r="B22" s="35"/>
      <c r="C22" s="36">
        <f>+C18</f>
        <v>44899</v>
      </c>
      <c r="D22" s="37">
        <v>0.41666666666666669</v>
      </c>
      <c r="E22" s="111" t="str">
        <f>IF(OR(C22="",D22="",C22&lt;$L$6),"",IF(C22=$L$6,IF(AND(D22&lt;=$S$29,$S$29&lt;=(D22+0.08333333333)),"en juego",IF($S$29&lt;D22,"hoy!","finalizado")),IF($L$6&gt;C22,"finalizado","")))</f>
        <v/>
      </c>
      <c r="F22" s="32"/>
      <c r="G22" s="38"/>
      <c r="H22" s="39"/>
      <c r="I22" s="32"/>
      <c r="J22" s="40" t="str">
        <f ca="1">IF(AND(E21&lt;&gt;"",E23&lt;&gt;""),IF(OR(F21="",F23="",AND(F21=F23,AND(G21="",G23=""))),"OF4",IF(F21=F23,IF(G21="v",E21,E23),IF(F21&gt;F23,E21,E23))),"")</f>
        <v>Polonia</v>
      </c>
      <c r="L22" s="150">
        <f ca="1">IF(AND(F21='resultados oficiales'!C58,F23='resultados oficiales'!E58,E21='resultados oficiales'!B58,E23='resultados oficiales'!F58),40,0)</f>
        <v>0</v>
      </c>
      <c r="M22" s="150">
        <f ca="1">IF(J22='resultados oficiales'!M55,30,0)</f>
        <v>0</v>
      </c>
    </row>
    <row r="23" spans="1:19" ht="12" customHeight="1">
      <c r="A23" s="31"/>
      <c r="B23" s="41"/>
      <c r="C23" s="32"/>
      <c r="D23" s="32"/>
      <c r="E23" s="115" t="str">
        <f ca="1">IF(AND('- C -'!H18=0,'- C -'!G18&lt;&gt;""),"2do Grupo C",'- C -'!G18)</f>
        <v>Polonia</v>
      </c>
      <c r="F23" s="109">
        <v>4</v>
      </c>
      <c r="G23" s="42"/>
      <c r="H23" s="43"/>
      <c r="I23" s="32"/>
      <c r="J23" s="32"/>
      <c r="L23"/>
    </row>
    <row r="24" spans="1:19" ht="8.25" customHeight="1">
      <c r="A24" s="31"/>
      <c r="B24" s="41"/>
      <c r="C24" s="32"/>
      <c r="D24" s="32"/>
      <c r="E24" s="117"/>
      <c r="F24" s="32"/>
      <c r="G24" s="32"/>
      <c r="H24" s="32"/>
      <c r="I24" s="32"/>
      <c r="J24" s="32"/>
      <c r="L24"/>
    </row>
    <row r="25" spans="1:19" ht="12" customHeight="1">
      <c r="A25" s="31"/>
      <c r="B25" s="41"/>
      <c r="C25" s="32"/>
      <c r="D25" s="32"/>
      <c r="E25" s="118" t="str">
        <f ca="1">IF(AND('- E -'!H17=0,'- E -'!G17&lt;&gt;""),"1ero Grupo E",'- E -'!G17)</f>
        <v>España</v>
      </c>
      <c r="F25" s="109">
        <v>1</v>
      </c>
      <c r="G25" s="33"/>
      <c r="H25" s="34"/>
      <c r="I25" s="32"/>
      <c r="J25" s="32"/>
      <c r="L25"/>
    </row>
    <row r="26" spans="1:19" ht="12" customHeight="1">
      <c r="A26" s="31" t="str">
        <f>IF(OR(E26="en juego",E26="hoy!",E26="finalizado"),"  -&gt;     5","5")</f>
        <v>5</v>
      </c>
      <c r="B26" s="35"/>
      <c r="C26" s="36">
        <f>+C22+1</f>
        <v>44900</v>
      </c>
      <c r="D26" s="37">
        <v>0.41666666666666669</v>
      </c>
      <c r="E26" s="111" t="str">
        <f>IF(OR(C26="",D26="",C26&lt;$L$6),"",IF(C26=$L$6,IF(AND(D26&lt;=$S$29,$S$29&lt;=(D26+0.08333333333)),"en juego",IF($S$29&lt;D26,"hoy!","finalizado")),IF($L$6&gt;C26,"finalizado","")))</f>
        <v/>
      </c>
      <c r="F26" s="32"/>
      <c r="G26" s="38"/>
      <c r="H26" s="39"/>
      <c r="I26" s="32"/>
      <c r="J26" s="40" t="str">
        <f ca="1">IF(AND(E25&lt;&gt;"",E27&lt;&gt;""),IF(OR(F25="",F27="",AND(F25=F27,AND(G25="",G27=""))),"OF5",IF(F25=F27,IF(G25="v",E25,E27),IF(F25&gt;F27,E25,E27))),"")</f>
        <v>OF5</v>
      </c>
      <c r="L26" s="150">
        <f ca="1">IF(AND(F25='resultados oficiales'!C43,F27='resultados oficiales'!E43,E25='resultados oficiales'!B43,E27='resultados oficiales'!F43),40,0)</f>
        <v>0</v>
      </c>
      <c r="M26" s="150">
        <f ca="1">IF(J26='resultados oficiales'!I45,30,0)</f>
        <v>0</v>
      </c>
    </row>
    <row r="27" spans="1:19" ht="12" customHeight="1">
      <c r="A27" s="31"/>
      <c r="B27" s="41"/>
      <c r="C27" s="32"/>
      <c r="D27" s="32"/>
      <c r="E27" s="119" t="str">
        <f ca="1">IF(AND('- F -'!H18=0,'- F -'!G18&lt;&gt;""),"2do Grupo F",'- F -'!G18)</f>
        <v>Croacia</v>
      </c>
      <c r="F27" s="109"/>
      <c r="G27" s="42"/>
      <c r="H27" s="43"/>
      <c r="I27" s="32"/>
      <c r="J27" s="32"/>
      <c r="L27"/>
    </row>
    <row r="28" spans="1:19" hidden="1">
      <c r="A28" s="31"/>
      <c r="B28" s="41"/>
      <c r="C28" s="32"/>
      <c r="D28" s="32"/>
      <c r="E28" s="114"/>
      <c r="F28" s="32"/>
      <c r="G28" s="32"/>
      <c r="H28" s="32"/>
      <c r="I28" s="32"/>
      <c r="J28" s="32"/>
      <c r="L28"/>
      <c r="R28" s="216"/>
      <c r="S28" s="216">
        <f>MINUTE(M6)</f>
        <v>0</v>
      </c>
    </row>
    <row r="29" spans="1:19" hidden="1">
      <c r="A29" s="31"/>
      <c r="B29" s="41"/>
      <c r="C29" s="32"/>
      <c r="D29" s="32"/>
      <c r="E29" s="114"/>
      <c r="F29" s="32"/>
      <c r="G29" s="32"/>
      <c r="H29" s="32"/>
      <c r="I29" s="32"/>
      <c r="J29" s="32"/>
      <c r="L29"/>
      <c r="R29" s="216"/>
      <c r="S29" s="216">
        <f>TIME(R28,S28,0)</f>
        <v>0</v>
      </c>
    </row>
    <row r="30" spans="1:19" ht="5.25" customHeight="1">
      <c r="A30" s="31"/>
      <c r="B30" s="41"/>
      <c r="C30" s="32"/>
      <c r="D30" s="32"/>
      <c r="E30" s="114"/>
      <c r="F30" s="32"/>
      <c r="G30" s="32"/>
      <c r="H30" s="32"/>
      <c r="I30" s="32"/>
      <c r="J30" s="32"/>
      <c r="L30"/>
    </row>
    <row r="31" spans="1:19" ht="12" customHeight="1">
      <c r="A31" s="31"/>
      <c r="B31" s="41"/>
      <c r="C31" s="32"/>
      <c r="D31" s="32"/>
      <c r="E31" s="121" t="str">
        <f ca="1">IF(AND('- G -'!H17=0,'- G -'!G17&lt;&gt;""),"1ero Grupo G",'- G -'!G17)</f>
        <v>Camerun</v>
      </c>
      <c r="F31" s="109"/>
      <c r="G31" s="33"/>
      <c r="H31" s="34"/>
      <c r="I31" s="32"/>
      <c r="J31" s="32"/>
      <c r="L31"/>
    </row>
    <row r="32" spans="1:19" ht="12" customHeight="1">
      <c r="A32" s="31" t="str">
        <f>IF(OR(E32="en juego",E32="hoy!",E32="finalizado"),"  -&gt;     6","6")</f>
        <v>6</v>
      </c>
      <c r="B32" s="35"/>
      <c r="C32" s="36">
        <f>+C26</f>
        <v>44900</v>
      </c>
      <c r="D32" s="37">
        <v>0.58333333333333337</v>
      </c>
      <c r="E32" s="111" t="str">
        <f>IF(OR(C32="",D32="",C32&lt;$L$6),"",IF(C32=$L$6,IF(AND(D32&lt;=$S$29,$S$29&lt;=(D32+0.08333333333)),"en juego",IF($S$29&lt;D32,"hoy!","finalizado")),IF($L$6&gt;C32,"finalizado","")))</f>
        <v/>
      </c>
      <c r="F32" s="32"/>
      <c r="G32" s="38"/>
      <c r="H32" s="39"/>
      <c r="I32" s="32"/>
      <c r="J32" s="40" t="str">
        <f ca="1">IF(AND(E31&lt;&gt;"",E33&lt;&gt;""),IF(OR(F31="",F33="",AND(F31=F33,AND(G31="",G33=""))),"OF6",IF(F31=F33,IF(G31="v",E31,E33),IF(F31&gt;F33,E31,E33))),"")</f>
        <v>OF6</v>
      </c>
      <c r="L32" s="150">
        <f ca="1">IF(AND(F31='resultados oficiales'!C48,F33='resultados oficiales'!E48,E31='resultados oficiales'!B48,E33='resultados oficiales'!F48),40,0)</f>
        <v>0</v>
      </c>
      <c r="M32" s="150">
        <f ca="1">IF(J32='resultados oficiales'!B48,30,0)</f>
        <v>0</v>
      </c>
    </row>
    <row r="33" spans="1:13" ht="12" customHeight="1">
      <c r="A33" s="31"/>
      <c r="B33" s="41"/>
      <c r="C33" s="32"/>
      <c r="D33" s="32"/>
      <c r="E33" s="120" t="str">
        <f ca="1">IF(AND('- H -'!H18=0,'- H -'!G18&lt;&gt;""),"2do Grupo H",'- H -'!G18)</f>
        <v>Corea del Sur</v>
      </c>
      <c r="F33" s="109"/>
      <c r="G33" s="42"/>
      <c r="H33" s="43"/>
      <c r="I33" s="32"/>
      <c r="J33" s="32"/>
      <c r="L33"/>
    </row>
    <row r="34" spans="1:13" ht="6" customHeight="1">
      <c r="A34" s="31"/>
      <c r="B34" s="41"/>
      <c r="C34" s="32"/>
      <c r="D34" s="32"/>
      <c r="E34" s="114"/>
      <c r="F34" s="32"/>
      <c r="G34" s="32"/>
      <c r="H34" s="32"/>
      <c r="I34" s="32"/>
      <c r="J34" s="32"/>
      <c r="L34"/>
    </row>
    <row r="35" spans="1:13" ht="12" customHeight="1">
      <c r="A35" s="31"/>
      <c r="B35" s="41"/>
      <c r="C35" s="32"/>
      <c r="D35" s="32"/>
      <c r="E35" s="119" t="str">
        <f ca="1">IF(AND('- F -'!H17=0,'- F -'!G17&lt;&gt;""),"1ero Grupo F",'- F -'!G17)</f>
        <v>Canada</v>
      </c>
      <c r="F35" s="109"/>
      <c r="G35" s="33"/>
      <c r="H35" s="34"/>
      <c r="I35" s="32"/>
      <c r="J35" s="32"/>
      <c r="L35"/>
    </row>
    <row r="36" spans="1:13" ht="12" customHeight="1">
      <c r="A36" s="31" t="str">
        <f>IF(OR(E36="en juego",E36="hoy!",E36="finalizado"),"  -&gt;     7","7")</f>
        <v>7</v>
      </c>
      <c r="B36" s="35"/>
      <c r="C36" s="36">
        <f>+C32+1</f>
        <v>44901</v>
      </c>
      <c r="D36" s="37">
        <v>0.41666666666666669</v>
      </c>
      <c r="E36" s="111" t="str">
        <f>IF(OR(C36="",D36="",C36&lt;$L$6),"",IF(C36=$L$6,IF(AND(D36&lt;=$S$29,$S$29&lt;=(D36+0.08333333333)),"en juego",IF($S$29&lt;D36,"hoy!","finalizado")),IF($L$6&gt;C36,"finalizado","")))</f>
        <v/>
      </c>
      <c r="F36" s="32"/>
      <c r="G36" s="38"/>
      <c r="H36" s="39"/>
      <c r="I36" s="32"/>
      <c r="J36" s="40" t="str">
        <f ca="1">IF(AND(E35&lt;&gt;"",E37&lt;&gt;""),IF(OR(F35="",F37="",AND(F35=F37,AND(G35="",G37=""))),"OF7",IF(F35=F37,IF(G35="v",E35,E37),IF(F35&gt;F37,E35,E37))),"")</f>
        <v>OF7</v>
      </c>
      <c r="L36" s="150">
        <f ca="1">IF(AND(F35='resultados oficiales'!C63,F37='resultados oficiales'!E63,E35='resultados oficiales'!B63,E37='resultados oficiales'!F63),40,0)</f>
        <v>0</v>
      </c>
      <c r="M36" s="150">
        <f ca="1">IF(J36='resultados oficiales'!I65,30,0)</f>
        <v>0</v>
      </c>
    </row>
    <row r="37" spans="1:13" ht="12" customHeight="1">
      <c r="A37" s="31"/>
      <c r="B37" s="41"/>
      <c r="C37" s="32"/>
      <c r="D37" s="32"/>
      <c r="E37" s="118" t="str">
        <f ca="1">IF(AND('- E -'!H18=0,'- E -'!G18&lt;&gt;""),"2do Grupo E",'- E -'!G18)</f>
        <v>Japon</v>
      </c>
      <c r="F37" s="109"/>
      <c r="G37" s="42"/>
      <c r="H37" s="43"/>
      <c r="I37" s="32"/>
      <c r="J37" s="32"/>
      <c r="L37"/>
    </row>
    <row r="38" spans="1:13" ht="6" customHeight="1">
      <c r="A38" s="31"/>
      <c r="B38" s="41"/>
      <c r="C38" s="32"/>
      <c r="D38" s="32"/>
      <c r="E38" s="114"/>
      <c r="F38" s="32"/>
      <c r="G38" s="32"/>
      <c r="H38" s="32"/>
      <c r="I38" s="32"/>
      <c r="J38" s="32"/>
      <c r="L38"/>
    </row>
    <row r="39" spans="1:13" ht="12" customHeight="1">
      <c r="A39" s="31"/>
      <c r="B39" s="41"/>
      <c r="C39" s="32"/>
      <c r="D39" s="32"/>
      <c r="E39" s="120" t="str">
        <f ca="1">IF(AND('- H -'!H17=0,'- H -'!G17&lt;&gt;""),"1ero Grupo H",'- H -'!G17)</f>
        <v>Ghana</v>
      </c>
      <c r="F39" s="109"/>
      <c r="G39" s="33"/>
      <c r="H39" s="34"/>
      <c r="I39" s="32"/>
      <c r="J39" s="32"/>
      <c r="L39"/>
    </row>
    <row r="40" spans="1:13" ht="12" customHeight="1">
      <c r="A40" s="31" t="str">
        <f>IF(OR(E40="en juego",E40="hoy!",E40="finalizado"),"  -&gt;     8","8")</f>
        <v>8</v>
      </c>
      <c r="B40" s="35"/>
      <c r="C40" s="36">
        <f>+C36</f>
        <v>44901</v>
      </c>
      <c r="D40" s="37">
        <v>0.58333333333333337</v>
      </c>
      <c r="E40" s="111" t="str">
        <f>IF(OR(C40="",D40="",C40&lt;$L$6),"",IF(C40=$L$6,IF(AND(D40&lt;=$S$29,$S$29&lt;=(D40+0.08333333333)),"en juego",IF($S$29&lt;D40,"hoy!","finalizado")),IF($L$6&gt;C40,"finalizado","")))</f>
        <v/>
      </c>
      <c r="F40" s="32"/>
      <c r="G40" s="38"/>
      <c r="H40" s="39"/>
      <c r="I40" s="32"/>
      <c r="J40" s="40" t="str">
        <f ca="1">IF(AND(E39&lt;&gt;"",E41&lt;&gt;""),IF(OR(F39="",F41="",AND(F39=F41,AND(G39="",G41=""))),"OF8",IF(F39=F41,IF(G39="v",E39,E41),IF(F39&gt;F41,E39,E41))),"")</f>
        <v>OF8</v>
      </c>
      <c r="L40" s="150">
        <f ca="1">IF(AND(F39='resultados oficiales'!C68,F41='resultados oficiales'!E68,E39='resultados oficiales'!B68,E41='resultados oficiales'!F68),40,0)</f>
        <v>0</v>
      </c>
      <c r="M40" s="150">
        <f ca="1">IF(J40='resultados oficiales'!M65,30,0)</f>
        <v>0</v>
      </c>
    </row>
    <row r="41" spans="1:13" ht="12" customHeight="1">
      <c r="A41" s="31"/>
      <c r="B41" s="32"/>
      <c r="C41" s="32"/>
      <c r="D41" s="32"/>
      <c r="E41" s="121" t="str">
        <f ca="1">IF(AND('- G -'!H18=0,'- G -'!G18&lt;&gt;""),"2do Grupo G",'- G -'!G18)</f>
        <v>Serbia</v>
      </c>
      <c r="F41" s="109"/>
      <c r="G41" s="42"/>
      <c r="H41" s="43"/>
      <c r="I41" s="32"/>
      <c r="J41" s="32"/>
      <c r="L41"/>
    </row>
    <row r="42" spans="1:13" ht="15" customHeight="1" thickBot="1">
      <c r="A42" s="44"/>
      <c r="E42" s="217"/>
      <c r="K42" s="170" t="s">
        <v>248</v>
      </c>
      <c r="L42" s="171"/>
      <c r="M42" s="172">
        <f ca="1">SUM(L10:M40)</f>
        <v>0</v>
      </c>
    </row>
    <row r="43" spans="1:13" ht="12.95">
      <c r="E43" s="217"/>
      <c r="L43"/>
    </row>
    <row r="44" spans="1:13" ht="12.95">
      <c r="E44" s="217"/>
      <c r="L44"/>
    </row>
    <row r="45" spans="1:13" ht="12.95">
      <c r="E45" s="217"/>
      <c r="L45"/>
    </row>
    <row r="46" spans="1:13" ht="12.95">
      <c r="E46" s="217"/>
      <c r="L46"/>
    </row>
    <row r="47" spans="1:13" ht="12.95">
      <c r="E47" s="217"/>
      <c r="L47"/>
    </row>
    <row r="48" spans="1:13" ht="12.95">
      <c r="E48" s="217"/>
      <c r="L48"/>
    </row>
    <row r="49" spans="5:12" ht="12.95">
      <c r="E49" s="217"/>
      <c r="L49"/>
    </row>
    <row r="50" spans="5:12" ht="12.95">
      <c r="E50" s="217"/>
      <c r="L50"/>
    </row>
    <row r="51" spans="5:12" ht="12.95">
      <c r="E51" s="217"/>
    </row>
    <row r="52" spans="5:12" ht="12.95">
      <c r="E52" s="217"/>
    </row>
    <row r="53" spans="5:12" ht="12.95">
      <c r="E53" s="217"/>
    </row>
    <row r="54" spans="5:12" ht="12.95">
      <c r="E54" s="217"/>
    </row>
    <row r="55" spans="5:12" ht="12.95">
      <c r="E55" s="217"/>
    </row>
    <row r="56" spans="5:12" ht="12.95">
      <c r="E56" s="217"/>
    </row>
    <row r="57" spans="5:12" ht="12.95">
      <c r="E57" s="217"/>
    </row>
    <row r="58" spans="5:12" ht="12.95">
      <c r="E58" s="217"/>
    </row>
    <row r="59" spans="5:12" ht="12.95">
      <c r="E59" s="217"/>
    </row>
    <row r="60" spans="5:12" ht="12.95">
      <c r="E60" s="217"/>
    </row>
    <row r="61" spans="5:12" ht="12.95">
      <c r="E61" s="217"/>
    </row>
    <row r="62" spans="5:12" ht="12.95">
      <c r="E62" s="217"/>
    </row>
    <row r="63" spans="5:12" ht="12.95">
      <c r="E63" s="217"/>
    </row>
    <row r="64" spans="5:12" ht="12.95">
      <c r="E64" s="217"/>
    </row>
    <row r="65" spans="5:5" ht="12.95">
      <c r="E65" s="217"/>
    </row>
    <row r="66" spans="5:5" ht="12.95">
      <c r="E66" s="217"/>
    </row>
    <row r="67" spans="5:5" ht="12.95">
      <c r="E67" s="217"/>
    </row>
    <row r="68" spans="5:5" ht="12.95">
      <c r="E68" s="217"/>
    </row>
    <row r="69" spans="5:5" ht="12.95">
      <c r="E69" s="217"/>
    </row>
    <row r="70" spans="5:5" ht="12.95">
      <c r="E70" s="217"/>
    </row>
  </sheetData>
  <sheetProtection selectLockedCells="1"/>
  <protectedRanges>
    <protectedRange sqref="F9 F11 F13 F15 F17 F19 F21 F23 F25 F27 F31 F33 F35 F37 F39 F41" name="Rango1"/>
  </protectedRanges>
  <customSheetViews>
    <customSheetView guid="{387210E2-BDFB-42E5-A6C7-A37C9701EAB6}" showGridLines="0" showRowCol="0" outlineSymbols="0" hiddenRows="1" hiddenColumns="1">
      <pane ySplit="5" topLeftCell="A6" activePane="bottomLeft" state="frozen"/>
      <selection pane="bottomLeft" sqref="A1:O2"/>
      <pageMargins left="0" right="0" top="0" bottom="0" header="0" footer="0"/>
      <pageSetup paperSize="9" orientation="portrait" horizontalDpi="300" verticalDpi="300" r:id="rId1"/>
      <headerFooter alignWithMargins="0"/>
    </customSheetView>
    <customSheetView guid="{E2621C8A-2AE3-484D-B751-B92E60BB88F8}" showGridLines="0" showRowCol="0" outlineSymbols="0" hiddenRows="1" hiddenColumns="1">
      <pane ySplit="5" topLeftCell="A6" activePane="bottomLeft" state="frozen"/>
      <selection pane="bottomLeft" sqref="A1:O2"/>
      <pageMargins left="0" right="0" top="0" bottom="0" header="0" footer="0"/>
      <pageSetup paperSize="9" orientation="portrait" horizontalDpi="300" verticalDpi="300" r:id="rId2"/>
      <headerFooter alignWithMargins="0"/>
    </customSheetView>
  </customSheetViews>
  <mergeCells count="4">
    <mergeCell ref="E7:F7"/>
    <mergeCell ref="B7:D7"/>
    <mergeCell ref="G7:H7"/>
    <mergeCell ref="L6:M6"/>
  </mergeCells>
  <phoneticPr fontId="6" type="noConversion"/>
  <conditionalFormatting sqref="G11">
    <cfRule type="expression" dxfId="45" priority="2" stopIfTrue="1">
      <formula>IF(AND($F$9=$F$11,$F$9&lt;&gt;"",$F$11&lt;&gt;""),1,0)</formula>
    </cfRule>
  </conditionalFormatting>
  <conditionalFormatting sqref="G13 G15">
    <cfRule type="expression" dxfId="44" priority="3" stopIfTrue="1">
      <formula>IF(AND($F$13=$F$15,$F$13&lt;&gt;"",$F$15&lt;&gt;""),1,0)</formula>
    </cfRule>
  </conditionalFormatting>
  <conditionalFormatting sqref="G17 G19">
    <cfRule type="expression" dxfId="43" priority="4" stopIfTrue="1">
      <formula>IF(AND($F$17=$F$19,$F$17&lt;&gt;"",$F$19&lt;&gt;""),1,0)</formula>
    </cfRule>
  </conditionalFormatting>
  <conditionalFormatting sqref="G21 G23">
    <cfRule type="expression" dxfId="42" priority="5" stopIfTrue="1">
      <formula>IF(AND($F$21=$F$23,$F$21&lt;&gt;"",$F$23&lt;&gt;""),1,0)</formula>
    </cfRule>
  </conditionalFormatting>
  <conditionalFormatting sqref="G27 G25">
    <cfRule type="expression" dxfId="41" priority="6" stopIfTrue="1">
      <formula>IF(AND($F$25=$F$27,$F$25&lt;&gt;"",$F$27&lt;&gt;""),1,0)</formula>
    </cfRule>
  </conditionalFormatting>
  <conditionalFormatting sqref="G31 G33">
    <cfRule type="expression" dxfId="40" priority="7" stopIfTrue="1">
      <formula>IF(AND($F$31=$F$33,$F$31&lt;&gt;"",$F$33&lt;&gt;""),1,0)</formula>
    </cfRule>
  </conditionalFormatting>
  <conditionalFormatting sqref="G35 G37">
    <cfRule type="expression" dxfId="39" priority="8" stopIfTrue="1">
      <formula>IF(AND($F$35=$F$37,$F$35&lt;&gt;"",$F$37&lt;&gt;""),1,0)</formula>
    </cfRule>
  </conditionalFormatting>
  <conditionalFormatting sqref="G39 G41">
    <cfRule type="expression" dxfId="38" priority="9" stopIfTrue="1">
      <formula>IF(AND($F$39=$F$41,$F$39&lt;&gt;"",$F$41&lt;&gt;""),1,0)</formula>
    </cfRule>
  </conditionalFormatting>
  <conditionalFormatting sqref="D18 C13:C14 D26 D36 A10:E10">
    <cfRule type="expression" dxfId="37" priority="10" stopIfTrue="1">
      <formula>IF(OR($E$10="en juego",$E$10="hoy!"),1,0)</formula>
    </cfRule>
  </conditionalFormatting>
  <conditionalFormatting sqref="A40:B40 E40">
    <cfRule type="expression" dxfId="36" priority="11" stopIfTrue="1">
      <formula>IF(OR($E$40="en juego",$E$40="hoy!"),1,0)</formula>
    </cfRule>
  </conditionalFormatting>
  <conditionalFormatting sqref="A36:C36 E36 C40">
    <cfRule type="expression" dxfId="35" priority="12" stopIfTrue="1">
      <formula>IF(OR($E$36="en juego",$E$36="hoy!"),1,0)</formula>
    </cfRule>
  </conditionalFormatting>
  <conditionalFormatting sqref="A32:B32 E32">
    <cfRule type="expression" dxfId="34" priority="13" stopIfTrue="1">
      <formula>IF(OR($E$32="en juego",$E$32="hoy!"),1,0)</formula>
    </cfRule>
  </conditionalFormatting>
  <conditionalFormatting sqref="A26:C26 E26 C32">
    <cfRule type="expression" dxfId="33" priority="14" stopIfTrue="1">
      <formula>IF(OR($E$26="en juego",$E$26="hoy!"),1,0)</formula>
    </cfRule>
  </conditionalFormatting>
  <conditionalFormatting sqref="A22:B22 E22">
    <cfRule type="expression" dxfId="32" priority="15" stopIfTrue="1">
      <formula>IF(OR($E$22="en juego",$E$22="hoy!"),1,0)</formula>
    </cfRule>
  </conditionalFormatting>
  <conditionalFormatting sqref="A18:C18 E18 C22">
    <cfRule type="expression" dxfId="31" priority="16" stopIfTrue="1">
      <formula>IF(OR($E$18="en juego",$E$18="hoy!"),1,0)</formula>
    </cfRule>
  </conditionalFormatting>
  <conditionalFormatting sqref="A14:B14 D14:E14 D22 D32 D40">
    <cfRule type="expression" dxfId="30" priority="17" stopIfTrue="1">
      <formula>IF(OR($E$14="en juego",$E$14="hoy!"),1,0)</formula>
    </cfRule>
  </conditionalFormatting>
  <conditionalFormatting sqref="L10:M10 L14:M14 L18:M18 L22:M22 L26:M26 L32:M32 L36:M36 L40:M40">
    <cfRule type="expression" dxfId="29" priority="34" stopIfTrue="1">
      <formula>IF(OR($L$8="en juego",$L$8="hoy!"),1,0)</formula>
    </cfRule>
  </conditionalFormatting>
  <conditionalFormatting sqref="G9">
    <cfRule type="expression" dxfId="28" priority="52" stopIfTrue="1">
      <formula>IF(AND($F$9=$F$11,$F$9&lt;&gt;"",$F$11&lt;&gt;""),1,0)</formula>
    </cfRule>
  </conditionalFormatting>
  <conditionalFormatting sqref="F41 F39 F37 F35 F33 F31 F27 F25 F23 F21 F19 F17 F15 F13 F11 F9">
    <cfRule type="expression" dxfId="27" priority="1" stopIfTrue="1">
      <formula>IF(OR($L$6="en juego",$L$6="hoy!"),1,0)</formula>
    </cfRule>
  </conditionalFormatting>
  <dataValidations count="2">
    <dataValidation type="whole" allowBlank="1" showErrorMessage="1" errorTitle="Dato no válido" error="Ingrese sólo un número entero_x000a_entre 0 y 99." sqref="F23 F25 F9 F11 F13 F15 F17 F19 F21 F31 F35 F27 F37 F33 F39 F41" xr:uid="{00000000-0002-0000-0900-000000000000}">
      <formula1>0</formula1>
      <formula2>99</formula2>
    </dataValidation>
    <dataValidation type="custom" showErrorMessage="1" errorTitle="Dato no válido" error="Debe introducir antes el resultado del partido." sqref="G9 G11 G13 G15 G17 G19 G23 G27 G33 G41 G39 G35 G37 G31 G25 G21" xr:uid="{00000000-0002-0000-0900-000001000000}">
      <formula1>IF(F9&lt;&gt;"",1,0)</formula1>
    </dataValidation>
  </dataValidations>
  <pageMargins left="0.75" right="0.75" top="1" bottom="1" header="0" footer="0"/>
  <pageSetup paperSize="9" orientation="portrait" horizontalDpi="300" verticalDpi="300"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9">
    <tabColor indexed="14"/>
  </sheetPr>
  <dimension ref="A1:U25"/>
  <sheetViews>
    <sheetView showGridLines="0" showRowColHeaders="0" showOutlineSymbols="0" topLeftCell="A3" zoomScale="110" zoomScaleNormal="110" workbookViewId="0">
      <selection activeCell="G21" sqref="G21"/>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7.5703125" style="24" bestFit="1" customWidth="1"/>
    <col min="14" max="14" width="4" style="24" bestFit="1" customWidth="1"/>
    <col min="15" max="16384" width="11.42578125" style="24"/>
  </cols>
  <sheetData>
    <row r="1" spans="1:21" s="136" customFormat="1" ht="34.5" customHeight="1">
      <c r="A1" s="315"/>
      <c r="B1" s="315"/>
      <c r="C1" s="315"/>
      <c r="D1" s="315"/>
      <c r="E1" s="315"/>
      <c r="F1" s="315"/>
      <c r="G1" s="315"/>
      <c r="H1" s="315"/>
      <c r="I1" s="315"/>
      <c r="J1" s="315"/>
      <c r="K1" s="315"/>
      <c r="L1" s="315"/>
      <c r="M1" s="315"/>
      <c r="N1" s="315"/>
      <c r="O1" s="315"/>
      <c r="P1" s="135"/>
      <c r="Q1" s="135"/>
      <c r="R1" s="135"/>
      <c r="S1" s="135"/>
      <c r="T1" s="135"/>
      <c r="U1" s="135"/>
    </row>
    <row r="2" spans="1:21" s="136" customFormat="1" ht="34.5" customHeight="1">
      <c r="A2" s="315"/>
      <c r="B2" s="315"/>
      <c r="C2" s="315"/>
      <c r="D2" s="315"/>
      <c r="E2" s="315"/>
      <c r="F2" s="315"/>
      <c r="G2" s="315"/>
      <c r="H2" s="315"/>
      <c r="I2" s="315"/>
      <c r="J2" s="315"/>
      <c r="K2" s="315"/>
      <c r="L2" s="315"/>
      <c r="M2" s="315"/>
      <c r="N2" s="315"/>
      <c r="O2" s="315"/>
      <c r="P2" s="135"/>
      <c r="Q2" s="135"/>
      <c r="R2" s="135"/>
      <c r="S2" s="135"/>
      <c r="T2" s="135"/>
      <c r="U2" s="135"/>
    </row>
    <row r="3" spans="1:21" ht="15" customHeight="1">
      <c r="F3" s="25"/>
      <c r="L3" s="46"/>
      <c r="M3" s="47"/>
    </row>
    <row r="4" spans="1:21" ht="12.75" customHeight="1">
      <c r="E4" s="48"/>
      <c r="F4" s="47"/>
      <c r="L4" s="49">
        <f ca="1">TODAY()</f>
        <v>44878</v>
      </c>
      <c r="M4" s="50">
        <f ca="1">NOW()</f>
        <v>44878.303923611114</v>
      </c>
      <c r="O4" s="51" t="s">
        <v>290</v>
      </c>
    </row>
    <row r="5" spans="1:21" ht="12" customHeight="1">
      <c r="B5" s="332" t="s">
        <v>284</v>
      </c>
      <c r="C5" s="332"/>
      <c r="D5" s="332"/>
      <c r="E5" s="332" t="s">
        <v>285</v>
      </c>
      <c r="F5" s="332"/>
      <c r="G5" s="333" t="s">
        <v>286</v>
      </c>
      <c r="H5" s="333"/>
      <c r="I5" s="52"/>
      <c r="J5" s="138" t="s">
        <v>291</v>
      </c>
      <c r="L5" s="331" t="s">
        <v>226</v>
      </c>
      <c r="M5" s="331"/>
    </row>
    <row r="6" spans="1:21" ht="12" customHeight="1">
      <c r="A6" s="53"/>
      <c r="E6" s="54"/>
      <c r="F6" s="54"/>
      <c r="G6" s="54"/>
      <c r="H6" s="54"/>
      <c r="I6" s="54"/>
      <c r="J6" s="54"/>
      <c r="L6" s="45" t="s">
        <v>231</v>
      </c>
      <c r="M6" s="45" t="s">
        <v>288</v>
      </c>
    </row>
    <row r="7" spans="1:21" ht="14.25" customHeight="1">
      <c r="A7" s="53"/>
      <c r="E7" s="55" t="str">
        <f ca="1">'8vos de final'!J10</f>
        <v>USA</v>
      </c>
      <c r="F7" s="109"/>
      <c r="G7" s="56"/>
      <c r="H7" s="57"/>
      <c r="I7" s="54"/>
      <c r="J7" s="54"/>
    </row>
    <row r="8" spans="1:21" ht="14.25" customHeight="1">
      <c r="A8" s="53" t="str">
        <f ca="1">IF(OR(E8="en juego",E8="hoy!",E8="finalizado"),"  -&gt;     A","A")</f>
        <v>A</v>
      </c>
      <c r="B8" s="58"/>
      <c r="C8" s="59">
        <v>44904</v>
      </c>
      <c r="D8" s="60">
        <v>0.58333333333333337</v>
      </c>
      <c r="E8" s="61" t="str">
        <f ca="1">IF(OR(C8="",D8="",C8&lt;$L$4),"",IF(C8=$L$4,IF(AND(D8&lt;=$S$24,$S$24&lt;=(D8+0.08333333333)),"en juego",IF($S$24&lt;D8,"hoy!","finalizado")),IF($L$4&gt;C8,"finalizado","")))</f>
        <v/>
      </c>
      <c r="F8" s="62"/>
      <c r="G8" s="63"/>
      <c r="H8" s="64"/>
      <c r="I8" s="54"/>
      <c r="J8" s="65" t="str">
        <f ca="1">IF(AND(E7&lt;&gt;"",E9&lt;&gt;""),IF(OR(F7="",F9="",AND(F7=F9,AND(G7="",G9=""))),"CF1",IF(F7=F9,IF(G7="v",E7,E9),IF(F7&gt;F9,E7,E9))),"")</f>
        <v>CF1</v>
      </c>
      <c r="L8" s="150">
        <f ca="1">IF(AND(F7='resultados oficiales'!J35,F9='resultados oficiales'!L35,E7='resultados oficiales'!I35,E9='resultados oficiales'!M35),50,0)</f>
        <v>0</v>
      </c>
      <c r="M8" s="150">
        <f ca="1">IF(J8='resultados oficiales'!P40,40,0)</f>
        <v>0</v>
      </c>
    </row>
    <row r="9" spans="1:21" ht="14.25" customHeight="1">
      <c r="A9" s="53"/>
      <c r="B9" s="69"/>
      <c r="E9" s="55" t="str">
        <f ca="1">'8vos de final'!J14</f>
        <v>Arabia Saudi</v>
      </c>
      <c r="F9" s="109"/>
      <c r="G9" s="66"/>
      <c r="H9" s="67"/>
      <c r="I9" s="54"/>
      <c r="J9" s="54"/>
    </row>
    <row r="10" spans="1:21" ht="15" customHeight="1">
      <c r="A10" s="53"/>
      <c r="B10" s="69"/>
      <c r="E10" s="54"/>
      <c r="F10" s="62"/>
      <c r="G10" s="54"/>
      <c r="H10" s="54"/>
      <c r="I10" s="54"/>
      <c r="J10" s="54"/>
    </row>
    <row r="11" spans="1:21" ht="14.25" customHeight="1">
      <c r="A11" s="53"/>
      <c r="B11" s="69"/>
      <c r="E11" s="55" t="str">
        <f ca="1">'8vos de final'!J18</f>
        <v>OF3</v>
      </c>
      <c r="F11" s="109"/>
      <c r="G11" s="56"/>
      <c r="H11" s="57"/>
      <c r="I11" s="54"/>
      <c r="J11" s="54"/>
    </row>
    <row r="12" spans="1:21" ht="14.25" customHeight="1">
      <c r="A12" s="53" t="str">
        <f ca="1">IF(OR(E12="en juego",E12="hoy!",E12="finalizado"),"  -&gt;     B","B")</f>
        <v>B</v>
      </c>
      <c r="B12" s="58"/>
      <c r="C12" s="59">
        <f>+C8</f>
        <v>44904</v>
      </c>
      <c r="D12" s="60">
        <v>0.41666666666666669</v>
      </c>
      <c r="E12" s="61" t="str">
        <f ca="1">IF(OR(C12="",D12="",C12&lt;$L$4),"",IF(C12=$L$4,IF(AND(D12&lt;=$S$24,$S$24&lt;=(D12+0.08333333333)),"en juego",IF($S$24&lt;D12,"hoy!","finalizado")),IF($L$4&gt;C12,"finalizado","")))</f>
        <v/>
      </c>
      <c r="F12" s="62"/>
      <c r="G12" s="63"/>
      <c r="H12" s="64"/>
      <c r="I12" s="54"/>
      <c r="J12" s="65" t="str">
        <f ca="1">IF(AND(E11&lt;&gt;"",E13&lt;&gt;""),IF(OR(F11="",F13="",AND(F11=F13,AND(G11="",G13=""))),"CF2",IF(F11=F13,IF(G11="v",E11,E13),IF(F11&gt;F13,E11,E13))),"")</f>
        <v>CF2</v>
      </c>
      <c r="L12" s="150">
        <f ca="1">IF(AND(F11='resultados oficiales'!J45,F13='resultados oficiales'!L45,E11='resultados oficiales'!I45,E13='resultados oficiales'!M45),50,0)</f>
        <v>0</v>
      </c>
      <c r="M12" s="150">
        <f ca="1">IF(J12='resultados oficiales'!T40,40,0)</f>
        <v>0</v>
      </c>
    </row>
    <row r="13" spans="1:21" ht="14.25" customHeight="1">
      <c r="A13" s="53"/>
      <c r="B13" s="69"/>
      <c r="E13" s="55" t="str">
        <f ca="1">'8vos de final'!J22</f>
        <v>Polonia</v>
      </c>
      <c r="F13" s="109"/>
      <c r="G13" s="66"/>
      <c r="H13" s="67"/>
      <c r="I13" s="54"/>
      <c r="J13" s="54"/>
    </row>
    <row r="14" spans="1:21" ht="15" customHeight="1">
      <c r="A14" s="53"/>
      <c r="B14" s="69"/>
      <c r="E14" s="54"/>
      <c r="F14" s="62"/>
      <c r="G14" s="54"/>
      <c r="H14" s="54"/>
      <c r="I14" s="54"/>
      <c r="J14" s="54"/>
    </row>
    <row r="15" spans="1:21" ht="14.25" customHeight="1">
      <c r="A15" s="53"/>
      <c r="B15" s="69"/>
      <c r="E15" s="55" t="str">
        <f ca="1">'8vos de final'!J26</f>
        <v>OF5</v>
      </c>
      <c r="F15" s="109"/>
      <c r="G15" s="56"/>
      <c r="H15" s="57"/>
      <c r="I15" s="54"/>
      <c r="J15" s="54"/>
    </row>
    <row r="16" spans="1:21" ht="14.25" customHeight="1">
      <c r="A16" s="53" t="str">
        <f ca="1">IF(OR(E16="en juego",E16="hoy!",E16="finalizado"),"  -&gt;     C","C")</f>
        <v>C</v>
      </c>
      <c r="B16" s="58"/>
      <c r="C16" s="59">
        <f>+C12+1</f>
        <v>44905</v>
      </c>
      <c r="D16" s="60">
        <v>0.58333333333333337</v>
      </c>
      <c r="E16" s="61" t="str">
        <f ca="1">IF(OR(C16="",D16="",C16&lt;$L$4),"",IF(C16=$L$4,IF(AND(D16&lt;=$S$24,$S$24&lt;=(D16+0.08333333333)),"en juego",IF($S$24&lt;D16,"hoy!","finalizado")),IF($L$4&gt;C16,"finalizado","")))</f>
        <v/>
      </c>
      <c r="F16" s="62"/>
      <c r="G16" s="63"/>
      <c r="H16" s="64"/>
      <c r="I16" s="54"/>
      <c r="J16" s="65" t="str">
        <f ca="1">IF(AND(E15&lt;&gt;"",E17&lt;&gt;""),IF(OR(F15="",F17="",AND(F15=F17,AND(G15="",G17=""))),"CF3",IF(F15=F17,IF(G15="v",E15,E17),IF(F15&gt;F17,E15,E17))),"")</f>
        <v>CF3</v>
      </c>
      <c r="L16" s="150">
        <f ca="1">IF(AND(F15='resultados oficiales'!J55,F17='resultados oficiales'!L55,E15='resultados oficiales'!I55,E17='resultados oficiales'!M55),50,0)</f>
        <v>0</v>
      </c>
      <c r="M16" s="150">
        <f ca="1">IF(J16='resultados oficiales'!P60,40,0)</f>
        <v>0</v>
      </c>
    </row>
    <row r="17" spans="1:19" ht="14.25" customHeight="1">
      <c r="A17" s="53"/>
      <c r="B17" s="69"/>
      <c r="E17" s="55" t="str">
        <f ca="1">'8vos de final'!J32</f>
        <v>OF6</v>
      </c>
      <c r="F17" s="109"/>
      <c r="G17" s="66"/>
      <c r="H17" s="67"/>
      <c r="I17" s="54"/>
      <c r="J17" s="54"/>
    </row>
    <row r="18" spans="1:19" ht="15" customHeight="1">
      <c r="A18" s="53"/>
      <c r="B18" s="69"/>
      <c r="E18" s="54"/>
      <c r="F18" s="62"/>
      <c r="G18" s="54"/>
      <c r="H18" s="54"/>
      <c r="I18" s="54"/>
      <c r="J18" s="54"/>
    </row>
    <row r="19" spans="1:19" ht="14.25" customHeight="1">
      <c r="A19" s="53"/>
      <c r="B19" s="69"/>
      <c r="E19" s="55" t="str">
        <f ca="1">'8vos de final'!J36</f>
        <v>OF7</v>
      </c>
      <c r="F19" s="109"/>
      <c r="G19" s="56"/>
      <c r="H19" s="57"/>
      <c r="I19" s="54"/>
      <c r="J19" s="54"/>
    </row>
    <row r="20" spans="1:19" ht="14.25" customHeight="1">
      <c r="A20" s="53" t="str">
        <f ca="1">IF(OR(E20="en juego",E20="hoy!",E20="finalizado"),"  -&gt;     D","D")</f>
        <v>D</v>
      </c>
      <c r="B20" s="58"/>
      <c r="C20" s="59">
        <f>+C16</f>
        <v>44905</v>
      </c>
      <c r="D20" s="60">
        <v>0.41666666666666669</v>
      </c>
      <c r="E20" s="61" t="str">
        <f ca="1">IF(OR(C20="",D20="",C20&lt;$L$4),"",IF(C20=$L$4,IF(AND(D20&lt;=$S$24,$S$24&lt;=(D20+0.08333333333)),"en juego",IF($S$24&lt;D20,"hoy!","finalizado")),IF($L$4&gt;C20,"finalizado","")))</f>
        <v/>
      </c>
      <c r="F20" s="62"/>
      <c r="G20" s="63"/>
      <c r="H20" s="64"/>
      <c r="I20" s="54"/>
      <c r="J20" s="65" t="str">
        <f ca="1">IF(AND(E19&lt;&gt;"",E21&lt;&gt;""),IF(OR(F19="",F21="",AND(F19=F21,AND(G19="",G21=""))),"CF4",IF(F19=F21,IF(G19="v",E19,E21),IF(F19&gt;F21,E19,E21))),"")</f>
        <v>CF4</v>
      </c>
      <c r="L20" s="150">
        <f ca="1">IF(AND(F19='resultados oficiales'!J65,F21='resultados oficiales'!L65,E19='resultados oficiales'!I65,E21='resultados oficiales'!M65),50,0)</f>
        <v>0</v>
      </c>
      <c r="M20" s="150">
        <f ca="1">IF(J20='resultados oficiales'!T60,40,0)</f>
        <v>0</v>
      </c>
    </row>
    <row r="21" spans="1:19" ht="14.25" customHeight="1">
      <c r="A21" s="53"/>
      <c r="E21" s="55" t="str">
        <f ca="1">'8vos de final'!J40</f>
        <v>OF8</v>
      </c>
      <c r="F21" s="109"/>
      <c r="G21" s="66"/>
      <c r="H21" s="67"/>
      <c r="I21" s="54"/>
      <c r="J21" s="54"/>
    </row>
    <row r="22" spans="1:19" ht="15" customHeight="1" thickBot="1">
      <c r="A22" s="53"/>
      <c r="E22" s="54"/>
      <c r="F22" s="54"/>
      <c r="G22" s="54"/>
      <c r="H22" s="54"/>
      <c r="I22" s="54"/>
      <c r="J22" s="54"/>
    </row>
    <row r="23" spans="1:19" hidden="1">
      <c r="A23" s="68"/>
      <c r="B23" s="54"/>
      <c r="C23" s="54"/>
      <c r="D23" s="54"/>
      <c r="E23" s="54"/>
      <c r="F23" s="54"/>
      <c r="G23" s="54"/>
      <c r="H23" s="54"/>
      <c r="I23" s="54"/>
      <c r="J23" s="54"/>
      <c r="R23" s="23">
        <f ca="1">HOUR(M4)</f>
        <v>7</v>
      </c>
      <c r="S23" s="23">
        <f ca="1">MINUTE(M4)</f>
        <v>17</v>
      </c>
    </row>
    <row r="24" spans="1:19" hidden="1">
      <c r="A24" s="68"/>
      <c r="B24" s="54"/>
      <c r="C24" s="54"/>
      <c r="D24" s="54"/>
      <c r="E24" s="54"/>
      <c r="F24" s="54"/>
      <c r="G24" s="54"/>
      <c r="H24" s="54"/>
      <c r="I24" s="54"/>
      <c r="J24" s="54"/>
      <c r="R24" s="23"/>
      <c r="S24" s="23">
        <f ca="1">TIME(R23,S23,0)</f>
        <v>0.3034722222222222</v>
      </c>
    </row>
    <row r="25" spans="1:19" ht="15" customHeight="1" thickBot="1">
      <c r="A25" s="69"/>
      <c r="L25" s="170" t="s">
        <v>248</v>
      </c>
      <c r="M25" s="171"/>
      <c r="N25" s="172">
        <f ca="1">SUM(L8:N20)</f>
        <v>0</v>
      </c>
    </row>
  </sheetData>
  <sheetProtection algorithmName="SHA-512" hashValue="KS0vwN0KD/Ex2cnw7MLdOlhkKo2q8DNZVPX+wYhRK1UJlfc2wsbThDZPjSJt4pvwDN/vzG807Z/o7Z1/rMduiw==" saltValue="rguTzagvIRN62BKIyoZS7w==" spinCount="100000" sheet="1" selectLockedCells="1"/>
  <protectedRanges>
    <protectedRange sqref="F7 F9 F11 F13 F15 F17 F19 F21" name="Rango1"/>
  </protectedRanges>
  <customSheetViews>
    <customSheetView guid="{387210E2-BDFB-42E5-A6C7-A37C9701EAB6}" showGridLines="0" showRowCol="0" outlineSymbols="0" hiddenRows="1">
      <selection sqref="A1:O2"/>
      <pageMargins left="0" right="0" top="0" bottom="0" header="0" footer="0"/>
      <pageSetup paperSize="9" orientation="portrait" horizontalDpi="300" verticalDpi="300"/>
      <headerFooter alignWithMargins="0"/>
    </customSheetView>
    <customSheetView guid="{E2621C8A-2AE3-484D-B751-B92E60BB88F8}" showGridLines="0" showRowCol="0" outlineSymbols="0" hiddenRows="1">
      <selection sqref="A1:O2"/>
      <pageMargins left="0" right="0" top="0" bottom="0" header="0" footer="0"/>
      <pageSetup paperSize="9" orientation="portrait" horizontalDpi="300" verticalDpi="300"/>
      <headerFooter alignWithMargins="0"/>
    </customSheetView>
  </customSheetViews>
  <mergeCells count="5">
    <mergeCell ref="E5:F5"/>
    <mergeCell ref="B5:D5"/>
    <mergeCell ref="G5:H5"/>
    <mergeCell ref="A1:O2"/>
    <mergeCell ref="L5:M5"/>
  </mergeCells>
  <phoneticPr fontId="6" type="noConversion"/>
  <conditionalFormatting sqref="G7 G9">
    <cfRule type="expression" dxfId="26" priority="3" stopIfTrue="1">
      <formula>IF(AND($F$7=$F$9,$F$7&lt;&gt;"",$F$9&lt;&gt;""),1,0)</formula>
    </cfRule>
  </conditionalFormatting>
  <conditionalFormatting sqref="G11 G13">
    <cfRule type="expression" dxfId="25" priority="4" stopIfTrue="1">
      <formula>IF(AND($F$11=$F$13,$F$11&lt;&gt;"",$F$13&lt;&gt;""),1,0)</formula>
    </cfRule>
  </conditionalFormatting>
  <conditionalFormatting sqref="G15 G17">
    <cfRule type="expression" dxfId="24" priority="5" stopIfTrue="1">
      <formula>IF(AND($F$15=$F$17,$F$15&lt;&gt;"",$F$17&lt;&gt;""),1,0)</formula>
    </cfRule>
  </conditionalFormatting>
  <conditionalFormatting sqref="G19 G21">
    <cfRule type="expression" dxfId="23" priority="6" stopIfTrue="1">
      <formula>IF(AND($F$19=$F$21,$F$19&lt;&gt;"",$F$21&lt;&gt;""),1,0)</formula>
    </cfRule>
  </conditionalFormatting>
  <conditionalFormatting sqref="A8:E8 C12:D12 D16">
    <cfRule type="expression" dxfId="22" priority="7" stopIfTrue="1">
      <formula>IF(OR($E$8="en juego",$E$8="hoy!"),1,0)</formula>
    </cfRule>
  </conditionalFormatting>
  <conditionalFormatting sqref="A12:B12 E12">
    <cfRule type="expression" dxfId="21" priority="8" stopIfTrue="1">
      <formula>IF(OR($E$12="en juego",$E$12="hoy!"),1,0)</formula>
    </cfRule>
  </conditionalFormatting>
  <conditionalFormatting sqref="A16:C16 E16 C20">
    <cfRule type="expression" dxfId="20" priority="9" stopIfTrue="1">
      <formula>IF(OR($E$16="en juego",$E$16="hoy!"),1,0)</formula>
    </cfRule>
  </conditionalFormatting>
  <conditionalFormatting sqref="A20:B20 E20">
    <cfRule type="expression" dxfId="19" priority="10" stopIfTrue="1">
      <formula>IF(OR($E$20="en juego",$E$20="hoy!"),1,0)</formula>
    </cfRule>
  </conditionalFormatting>
  <conditionalFormatting sqref="L8:M8 L12:M12 L16:M16 L20:M20">
    <cfRule type="expression" dxfId="18" priority="19" stopIfTrue="1">
      <formula>IF(OR($L$6="en juego",$L$6="hoy!"),1,0)</formula>
    </cfRule>
  </conditionalFormatting>
  <conditionalFormatting sqref="D20">
    <cfRule type="expression" dxfId="17" priority="2" stopIfTrue="1">
      <formula>IF(OR($E$8="en juego",$E$8="hoy!"),1,0)</formula>
    </cfRule>
  </conditionalFormatting>
  <conditionalFormatting sqref="F21 F19 F17 F15 F13 F11 F9 F7">
    <cfRule type="expression" dxfId="16" priority="1" stopIfTrue="1">
      <formula>IF(OR($L$6="en juego",$L$6="hoy!"),1,0)</formula>
    </cfRule>
  </conditionalFormatting>
  <dataValidations count="2">
    <dataValidation type="custom" showErrorMessage="1" errorTitle="Dato no válido" error="Debe introducir antes el resultado del partido." sqref="G7 G9 G11 G13 G15 G17 G19 G21" xr:uid="{00000000-0002-0000-0A00-000002000000}">
      <formula1>IF(F7&lt;&gt;"",1,0)</formula1>
    </dataValidation>
    <dataValidation type="whole" allowBlank="1" showErrorMessage="1" errorTitle="Dato no válido" error="Ingrese sólo un número entero_x000a_entre 0 y 99." sqref="F7 F9 F11 F13 F15 F17 F19 F21" xr:uid="{803961B6-A20D-4982-902A-D94DEACB708B}">
      <formula1>0</formula1>
      <formula2>99</formula2>
    </dataValidation>
  </dataValidations>
  <hyperlinks>
    <hyperlink ref="O4" location="Portada!A1" display="Menu Principal" xr:uid="{00000000-0004-0000-0A00-000000000000}"/>
  </hyperlinks>
  <pageMargins left="0.75" right="0.75" top="1" bottom="1" header="0" footer="0"/>
  <pageSetup paperSize="9" orientation="portrait"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20">
    <tabColor indexed="40"/>
  </sheetPr>
  <dimension ref="A1:U25"/>
  <sheetViews>
    <sheetView showGridLines="0" showRowColHeaders="0" showOutlineSymbols="0" zoomScale="110" zoomScaleNormal="110" workbookViewId="0">
      <selection activeCell="G7" sqref="G7"/>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14.28515625" style="24" bestFit="1" customWidth="1"/>
    <col min="14" max="14" width="4" style="24" bestFit="1" customWidth="1"/>
    <col min="15" max="16384" width="11.42578125" style="24"/>
  </cols>
  <sheetData>
    <row r="1" spans="1:21" s="136" customFormat="1" ht="34.5" customHeight="1">
      <c r="A1" s="315"/>
      <c r="B1" s="315"/>
      <c r="C1" s="315"/>
      <c r="D1" s="315"/>
      <c r="E1" s="315"/>
      <c r="F1" s="315"/>
      <c r="G1" s="315"/>
      <c r="H1" s="315"/>
      <c r="I1" s="315"/>
      <c r="J1" s="315"/>
      <c r="K1" s="315"/>
      <c r="L1" s="315"/>
      <c r="M1" s="315"/>
      <c r="N1" s="315"/>
      <c r="O1" s="315"/>
      <c r="P1" s="135"/>
      <c r="Q1" s="135"/>
      <c r="R1" s="135"/>
      <c r="S1" s="135"/>
      <c r="T1" s="135"/>
      <c r="U1" s="135"/>
    </row>
    <row r="2" spans="1:21" s="136" customFormat="1" ht="34.5" customHeight="1">
      <c r="A2" s="315"/>
      <c r="B2" s="315"/>
      <c r="C2" s="315"/>
      <c r="D2" s="315"/>
      <c r="E2" s="315"/>
      <c r="F2" s="315"/>
      <c r="G2" s="315"/>
      <c r="H2" s="315"/>
      <c r="I2" s="315"/>
      <c r="J2" s="315"/>
      <c r="K2" s="315"/>
      <c r="L2" s="315"/>
      <c r="M2" s="315"/>
      <c r="N2" s="315"/>
      <c r="O2" s="315"/>
      <c r="P2" s="135"/>
      <c r="Q2" s="135"/>
      <c r="R2" s="135"/>
      <c r="S2" s="135"/>
      <c r="T2" s="135"/>
      <c r="U2" s="135"/>
    </row>
    <row r="3" spans="1:21" ht="20.100000000000001" customHeight="1">
      <c r="F3" s="25"/>
      <c r="L3" s="46"/>
      <c r="M3" s="47"/>
    </row>
    <row r="4" spans="1:21" ht="15" customHeight="1">
      <c r="E4" s="48"/>
      <c r="F4" s="47"/>
      <c r="L4" s="70">
        <f ca="1">TODAY()</f>
        <v>44878</v>
      </c>
      <c r="M4" s="71">
        <f ca="1">NOW()</f>
        <v>44878.303923611114</v>
      </c>
      <c r="O4" s="51" t="s">
        <v>290</v>
      </c>
    </row>
    <row r="5" spans="1:21" ht="12" customHeight="1">
      <c r="B5" s="332" t="s">
        <v>284</v>
      </c>
      <c r="C5" s="332"/>
      <c r="D5" s="332"/>
      <c r="E5" s="332" t="s">
        <v>285</v>
      </c>
      <c r="F5" s="332"/>
      <c r="G5" s="333" t="s">
        <v>286</v>
      </c>
      <c r="H5" s="333"/>
      <c r="I5" s="52"/>
      <c r="J5" s="138" t="s">
        <v>222</v>
      </c>
      <c r="L5" s="331" t="s">
        <v>226</v>
      </c>
      <c r="M5" s="331"/>
    </row>
    <row r="6" spans="1:21" ht="12.95">
      <c r="A6" s="53"/>
      <c r="E6" s="54"/>
      <c r="F6" s="54"/>
      <c r="G6" s="54"/>
      <c r="H6" s="54"/>
      <c r="I6" s="54"/>
      <c r="J6" s="54"/>
      <c r="L6" s="45" t="s">
        <v>231</v>
      </c>
      <c r="M6" s="45" t="s">
        <v>288</v>
      </c>
    </row>
    <row r="7" spans="1:21" ht="15" customHeight="1">
      <c r="A7" s="53"/>
      <c r="E7" s="72" t="str">
        <f ca="1">'4tos de final'!J8</f>
        <v>CF1</v>
      </c>
      <c r="F7" s="109"/>
      <c r="G7" s="56"/>
      <c r="H7" s="57"/>
      <c r="I7" s="54"/>
      <c r="J7" s="54"/>
    </row>
    <row r="8" spans="1:21" ht="15" customHeight="1">
      <c r="A8" s="73" t="str">
        <f ca="1">IF(OR(E8="en juego",E8="hoy!",E8="finalizado"),"  -&gt;     1","1")</f>
        <v>1</v>
      </c>
      <c r="B8" s="58"/>
      <c r="C8" s="74">
        <v>44908</v>
      </c>
      <c r="D8" s="75">
        <v>0.58333333333333337</v>
      </c>
      <c r="E8" s="76" t="str">
        <f ca="1">IF(OR(C8="",D8="",C8&lt;$L$4),"",IF(C8=$L$4,IF(AND(D8&lt;=$S$24,$S$24&lt;=(D8+0.08333333333)),"en juego",IF($S$24&lt;D8,"hoy!","finalizado")),IF($L$4&gt;C8,"finalizado","")))</f>
        <v/>
      </c>
      <c r="F8" s="62"/>
      <c r="G8" s="63"/>
      <c r="H8" s="64"/>
      <c r="I8" s="54"/>
      <c r="J8" s="65" t="str">
        <f ca="1">IF(AND(E7&lt;&gt;"",E9&lt;&gt;""),IF(OR(F7="",F9="",AND(F7=F9,AND(G7="",G9=""))),"SF1",IF(F7=F9,IF(G7="v",E7,E9),IF(F7&gt;F9,E7,E9))),"")</f>
        <v>SF1</v>
      </c>
      <c r="L8" s="150">
        <f ca="1">IF(AND(F7='resultados oficiales'!Q40,F9='resultados oficiales'!S40,E7='resultados oficiales'!P40,E9='resultados oficiales'!T40),60,0)</f>
        <v>0</v>
      </c>
      <c r="M8" s="150">
        <f ca="1">IF(J8='resultados oficiales'!W48,50,0)</f>
        <v>0</v>
      </c>
    </row>
    <row r="9" spans="1:21" ht="15" customHeight="1">
      <c r="A9" s="53"/>
      <c r="B9" s="69"/>
      <c r="E9" s="72" t="str">
        <f ca="1">'4tos de final'!J12</f>
        <v>CF2</v>
      </c>
      <c r="F9" s="109"/>
      <c r="G9" s="66"/>
      <c r="H9" s="67"/>
      <c r="I9" s="54"/>
      <c r="J9" s="54"/>
    </row>
    <row r="10" spans="1:21" ht="32.1" customHeight="1">
      <c r="A10" s="53"/>
      <c r="B10" s="69"/>
      <c r="E10" s="54"/>
      <c r="F10" s="62"/>
      <c r="G10" s="54"/>
      <c r="H10" s="54"/>
      <c r="I10" s="54"/>
      <c r="J10" s="54"/>
    </row>
    <row r="11" spans="1:21" ht="15" customHeight="1">
      <c r="A11" s="53"/>
      <c r="B11" s="69"/>
      <c r="E11" s="72" t="str">
        <f ca="1">'4tos de final'!J16</f>
        <v>CF3</v>
      </c>
      <c r="F11" s="109"/>
      <c r="G11" s="56"/>
      <c r="H11" s="57"/>
      <c r="I11" s="54"/>
      <c r="J11" s="54"/>
    </row>
    <row r="12" spans="1:21" ht="15" customHeight="1">
      <c r="A12" s="73" t="str">
        <f ca="1">IF(OR(E12="en juego",E12="hoy!",E12="finalizado"),"  -&gt;     2","2")</f>
        <v>2</v>
      </c>
      <c r="B12" s="58"/>
      <c r="C12" s="74">
        <f>+C8+1</f>
        <v>44909</v>
      </c>
      <c r="D12" s="75">
        <v>0.58333333333333337</v>
      </c>
      <c r="E12" s="76" t="str">
        <f ca="1">IF(OR(C12="",D12="",C12&lt;$L$4),"",IF(C12=$L$4,IF(AND(D12&lt;=$S$24,$S$24&lt;=(D12+0.08333333333)),"en juego",IF($S$24&lt;D12,"hoy!","finalizado")),IF($L$4&gt;C12,"finalizado","")))</f>
        <v/>
      </c>
      <c r="F12" s="62"/>
      <c r="G12" s="63"/>
      <c r="H12" s="64"/>
      <c r="I12" s="54"/>
      <c r="J12" s="65" t="str">
        <f ca="1">IF(AND(E11&lt;&gt;"",E13&lt;&gt;""),IF(OR(F11="",F13="",AND(F11=F13,AND(G11="",G13=""))),"SF2",IF(F11=F13,IF(G11="v",E11,E13),IF(F11&gt;F13,E11,E13))),"")</f>
        <v>SF2</v>
      </c>
      <c r="L12" s="150">
        <f ca="1">IF(AND(F11='resultados oficiales'!Q60,F13='resultados oficiales'!S60,E11='resultados oficiales'!P60,E13='resultados oficiales'!T60),60,0)</f>
        <v>0</v>
      </c>
      <c r="M12" s="150">
        <f ca="1">IF(J12='resultados oficiales'!AA48,50,0)</f>
        <v>0</v>
      </c>
    </row>
    <row r="13" spans="1:21" ht="15" customHeight="1">
      <c r="A13" s="53"/>
      <c r="E13" s="72" t="str">
        <f ca="1">'4tos de final'!J20</f>
        <v>CF4</v>
      </c>
      <c r="F13" s="109"/>
      <c r="G13" s="66"/>
      <c r="H13" s="67"/>
      <c r="I13" s="54"/>
      <c r="J13" s="54"/>
    </row>
    <row r="14" spans="1:21" ht="15" customHeight="1" thickBot="1">
      <c r="A14" s="68"/>
      <c r="B14" s="54"/>
      <c r="C14" s="54"/>
      <c r="D14" s="54"/>
      <c r="E14" s="54"/>
      <c r="F14" s="54"/>
      <c r="G14" s="54"/>
      <c r="H14" s="54"/>
      <c r="I14" s="54"/>
      <c r="J14" s="54"/>
    </row>
    <row r="15" spans="1:21" ht="14.25" customHeight="1" thickBot="1">
      <c r="A15" s="68"/>
      <c r="B15" s="54"/>
      <c r="C15" s="54"/>
      <c r="D15" s="54"/>
      <c r="E15" s="54"/>
      <c r="F15" s="54"/>
      <c r="G15" s="54"/>
      <c r="H15" s="54"/>
      <c r="I15" s="54"/>
      <c r="J15" s="54"/>
      <c r="L15" s="170" t="s">
        <v>248</v>
      </c>
      <c r="M15" s="171"/>
      <c r="N15" s="172">
        <f ca="1">SUM(L8:M12)</f>
        <v>0</v>
      </c>
    </row>
    <row r="16" spans="1:21" ht="14.25" customHeight="1">
      <c r="A16" s="69"/>
    </row>
    <row r="17" spans="18:19" ht="14.25" customHeight="1"/>
    <row r="18" spans="18:19" ht="15" customHeight="1"/>
    <row r="19" spans="18:19" ht="14.25" customHeight="1"/>
    <row r="20" spans="18:19" ht="14.25" customHeight="1"/>
    <row r="21" spans="18:19" ht="14.25" customHeight="1"/>
    <row r="22" spans="18:19" ht="15" customHeight="1"/>
    <row r="23" spans="18:19" hidden="1">
      <c r="R23" s="23">
        <f ca="1">HOUR(M4)</f>
        <v>7</v>
      </c>
      <c r="S23" s="23">
        <f ca="1">MINUTE(M4)</f>
        <v>17</v>
      </c>
    </row>
    <row r="24" spans="18:19" hidden="1">
      <c r="R24" s="23"/>
      <c r="S24" s="23">
        <f ca="1">TIME(R23,S23,0)</f>
        <v>0.3034722222222222</v>
      </c>
    </row>
    <row r="25" spans="18:19" ht="15" customHeight="1"/>
  </sheetData>
  <sheetProtection algorithmName="SHA-512" hashValue="ud40fvTWf86sBxqDKYaRyGiOXzI2S4aS+GCBU3KFkNa5SqlFqmOqrC58TIpNmOch2NxOlj8hc3eH09ZGJEl3zA==" saltValue="U6pNesGGDjJKzJH+RcMSOQ==" spinCount="100000" sheet="1" selectLockedCells="1"/>
  <protectedRanges>
    <protectedRange sqref="F7 F9 F11 F13" name="Rango1"/>
  </protectedRanges>
  <customSheetViews>
    <customSheetView guid="{387210E2-BDFB-42E5-A6C7-A37C9701EAB6}" showGridLines="0" showRowCol="0" outlineSymbols="0" hiddenRows="1">
      <selection sqref="A1:O2"/>
      <pageMargins left="0" right="0" top="0" bottom="0" header="0" footer="0"/>
      <pageSetup paperSize="9" orientation="portrait" horizontalDpi="300" verticalDpi="300"/>
      <headerFooter alignWithMargins="0"/>
    </customSheetView>
    <customSheetView guid="{E2621C8A-2AE3-484D-B751-B92E60BB88F8}" showGridLines="0" showRowCol="0" outlineSymbols="0" hiddenRows="1">
      <selection sqref="A1:O2"/>
      <pageMargins left="0" right="0" top="0" bottom="0" header="0" footer="0"/>
      <pageSetup paperSize="9" orientation="portrait" horizontalDpi="300" verticalDpi="300"/>
      <headerFooter alignWithMargins="0"/>
    </customSheetView>
  </customSheetViews>
  <mergeCells count="5">
    <mergeCell ref="L5:M5"/>
    <mergeCell ref="A1:O2"/>
    <mergeCell ref="E5:F5"/>
    <mergeCell ref="B5:D5"/>
    <mergeCell ref="G5:H5"/>
  </mergeCells>
  <phoneticPr fontId="6" type="noConversion"/>
  <conditionalFormatting sqref="G7 G9">
    <cfRule type="expression" dxfId="15" priority="3" stopIfTrue="1">
      <formula>IF(AND($F$7=$F$9,$F$7&lt;&gt;"",$F$9&lt;&gt;""),1,0)</formula>
    </cfRule>
  </conditionalFormatting>
  <conditionalFormatting sqref="G11 G13">
    <cfRule type="expression" dxfId="14" priority="4" stopIfTrue="1">
      <formula>IF(AND($F$11=$F$13,$F$11&lt;&gt;"",$F$13&lt;&gt;""),1,0)</formula>
    </cfRule>
  </conditionalFormatting>
  <conditionalFormatting sqref="A8:E8 D12">
    <cfRule type="expression" dxfId="13" priority="5" stopIfTrue="1">
      <formula>IF(OR($E$8="hoy!",$E$8="en juego"),1,0)</formula>
    </cfRule>
  </conditionalFormatting>
  <conditionalFormatting sqref="A12:C12 E12">
    <cfRule type="expression" dxfId="12" priority="6" stopIfTrue="1">
      <formula>IF(OR($E$12="hoy!",$E$12="en juego"),1,0)</formula>
    </cfRule>
  </conditionalFormatting>
  <conditionalFormatting sqref="L8:M8 L12:M12">
    <cfRule type="expression" dxfId="11" priority="12" stopIfTrue="1">
      <formula>IF(OR($L$6="en juego",$L$6="hoy!"),1,0)</formula>
    </cfRule>
  </conditionalFormatting>
  <conditionalFormatting sqref="F13 F11 F9 F7">
    <cfRule type="expression" dxfId="10" priority="1" stopIfTrue="1">
      <formula>IF(OR($L$6="en juego",$L$6="hoy!"),1,0)</formula>
    </cfRule>
  </conditionalFormatting>
  <dataValidations count="2">
    <dataValidation type="custom" showErrorMessage="1" errorTitle="Dato no válido" error="Debe introducir antes el resultado del partido." sqref="G7 G9 G11 G13" xr:uid="{00000000-0002-0000-0B00-000002000000}">
      <formula1>IF(F7&lt;&gt;"",1,0)</formula1>
    </dataValidation>
    <dataValidation type="whole" allowBlank="1" showErrorMessage="1" errorTitle="Dato no válido" error="Ingrese sólo un número entero_x000a_entre 0 y 99." sqref="F7 F9 F11 F13" xr:uid="{8606A0C1-0C3E-4BA7-9A6D-A33A7CF963AB}">
      <formula1>0</formula1>
      <formula2>99</formula2>
    </dataValidation>
  </dataValidations>
  <hyperlinks>
    <hyperlink ref="O4" location="Portada!A1" display="Menu Principal" xr:uid="{00000000-0004-0000-0B00-000000000000}"/>
  </hyperlinks>
  <pageMargins left="0.75" right="0.75" top="1" bottom="1" header="0" footer="0"/>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1">
    <tabColor indexed="13"/>
  </sheetPr>
  <dimension ref="A1:U29"/>
  <sheetViews>
    <sheetView showGridLines="0" showRowColHeaders="0" showOutlineSymbols="0" topLeftCell="C2" zoomScale="110" zoomScaleNormal="110" workbookViewId="0">
      <selection activeCell="G17" activeCellId="7" sqref="F8 G8 F10 G10 F15 G15 F17 G17"/>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13.5703125" style="24" bestFit="1" customWidth="1"/>
    <col min="14" max="14" width="9.5703125" style="24" bestFit="1" customWidth="1"/>
    <col min="15" max="16384" width="11.42578125" style="24"/>
  </cols>
  <sheetData>
    <row r="1" spans="1:21" s="136" customFormat="1" ht="34.5" customHeight="1">
      <c r="A1" s="315"/>
      <c r="B1" s="315"/>
      <c r="C1" s="315"/>
      <c r="D1" s="315"/>
      <c r="E1" s="315"/>
      <c r="F1" s="315"/>
      <c r="G1" s="315"/>
      <c r="H1" s="315"/>
      <c r="I1" s="315"/>
      <c r="J1" s="315"/>
      <c r="K1" s="315"/>
      <c r="L1" s="315"/>
      <c r="M1" s="315"/>
      <c r="N1" s="315"/>
      <c r="O1" s="315"/>
      <c r="P1" s="135"/>
      <c r="Q1" s="135"/>
      <c r="R1" s="135"/>
      <c r="S1" s="135"/>
      <c r="T1" s="135"/>
      <c r="U1" s="135"/>
    </row>
    <row r="2" spans="1:21" s="136" customFormat="1" ht="34.5" customHeight="1">
      <c r="A2" s="315"/>
      <c r="B2" s="315"/>
      <c r="C2" s="315"/>
      <c r="D2" s="315"/>
      <c r="E2" s="315"/>
      <c r="F2" s="315"/>
      <c r="G2" s="315"/>
      <c r="H2" s="315"/>
      <c r="I2" s="315"/>
      <c r="J2" s="315"/>
      <c r="K2" s="315"/>
      <c r="L2" s="315"/>
      <c r="M2" s="315"/>
      <c r="N2" s="315"/>
      <c r="O2" s="315"/>
      <c r="P2" s="135"/>
      <c r="Q2" s="135"/>
      <c r="R2" s="135"/>
      <c r="S2" s="135"/>
      <c r="T2" s="135"/>
      <c r="U2" s="135"/>
    </row>
    <row r="3" spans="1:21" ht="12" customHeight="1">
      <c r="A3" s="77"/>
      <c r="C3" s="25"/>
      <c r="L3" s="46"/>
      <c r="M3" s="47"/>
    </row>
    <row r="4" spans="1:21" ht="9.75" customHeight="1">
      <c r="A4" s="77"/>
      <c r="C4" s="25"/>
      <c r="L4" s="70">
        <f ca="1">TODAY()</f>
        <v>44878</v>
      </c>
      <c r="M4" s="78">
        <f ca="1">NOW()</f>
        <v>44878.303923611114</v>
      </c>
      <c r="O4" s="51" t="s">
        <v>290</v>
      </c>
    </row>
    <row r="5" spans="1:21" ht="14.25" customHeight="1">
      <c r="A5" s="77"/>
      <c r="B5" s="79"/>
      <c r="C5" s="80" t="s">
        <v>292</v>
      </c>
      <c r="E5" s="48"/>
      <c r="F5" s="48"/>
      <c r="L5" s="81"/>
      <c r="M5" s="78"/>
    </row>
    <row r="6" spans="1:21" ht="12" customHeight="1">
      <c r="A6" s="77"/>
      <c r="B6" s="332" t="s">
        <v>284</v>
      </c>
      <c r="C6" s="332"/>
      <c r="D6" s="332"/>
      <c r="E6" s="342" t="s">
        <v>285</v>
      </c>
      <c r="F6" s="342"/>
      <c r="G6" s="343" t="s">
        <v>286</v>
      </c>
      <c r="H6" s="343"/>
      <c r="I6" s="218"/>
      <c r="J6" s="138" t="s">
        <v>292</v>
      </c>
      <c r="L6" s="331" t="s">
        <v>226</v>
      </c>
      <c r="M6" s="331"/>
    </row>
    <row r="7" spans="1:21" ht="9.75" customHeight="1">
      <c r="A7" s="82"/>
      <c r="E7" s="54"/>
      <c r="F7" s="54"/>
      <c r="G7" s="54"/>
      <c r="H7" s="54"/>
      <c r="I7" s="54"/>
      <c r="J7" s="54"/>
      <c r="L7" s="45" t="s">
        <v>231</v>
      </c>
      <c r="M7" s="45" t="s">
        <v>288</v>
      </c>
    </row>
    <row r="8" spans="1:21" ht="14.25" customHeight="1">
      <c r="A8" s="82"/>
      <c r="E8" s="55" t="str">
        <f ca="1">IF(Semifinal!J8="SF1","SF1-2",IF(Semifinal!J8=Semifinal!E7,Semifinal!E9,Semifinal!E7))</f>
        <v>SF1-2</v>
      </c>
      <c r="F8" s="109"/>
      <c r="G8" s="83"/>
      <c r="H8" s="57"/>
      <c r="I8" s="54"/>
      <c r="J8" s="54"/>
    </row>
    <row r="9" spans="1:21" ht="14.25" customHeight="1">
      <c r="A9" s="84" t="str">
        <f ca="1">IF(OR(E9="en juego",E9="hoy!",E9="finalizado"),"Ø","")</f>
        <v/>
      </c>
      <c r="B9" s="53"/>
      <c r="C9" s="59">
        <v>44912</v>
      </c>
      <c r="D9" s="60">
        <v>0.41666666666666669</v>
      </c>
      <c r="E9" s="61" t="str">
        <f ca="1">IF(OR(C9="",D9="",C9&lt;$L$4),"",IF(C9=$L$4,IF(AND(D9&lt;=$S$28,$S$28&lt;=(D9+0.08333333333)),"en juego",IF($S$28&lt;D9,"hoy!","finalizado")),IF($L$4&gt;C9,"finalizado","")))</f>
        <v/>
      </c>
      <c r="F9" s="62"/>
      <c r="G9" s="63"/>
      <c r="H9" s="64"/>
      <c r="I9" s="85"/>
      <c r="J9" s="86" t="str">
        <f ca="1">IF(AND(E8&lt;&gt;"",E10&lt;&gt;""),IF(OR(F8="",F10="",AND(F8=F10,AND(G8="",G10=""))),"3ER LUGAR",IF(F8=F10,IF(G8="v",E8,E10),IF(F8&gt;F10,E8,E10))),"")</f>
        <v>3ER LUGAR</v>
      </c>
      <c r="L9" s="150">
        <f ca="1">IF(AND(F8='resultados oficiales'!X53,F10='resultados oficiales'!Z53,E8='resultados oficiales'!W53,E10='resultados oficiales'!AA53),80,0)</f>
        <v>0</v>
      </c>
      <c r="M9" s="150">
        <f ca="1">IF(J9='resultados oficiales'!AC53,60,0)</f>
        <v>0</v>
      </c>
    </row>
    <row r="10" spans="1:21" ht="14.25" customHeight="1">
      <c r="A10" s="82"/>
      <c r="E10" s="55" t="str">
        <f ca="1">IF(Semifinal!J12="SF2","SF2-2",IF(Semifinal!J12=Semifinal!E11,Semifinal!E13,Semifinal!E11))</f>
        <v>SF2-2</v>
      </c>
      <c r="F10" s="109"/>
      <c r="G10" s="87"/>
      <c r="H10" s="67"/>
      <c r="I10" s="54"/>
      <c r="J10" s="54"/>
    </row>
    <row r="11" spans="1:21" ht="24.75" customHeight="1">
      <c r="A11" s="82"/>
      <c r="E11" s="88"/>
      <c r="F11" s="89"/>
      <c r="G11" s="90"/>
      <c r="H11" s="54"/>
      <c r="I11" s="54"/>
      <c r="J11" s="54"/>
    </row>
    <row r="12" spans="1:21" ht="15" customHeight="1">
      <c r="A12" s="91"/>
      <c r="B12" s="92" t="s">
        <v>293</v>
      </c>
      <c r="C12" s="48"/>
      <c r="E12" s="48"/>
      <c r="F12" s="48"/>
    </row>
    <row r="13" spans="1:21" ht="15" customHeight="1">
      <c r="A13" s="93"/>
      <c r="B13" s="338" t="s">
        <v>284</v>
      </c>
      <c r="C13" s="338"/>
      <c r="D13" s="338"/>
      <c r="E13" s="338" t="s">
        <v>285</v>
      </c>
      <c r="F13" s="338"/>
      <c r="G13" s="339" t="s">
        <v>286</v>
      </c>
      <c r="H13" s="339"/>
      <c r="I13" s="93"/>
      <c r="J13" s="139" t="s">
        <v>294</v>
      </c>
      <c r="K13" s="93"/>
      <c r="L13" s="93"/>
      <c r="M13" s="93"/>
      <c r="N13" s="93"/>
    </row>
    <row r="14" spans="1:21" ht="16.5" customHeight="1">
      <c r="A14" s="53"/>
      <c r="E14" s="54"/>
      <c r="F14" s="62"/>
      <c r="G14" s="54"/>
      <c r="H14" s="54"/>
      <c r="I14" s="54"/>
      <c r="J14" s="54"/>
    </row>
    <row r="15" spans="1:21" ht="18" customHeight="1">
      <c r="A15" s="53"/>
      <c r="E15" s="94" t="str">
        <f ca="1">Semifinal!J8</f>
        <v>SF1</v>
      </c>
      <c r="F15" s="109"/>
      <c r="G15" s="95"/>
      <c r="H15" s="54"/>
      <c r="I15" s="54"/>
      <c r="J15" s="54"/>
    </row>
    <row r="16" spans="1:21" ht="18" customHeight="1" thickBot="1">
      <c r="A16" s="96" t="str">
        <f ca="1">IF(OR(E16="en juego",E16="hoy!",E16="finalizado"),"Ø","")</f>
        <v/>
      </c>
      <c r="B16" s="97"/>
      <c r="C16" s="98">
        <f>+C9+1</f>
        <v>44913</v>
      </c>
      <c r="D16" s="60">
        <v>0.625</v>
      </c>
      <c r="E16" s="99" t="str">
        <f ca="1">IF(OR(C16="",D16="",C16&lt;$L$4),"",IF(C16=$L$4,IF(AND(D16&lt;=$S$28,$S$28&lt;=(D16+0.08333333333)),"en juego",IF($S$28&lt;D16,"hoy!","finalizado")),IF($L$4&gt;C16,"finalizado","")))</f>
        <v/>
      </c>
      <c r="F16" s="62"/>
      <c r="G16" s="63"/>
      <c r="H16" s="64"/>
      <c r="I16" s="54"/>
      <c r="J16" s="340" t="str">
        <f ca="1">IF(AND(E15&lt;&gt;"",E17&lt;&gt;""),IF(OR(F15="",F17="",AND(F15=F17,AND(G15="",G17=""))),"CAMPEON",IF(F15=F17,IF(G15="v",E15,E17),IF(F15&gt;F17,E15,E17))),"")</f>
        <v>CAMPEON</v>
      </c>
      <c r="K16" s="341" t="str">
        <f>IF(AND(F15&lt;&gt;"",F17&lt;&gt;""),IF(OR(G15="",G17="",AND(G15=G17,AND(H15="",H17=""))),"3ER LUGAR",IF(G15=G17,IF(H15="v",F15,F17),IF(G15&gt;G17,F15,F17))),"")</f>
        <v/>
      </c>
      <c r="L16" s="150">
        <f ca="1">IF(AND(F15='resultados oficiales'!X48,F17='resultados oficiales'!Z48,E15='resultados oficiales'!W48,E17='resultados oficiales'!AA48),100,0)</f>
        <v>0</v>
      </c>
      <c r="M16" s="150">
        <f ca="1">IF(J16='resultados oficiales'!AC48,80,0)</f>
        <v>0</v>
      </c>
    </row>
    <row r="17" spans="1:19" ht="18" customHeight="1">
      <c r="A17" s="53"/>
      <c r="E17" s="94" t="str">
        <f ca="1">Semifinal!J12</f>
        <v>SF2</v>
      </c>
      <c r="F17" s="109"/>
      <c r="G17" s="95"/>
      <c r="H17" s="54"/>
      <c r="I17" s="337" t="str">
        <f ca="1">IF(OR(J16="CAMPEÓN",J16=""),"","CAMPEONES DEL MUNDO 2022")</f>
        <v>CAMPEONES DEL MUNDO 2022</v>
      </c>
      <c r="J17" s="337"/>
      <c r="K17" s="337"/>
      <c r="L17" s="337"/>
    </row>
    <row r="18" spans="1:19" ht="15" customHeight="1" thickBot="1">
      <c r="A18" s="68"/>
      <c r="B18" s="54"/>
      <c r="C18" s="54"/>
      <c r="D18" s="54"/>
      <c r="E18" s="54"/>
      <c r="F18" s="54"/>
      <c r="G18" s="54"/>
      <c r="H18" s="54"/>
      <c r="I18" s="54"/>
      <c r="J18" s="54"/>
      <c r="L18" s="170" t="s">
        <v>248</v>
      </c>
      <c r="M18" s="171"/>
      <c r="N18" s="172">
        <f ca="1">SUM(L9:N16)</f>
        <v>0</v>
      </c>
    </row>
    <row r="19" spans="1:19" ht="14.25" customHeight="1">
      <c r="A19" s="68"/>
      <c r="B19" s="54"/>
      <c r="C19" s="54"/>
      <c r="D19" s="54"/>
      <c r="E19" s="54"/>
      <c r="F19" s="54"/>
      <c r="G19" s="54"/>
      <c r="H19" s="54"/>
      <c r="I19" s="54"/>
      <c r="J19" s="54"/>
    </row>
    <row r="20" spans="1:19" ht="14.25" customHeight="1" thickBot="1">
      <c r="A20" s="69"/>
    </row>
    <row r="21" spans="1:19" ht="14.25" customHeight="1" thickBot="1">
      <c r="E21" s="100" t="s">
        <v>295</v>
      </c>
      <c r="H21" s="334" t="s">
        <v>296</v>
      </c>
      <c r="I21" s="335"/>
      <c r="J21" s="336"/>
      <c r="L21" s="170" t="s">
        <v>248</v>
      </c>
      <c r="M21" s="171"/>
      <c r="N21" s="172">
        <f>IF(H21="",0,IF(H21='resultados oficiales'!AB43,80,0))</f>
        <v>0</v>
      </c>
    </row>
    <row r="22" spans="1:19" ht="15" customHeight="1"/>
    <row r="23" spans="1:19" ht="14.25" customHeight="1"/>
    <row r="24" spans="1:19" ht="14.25" customHeight="1"/>
    <row r="25" spans="1:19" ht="14.25" customHeight="1"/>
    <row r="26" spans="1:19" ht="15" customHeight="1"/>
    <row r="27" spans="1:19" hidden="1">
      <c r="R27" s="23">
        <f ca="1">HOUR(M4)</f>
        <v>7</v>
      </c>
      <c r="S27" s="23">
        <f ca="1">MINUTE(M4)</f>
        <v>17</v>
      </c>
    </row>
    <row r="28" spans="1:19" hidden="1">
      <c r="R28" s="23"/>
      <c r="S28" s="23">
        <f ca="1">TIME(R27,S27,0)</f>
        <v>0.3034722222222222</v>
      </c>
    </row>
    <row r="29" spans="1:19" ht="15" customHeight="1"/>
  </sheetData>
  <sheetProtection algorithmName="SHA-512" hashValue="V+of9jnDK+dLMAU87iV0X5BS8ZWYq0SBeIUvO/4vuHrr5xA5NNz/ruQn3/ByYQ9VbTeUnpwHg3IxkZTzp7dBzA==" saltValue="2RELPVg8j/sBuF0/yvJPLw==" spinCount="100000" sheet="1" selectLockedCells="1"/>
  <protectedRanges>
    <protectedRange sqref="F8 F10 F15 F17 H21:J21" name="Rango1"/>
  </protectedRanges>
  <customSheetViews>
    <customSheetView guid="{387210E2-BDFB-42E5-A6C7-A37C9701EAB6}" showGridLines="0" showRowCol="0" outlineSymbols="0" hiddenRows="1">
      <selection activeCell="D16" sqref="D16"/>
      <pageMargins left="0" right="0" top="0" bottom="0" header="0" footer="0"/>
      <pageSetup paperSize="9" orientation="portrait" horizontalDpi="300" verticalDpi="300" r:id="rId1"/>
      <headerFooter alignWithMargins="0"/>
    </customSheetView>
    <customSheetView guid="{E2621C8A-2AE3-484D-B751-B92E60BB88F8}" showGridLines="0" showRowCol="0" outlineSymbols="0" hiddenRows="1">
      <selection activeCell="D16" sqref="D16"/>
      <pageMargins left="0" right="0" top="0" bottom="0" header="0" footer="0"/>
      <pageSetup paperSize="9" orientation="portrait" horizontalDpi="300" verticalDpi="300" r:id="rId2"/>
      <headerFooter alignWithMargins="0"/>
    </customSheetView>
  </customSheetViews>
  <mergeCells count="11">
    <mergeCell ref="L6:M6"/>
    <mergeCell ref="H21:J21"/>
    <mergeCell ref="A1:O2"/>
    <mergeCell ref="I17:L17"/>
    <mergeCell ref="B13:D13"/>
    <mergeCell ref="E13:F13"/>
    <mergeCell ref="G13:H13"/>
    <mergeCell ref="J16:K16"/>
    <mergeCell ref="E6:F6"/>
    <mergeCell ref="B6:D6"/>
    <mergeCell ref="G6:H6"/>
  </mergeCells>
  <phoneticPr fontId="6" type="noConversion"/>
  <conditionalFormatting sqref="G8 G10">
    <cfRule type="expression" dxfId="9" priority="3" stopIfTrue="1">
      <formula>IF(AND($F$8=$F$10,$F$8&lt;&gt;"",$F$10&lt;&gt;""),1,0)</formula>
    </cfRule>
  </conditionalFormatting>
  <conditionalFormatting sqref="G15 G17">
    <cfRule type="expression" dxfId="8" priority="4" stopIfTrue="1">
      <formula>IF(AND($F$15=$F$17,$F$15&lt;&gt;"",$F$17&lt;&gt;""),1,0)</formula>
    </cfRule>
  </conditionalFormatting>
  <conditionalFormatting sqref="J16:K16">
    <cfRule type="cellIs" dxfId="7" priority="5" stopIfTrue="1" operator="notEqual">
      <formula>"CAMPEON"</formula>
    </cfRule>
  </conditionalFormatting>
  <conditionalFormatting sqref="A9:E9 D16">
    <cfRule type="expression" dxfId="6" priority="6" stopIfTrue="1">
      <formula>IF(OR($E$9="en juego",$E$9="hoy!"),1,0)</formula>
    </cfRule>
  </conditionalFormatting>
  <conditionalFormatting sqref="A16:C16 E16">
    <cfRule type="expression" dxfId="5" priority="7" stopIfTrue="1">
      <formula>IF(OR($E$16="en juego",$E$16="hoy!"),1,0)</formula>
    </cfRule>
  </conditionalFormatting>
  <conditionalFormatting sqref="L9:M9 L16:M16">
    <cfRule type="expression" dxfId="4" priority="14" stopIfTrue="1">
      <formula>IF(OR($L$6="en juego",$L$6="hoy!"),1,0)</formula>
    </cfRule>
  </conditionalFormatting>
  <conditionalFormatting sqref="F17 F15 F10 F8">
    <cfRule type="expression" dxfId="3" priority="1" stopIfTrue="1">
      <formula>IF(OR($L$6="en juego",$L$6="hoy!"),1,0)</formula>
    </cfRule>
  </conditionalFormatting>
  <dataValidations count="4">
    <dataValidation type="whole" allowBlank="1" showInputMessage="1" showErrorMessage="1" errorTitle="Dato no válido" error="Ingrese sólo un número entero_x000a_entre 0 y 99." sqref="F11" xr:uid="{00000000-0002-0000-0C00-000001000000}">
      <formula1>0</formula1>
      <formula2>99</formula2>
    </dataValidation>
    <dataValidation allowBlank="1" showInputMessage="1" showErrorMessage="1" errorTitle="Entrada no válida." error="El resultado del partido debe ser empate." sqref="G11" xr:uid="{00000000-0002-0000-0C00-000002000000}"/>
    <dataValidation type="custom" showErrorMessage="1" errorTitle="Dato no válido" error="Debe introducir antes el resultado del partido." sqref="G8 G10 G15 G17" xr:uid="{00000000-0002-0000-0C00-000003000000}">
      <formula1>IF(F8&lt;&gt;"",1,0)</formula1>
    </dataValidation>
    <dataValidation type="whole" allowBlank="1" showErrorMessage="1" errorTitle="Dato no válido" error="Ingrese sólo un número entero_x000a_entre 0 y 99." sqref="F8 F10 F15 F17" xr:uid="{B48FDADE-58A9-46B9-8F1D-2D3245F88AEC}">
      <formula1>0</formula1>
      <formula2>99</formula2>
    </dataValidation>
  </dataValidations>
  <hyperlinks>
    <hyperlink ref="O4" location="Portada!A1" display="Menu Principal" xr:uid="{00000000-0004-0000-0C00-000000000000}"/>
  </hyperlinks>
  <pageMargins left="0.75" right="0.75" top="1" bottom="1" header="0" footer="0"/>
  <pageSetup paperSize="9" orientation="portrait" horizontalDpi="300" verticalDpi="300" r:id="rId3"/>
  <headerFooter alignWithMargins="0"/>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24">
    <tabColor indexed="29"/>
  </sheetPr>
  <dimension ref="A1:U17"/>
  <sheetViews>
    <sheetView showGridLines="0" zoomScale="110" zoomScaleNormal="110" workbookViewId="0">
      <selection activeCell="H22" sqref="H22"/>
    </sheetView>
  </sheetViews>
  <sheetFormatPr defaultRowHeight="12.6"/>
  <cols>
    <col min="1" max="1" width="2.5703125" customWidth="1"/>
    <col min="2" max="2" width="2.7109375" customWidth="1"/>
    <col min="3" max="4" width="11.42578125" customWidth="1"/>
    <col min="5" max="5" width="27.7109375" bestFit="1" customWidth="1"/>
    <col min="6" max="6" width="13.7109375" bestFit="1" customWidth="1"/>
    <col min="7" max="7" width="11.28515625" bestFit="1" customWidth="1"/>
    <col min="8" max="11" width="11.42578125" customWidth="1"/>
    <col min="12" max="12" width="8.42578125" bestFit="1" customWidth="1"/>
    <col min="13" max="13" width="13.5703125" bestFit="1" customWidth="1"/>
    <col min="14" max="14" width="11.42578125" customWidth="1"/>
    <col min="15" max="15" width="14.7109375" bestFit="1" customWidth="1"/>
    <col min="16" max="256" width="11.42578125" customWidth="1"/>
  </cols>
  <sheetData>
    <row r="1" spans="1:21" s="136" customFormat="1" ht="19.5">
      <c r="A1" s="315"/>
      <c r="B1" s="315"/>
      <c r="C1" s="315"/>
      <c r="D1" s="315"/>
      <c r="E1" s="315"/>
      <c r="F1" s="315"/>
      <c r="G1" s="315"/>
      <c r="H1" s="315"/>
      <c r="I1" s="315"/>
      <c r="J1" s="315"/>
      <c r="K1" s="315"/>
      <c r="L1" s="315"/>
      <c r="M1" s="315"/>
      <c r="N1" s="315"/>
      <c r="O1" s="315"/>
      <c r="P1" s="135"/>
      <c r="Q1" s="135"/>
      <c r="R1" s="135"/>
      <c r="S1" s="135"/>
      <c r="T1" s="135"/>
      <c r="U1" s="135"/>
    </row>
    <row r="2" spans="1:21" s="136" customFormat="1" ht="57.75" customHeight="1">
      <c r="A2" s="315"/>
      <c r="B2" s="315"/>
      <c r="C2" s="315"/>
      <c r="D2" s="315"/>
      <c r="E2" s="315"/>
      <c r="F2" s="315"/>
      <c r="G2" s="315"/>
      <c r="H2" s="315"/>
      <c r="I2" s="315"/>
      <c r="J2" s="315"/>
      <c r="K2" s="315"/>
      <c r="L2" s="315"/>
      <c r="M2" s="315"/>
      <c r="N2" s="315"/>
      <c r="O2" s="315"/>
      <c r="P2" s="135"/>
      <c r="Q2" s="135"/>
      <c r="R2" s="135"/>
      <c r="S2" s="135"/>
      <c r="T2" s="135"/>
      <c r="U2" s="135"/>
    </row>
    <row r="3" spans="1:21" s="24" customFormat="1">
      <c r="A3"/>
      <c r="B3"/>
      <c r="C3"/>
      <c r="D3"/>
      <c r="E3" s="46"/>
      <c r="F3" s="47"/>
      <c r="G3"/>
      <c r="H3"/>
      <c r="I3"/>
      <c r="J3"/>
      <c r="K3"/>
      <c r="L3"/>
      <c r="M3"/>
    </row>
    <row r="4" spans="1:21" s="24" customFormat="1">
      <c r="A4"/>
      <c r="B4"/>
      <c r="C4"/>
      <c r="D4"/>
      <c r="E4" s="70">
        <f ca="1">TODAY()</f>
        <v>44878</v>
      </c>
      <c r="F4" s="78">
        <f ca="1">NOW()</f>
        <v>44878.303923611114</v>
      </c>
      <c r="G4"/>
      <c r="H4"/>
      <c r="I4"/>
      <c r="J4"/>
      <c r="K4"/>
      <c r="L4"/>
      <c r="M4"/>
      <c r="N4"/>
      <c r="O4"/>
      <c r="P4"/>
      <c r="Q4"/>
      <c r="R4"/>
      <c r="S4"/>
      <c r="T4"/>
      <c r="U4"/>
    </row>
    <row r="5" spans="1:21" s="24" customFormat="1">
      <c r="A5"/>
      <c r="B5"/>
      <c r="C5"/>
      <c r="D5"/>
      <c r="E5" s="81"/>
      <c r="F5" s="78"/>
      <c r="G5"/>
      <c r="H5"/>
      <c r="I5"/>
      <c r="J5"/>
      <c r="K5"/>
      <c r="L5"/>
      <c r="M5"/>
      <c r="N5"/>
      <c r="O5"/>
      <c r="P5"/>
      <c r="Q5"/>
      <c r="R5"/>
      <c r="S5"/>
      <c r="T5"/>
      <c r="U5"/>
    </row>
    <row r="6" spans="1:21" s="24" customFormat="1" ht="20.100000000000001">
      <c r="A6"/>
      <c r="B6"/>
      <c r="C6"/>
      <c r="D6"/>
      <c r="E6" s="344" t="s">
        <v>297</v>
      </c>
      <c r="F6" s="344"/>
      <c r="G6"/>
      <c r="H6"/>
      <c r="I6"/>
      <c r="J6"/>
      <c r="K6"/>
      <c r="L6"/>
      <c r="M6"/>
      <c r="N6"/>
      <c r="O6"/>
      <c r="P6"/>
      <c r="Q6"/>
      <c r="R6"/>
      <c r="S6"/>
      <c r="T6"/>
      <c r="U6"/>
    </row>
    <row r="7" spans="1:21" s="24" customFormat="1" ht="20.100000000000001">
      <c r="A7"/>
      <c r="B7"/>
      <c r="C7"/>
      <c r="D7"/>
      <c r="E7" s="101" t="s">
        <v>231</v>
      </c>
      <c r="F7" s="101" t="s">
        <v>288</v>
      </c>
      <c r="G7"/>
      <c r="H7"/>
      <c r="I7"/>
      <c r="J7"/>
      <c r="K7"/>
      <c r="L7"/>
      <c r="M7"/>
      <c r="N7"/>
      <c r="O7"/>
      <c r="P7"/>
      <c r="Q7"/>
      <c r="R7"/>
      <c r="S7"/>
      <c r="T7"/>
      <c r="U7"/>
    </row>
    <row r="8" spans="1:21" s="24" customFormat="1" ht="20.100000000000001">
      <c r="A8"/>
      <c r="B8"/>
      <c r="C8"/>
      <c r="D8"/>
      <c r="E8" s="102"/>
      <c r="F8" s="102"/>
      <c r="G8"/>
      <c r="H8"/>
      <c r="I8"/>
      <c r="J8"/>
      <c r="K8"/>
      <c r="L8"/>
      <c r="M8"/>
      <c r="N8"/>
      <c r="O8"/>
      <c r="P8"/>
      <c r="Q8"/>
      <c r="R8"/>
      <c r="S8"/>
      <c r="T8"/>
      <c r="U8"/>
    </row>
    <row r="9" spans="1:21" s="24" customFormat="1" ht="20.100000000000001">
      <c r="A9"/>
      <c r="B9"/>
      <c r="C9"/>
      <c r="D9"/>
      <c r="E9" s="103" t="s">
        <v>298</v>
      </c>
      <c r="F9" s="103">
        <f ca="1">+'- A -'!R22+'- B -'!R22+'- C -'!R22+'- D -'!R22+'- E -'!R22+'- F -'!R22+'- G -'!R22+'- H -'!R22</f>
        <v>0</v>
      </c>
      <c r="G9"/>
      <c r="H9"/>
      <c r="I9"/>
      <c r="J9"/>
      <c r="K9"/>
      <c r="L9"/>
      <c r="M9"/>
      <c r="N9"/>
      <c r="O9"/>
      <c r="P9"/>
      <c r="Q9"/>
      <c r="R9"/>
      <c r="S9"/>
      <c r="T9"/>
      <c r="U9"/>
    </row>
    <row r="10" spans="1:21" s="24" customFormat="1" ht="20.100000000000001" hidden="1">
      <c r="A10"/>
      <c r="B10"/>
      <c r="C10"/>
      <c r="D10"/>
      <c r="E10" s="103" t="s">
        <v>299</v>
      </c>
      <c r="F10" s="103">
        <f ca="1">+'8vos de final'!M42</f>
        <v>0</v>
      </c>
      <c r="G10"/>
      <c r="H10"/>
      <c r="I10"/>
      <c r="J10"/>
      <c r="K10"/>
      <c r="L10"/>
      <c r="M10"/>
      <c r="N10"/>
      <c r="O10"/>
      <c r="P10"/>
      <c r="Q10"/>
      <c r="R10"/>
      <c r="S10"/>
      <c r="T10"/>
      <c r="U10"/>
    </row>
    <row r="11" spans="1:21" s="24" customFormat="1" ht="20.100000000000001" hidden="1">
      <c r="A11"/>
      <c r="B11"/>
      <c r="C11"/>
      <c r="D11"/>
      <c r="E11" s="103" t="s">
        <v>300</v>
      </c>
      <c r="F11" s="103">
        <f ca="1">+'4tos de final'!N25</f>
        <v>0</v>
      </c>
      <c r="G11"/>
      <c r="H11"/>
      <c r="I11"/>
      <c r="J11"/>
      <c r="K11"/>
      <c r="L11"/>
      <c r="M11"/>
      <c r="N11"/>
      <c r="O11"/>
      <c r="P11"/>
      <c r="Q11"/>
      <c r="R11"/>
      <c r="S11"/>
      <c r="T11"/>
      <c r="U11"/>
    </row>
    <row r="12" spans="1:21" ht="20.100000000000001" hidden="1">
      <c r="E12" s="103" t="s">
        <v>301</v>
      </c>
      <c r="F12" s="103">
        <f ca="1">+Semifinal!N15</f>
        <v>0</v>
      </c>
    </row>
    <row r="13" spans="1:21" ht="20.100000000000001" hidden="1">
      <c r="E13" s="103" t="s">
        <v>302</v>
      </c>
      <c r="F13" s="103">
        <f ca="1">+Final!L9+Final!M9</f>
        <v>0</v>
      </c>
    </row>
    <row r="14" spans="1:21" ht="20.100000000000001" hidden="1">
      <c r="E14" s="103" t="s">
        <v>303</v>
      </c>
      <c r="F14" s="103">
        <f ca="1">+Final!L16+Final!M16</f>
        <v>0</v>
      </c>
    </row>
    <row r="15" spans="1:21" ht="20.100000000000001" hidden="1">
      <c r="E15" s="103" t="s">
        <v>295</v>
      </c>
      <c r="F15" s="103">
        <f>+Final!N21</f>
        <v>0</v>
      </c>
    </row>
    <row r="16" spans="1:21" ht="12.95" hidden="1" thickBot="1"/>
    <row r="17" spans="5:7" ht="25.5" hidden="1" thickBot="1">
      <c r="E17" s="104" t="s">
        <v>248</v>
      </c>
      <c r="F17" s="105"/>
      <c r="G17" s="106">
        <f ca="1">SUM(F9:F15)</f>
        <v>0</v>
      </c>
    </row>
  </sheetData>
  <sheetProtection algorithmName="SHA-512" hashValue="Hr6J1pws2Xc+08R1mGbzKrC4as4VdIq6tWc62ESM16U0pxP/i0KyIwhhzeMlprdvE/Wd09L5lVVnf1pcQWrgHQ==" saltValue="Ccnz/NDUjikGXvF9LvHruQ==" spinCount="100000" sheet="1" selectLockedCells="1" selectUnlockedCells="1"/>
  <customSheetViews>
    <customSheetView guid="{387210E2-BDFB-42E5-A6C7-A37C9701EAB6}" showGridLines="0">
      <selection activeCell="F9" sqref="F9:F15"/>
      <pageMargins left="0" right="0" top="0" bottom="0" header="0" footer="0"/>
      <headerFooter alignWithMargins="0"/>
    </customSheetView>
    <customSheetView guid="{E2621C8A-2AE3-484D-B751-B92E60BB88F8}" showGridLines="0">
      <selection activeCell="F9" sqref="F9:F15"/>
      <pageMargins left="0" right="0" top="0" bottom="0" header="0" footer="0"/>
      <headerFooter alignWithMargins="0"/>
    </customSheetView>
  </customSheetViews>
  <mergeCells count="2">
    <mergeCell ref="A1:O2"/>
    <mergeCell ref="E6:F6"/>
  </mergeCells>
  <phoneticPr fontId="38" type="noConversion"/>
  <conditionalFormatting sqref="E9:F15">
    <cfRule type="expression" dxfId="2" priority="1" stopIfTrue="1">
      <formula>IF(OR($L$6="en juego",$L$6="hoy!"),1,0)</formula>
    </cfRule>
  </conditionalFormatting>
  <pageMargins left="0.75" right="0.75" top="1" bottom="1" header="0" footer="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33">
    <tabColor indexed="10"/>
  </sheetPr>
  <dimension ref="B1:AD128"/>
  <sheetViews>
    <sheetView showGridLines="0" showRowColHeaders="0" workbookViewId="0">
      <selection activeCell="I24" sqref="I24:I30"/>
    </sheetView>
  </sheetViews>
  <sheetFormatPr defaultRowHeight="12.6"/>
  <cols>
    <col min="1" max="1" width="0.42578125" customWidth="1"/>
    <col min="2" max="2" width="10.42578125" bestFit="1" customWidth="1"/>
    <col min="3" max="3" width="2" customWidth="1"/>
    <col min="4" max="4" width="3.85546875" customWidth="1"/>
    <col min="5" max="5" width="2.42578125" bestFit="1" customWidth="1"/>
    <col min="6" max="6" width="9.85546875" bestFit="1" customWidth="1"/>
    <col min="7" max="7" width="1.5703125" customWidth="1"/>
    <col min="8" max="8" width="3.85546875" customWidth="1"/>
    <col min="9" max="9" width="11.42578125" customWidth="1"/>
    <col min="10" max="10" width="2.140625" customWidth="1"/>
    <col min="11" max="11" width="4.7109375" customWidth="1"/>
    <col min="12" max="12" width="2" customWidth="1"/>
    <col min="13" max="13" width="11.42578125" customWidth="1"/>
    <col min="14" max="14" width="2.7109375" customWidth="1"/>
    <col min="15" max="15" width="1.5703125" customWidth="1"/>
    <col min="16" max="16" width="11.28515625" bestFit="1" customWidth="1"/>
    <col min="17" max="17" width="2.7109375" customWidth="1"/>
    <col min="18" max="18" width="5.85546875" customWidth="1"/>
    <col min="19" max="19" width="2.140625" customWidth="1"/>
    <col min="20" max="20" width="11.28515625" bestFit="1" customWidth="1"/>
    <col min="21" max="21" width="2" customWidth="1"/>
    <col min="22" max="22" width="1.85546875" customWidth="1"/>
    <col min="23" max="23" width="7.7109375" bestFit="1" customWidth="1"/>
    <col min="24" max="24" width="3.85546875" customWidth="1"/>
    <col min="25" max="25" width="3" customWidth="1"/>
    <col min="26" max="26" width="4" customWidth="1"/>
    <col min="27" max="256" width="11.42578125" customWidth="1"/>
  </cols>
  <sheetData>
    <row r="1" spans="2:30" ht="12.95" thickBot="1"/>
    <row r="2" spans="2:30" ht="13.5" thickBot="1">
      <c r="B2" s="373" t="s">
        <v>304</v>
      </c>
      <c r="C2" s="374"/>
      <c r="D2" s="374"/>
      <c r="E2" s="374"/>
      <c r="F2" s="375"/>
      <c r="G2" s="4"/>
      <c r="H2" s="4"/>
      <c r="I2" s="376" t="s">
        <v>305</v>
      </c>
      <c r="J2" s="377"/>
      <c r="K2" s="377"/>
      <c r="L2" s="377"/>
      <c r="M2" s="378"/>
      <c r="N2" s="4"/>
      <c r="O2" s="4"/>
      <c r="P2" s="379" t="s">
        <v>306</v>
      </c>
      <c r="Q2" s="380"/>
      <c r="R2" s="380"/>
      <c r="S2" s="380"/>
      <c r="T2" s="381"/>
      <c r="U2" s="4"/>
      <c r="V2" s="4"/>
      <c r="W2" s="382" t="s">
        <v>307</v>
      </c>
      <c r="X2" s="383"/>
      <c r="Y2" s="383"/>
      <c r="Z2" s="383"/>
      <c r="AA2" s="384"/>
      <c r="AB2" s="4"/>
    </row>
    <row r="3" spans="2:30">
      <c r="B3" s="4"/>
      <c r="C3" s="4"/>
      <c r="D3" s="4"/>
      <c r="E3" s="4"/>
      <c r="F3" s="4"/>
      <c r="G3" s="4"/>
      <c r="H3" s="4"/>
      <c r="I3" s="4"/>
      <c r="J3" s="4"/>
      <c r="K3" s="4"/>
      <c r="L3" s="4"/>
      <c r="M3" s="4"/>
      <c r="N3" s="4"/>
      <c r="O3" s="4"/>
      <c r="P3" s="4"/>
      <c r="Q3" s="4"/>
      <c r="R3" s="4"/>
      <c r="S3" s="4"/>
      <c r="T3" s="4"/>
      <c r="U3" s="4"/>
      <c r="V3" s="4"/>
      <c r="W3" s="4"/>
      <c r="X3" s="4"/>
      <c r="Y3" s="4"/>
      <c r="Z3" s="4"/>
      <c r="AA3" s="4"/>
      <c r="AB3" s="4"/>
    </row>
    <row r="4" spans="2:30">
      <c r="B4" s="6" t="str">
        <f>+Fixture!B4</f>
        <v>Qatar</v>
      </c>
      <c r="C4" s="128"/>
      <c r="D4" s="108"/>
      <c r="E4" s="128"/>
      <c r="F4" s="7" t="str">
        <f>+Fixture!F4</f>
        <v>Ecuador</v>
      </c>
      <c r="G4" s="6"/>
      <c r="H4" s="6"/>
      <c r="I4" s="6" t="str">
        <f>+Fixture!I4</f>
        <v>Inglaterra</v>
      </c>
      <c r="J4" s="128"/>
      <c r="K4" s="108"/>
      <c r="L4" s="128"/>
      <c r="M4" s="7" t="str">
        <f>+Fixture!M4</f>
        <v>Iran</v>
      </c>
      <c r="N4" s="6"/>
      <c r="O4" s="6"/>
      <c r="P4" s="6" t="str">
        <f>+Fixture!P4</f>
        <v>Argentina</v>
      </c>
      <c r="Q4" s="128"/>
      <c r="R4" s="108"/>
      <c r="S4" s="128"/>
      <c r="T4" s="7" t="str">
        <f>+Fixture!T4</f>
        <v>Arabia Saudi</v>
      </c>
      <c r="U4" s="4"/>
      <c r="V4" s="4"/>
      <c r="W4" s="6" t="str">
        <f>+Fixture!W4</f>
        <v>Francia</v>
      </c>
      <c r="X4" s="128"/>
      <c r="Y4" s="108"/>
      <c r="Z4" s="128"/>
      <c r="AA4" s="7" t="str">
        <f>+Fixture!AA4</f>
        <v>Australia</v>
      </c>
      <c r="AB4" s="4"/>
    </row>
    <row r="5" spans="2:30" ht="4.5" customHeight="1">
      <c r="B5" s="6"/>
      <c r="C5" s="108"/>
      <c r="D5" s="108"/>
      <c r="E5" s="108"/>
      <c r="F5" s="7"/>
      <c r="G5" s="6"/>
      <c r="H5" s="6"/>
      <c r="I5" s="4"/>
      <c r="J5" s="108"/>
      <c r="K5" s="108"/>
      <c r="L5" s="108"/>
      <c r="M5" s="4"/>
      <c r="N5" s="6"/>
      <c r="O5" s="6"/>
      <c r="P5" s="4"/>
      <c r="Q5" s="108"/>
      <c r="R5" s="108"/>
      <c r="S5" s="108"/>
      <c r="T5" s="4"/>
      <c r="U5" s="4"/>
      <c r="V5" s="4"/>
      <c r="W5" s="4"/>
      <c r="X5" s="108"/>
      <c r="Y5" s="108"/>
      <c r="Z5" s="108"/>
      <c r="AA5" s="4"/>
      <c r="AB5" s="4"/>
      <c r="AC5" s="4"/>
      <c r="AD5" s="4"/>
    </row>
    <row r="6" spans="2:30">
      <c r="B6" s="6" t="str">
        <f>+Fixture!B6</f>
        <v>Senegal</v>
      </c>
      <c r="C6" s="128"/>
      <c r="D6" s="108"/>
      <c r="E6" s="128"/>
      <c r="F6" s="7" t="str">
        <f>+Fixture!F6</f>
        <v>Netherlands</v>
      </c>
      <c r="G6" s="6"/>
      <c r="H6" s="6"/>
      <c r="I6" s="6" t="str">
        <f>+Fixture!I6</f>
        <v>USA</v>
      </c>
      <c r="J6" s="128"/>
      <c r="K6" s="108"/>
      <c r="L6" s="128"/>
      <c r="M6" s="7" t="str">
        <f>+Fixture!M6</f>
        <v>Gales</v>
      </c>
      <c r="N6" s="6"/>
      <c r="O6" s="6"/>
      <c r="P6" s="6" t="str">
        <f>+Fixture!P6</f>
        <v>Mexico</v>
      </c>
      <c r="Q6" s="128"/>
      <c r="R6" s="108"/>
      <c r="S6" s="128"/>
      <c r="T6" s="7" t="str">
        <f>+Fixture!T6</f>
        <v>Polonia</v>
      </c>
      <c r="U6" s="4"/>
      <c r="V6" s="4"/>
      <c r="W6" s="6" t="str">
        <f>+Fixture!W6</f>
        <v>Dinamarca</v>
      </c>
      <c r="X6" s="128"/>
      <c r="Y6" s="108"/>
      <c r="Z6" s="128"/>
      <c r="AA6" s="7" t="str">
        <f>+Fixture!AA6</f>
        <v>Tunez</v>
      </c>
      <c r="AB6" s="4"/>
      <c r="AC6" s="4"/>
      <c r="AD6" s="4"/>
    </row>
    <row r="7" spans="2:30" ht="3.75" customHeight="1">
      <c r="B7" s="6"/>
      <c r="C7" s="108"/>
      <c r="D7" s="108"/>
      <c r="E7" s="108"/>
      <c r="F7" s="7"/>
      <c r="G7" s="6"/>
      <c r="H7" s="6"/>
      <c r="I7" s="4"/>
      <c r="J7" s="108"/>
      <c r="K7" s="108"/>
      <c r="L7" s="108"/>
      <c r="M7" s="4"/>
      <c r="N7" s="6"/>
      <c r="O7" s="6"/>
      <c r="P7" s="4"/>
      <c r="Q7" s="108"/>
      <c r="R7" s="108"/>
      <c r="S7" s="108"/>
      <c r="T7" s="4"/>
      <c r="U7" s="4"/>
      <c r="V7" s="4"/>
      <c r="W7" s="4"/>
      <c r="X7" s="108"/>
      <c r="Y7" s="108"/>
      <c r="Z7" s="108"/>
      <c r="AA7" s="4"/>
      <c r="AB7" s="4"/>
      <c r="AC7" s="4"/>
      <c r="AD7" s="4"/>
    </row>
    <row r="8" spans="2:30">
      <c r="B8" s="6" t="str">
        <f>+Fixture!B8</f>
        <v>Qatar</v>
      </c>
      <c r="C8" s="128"/>
      <c r="D8" s="108"/>
      <c r="E8" s="128"/>
      <c r="F8" s="7" t="str">
        <f>+Fixture!F8</f>
        <v>Senegal</v>
      </c>
      <c r="G8" s="6"/>
      <c r="H8" s="6"/>
      <c r="I8" s="6" t="str">
        <f>+Fixture!I8</f>
        <v>Gales</v>
      </c>
      <c r="J8" s="128"/>
      <c r="K8" s="108"/>
      <c r="L8" s="128"/>
      <c r="M8" s="7" t="str">
        <f>+Fixture!M8</f>
        <v>Iran</v>
      </c>
      <c r="N8" s="6"/>
      <c r="O8" s="6"/>
      <c r="P8" s="6" t="str">
        <f>+Fixture!P8</f>
        <v>Polonia</v>
      </c>
      <c r="Q8" s="128"/>
      <c r="R8" s="108"/>
      <c r="S8" s="128"/>
      <c r="T8" s="7" t="str">
        <f>+Fixture!T8</f>
        <v>Arabia Saudi</v>
      </c>
      <c r="U8" s="4"/>
      <c r="V8" s="4"/>
      <c r="W8" s="6" t="str">
        <f>+Fixture!W8</f>
        <v>Francia</v>
      </c>
      <c r="X8" s="128"/>
      <c r="Y8" s="108"/>
      <c r="Z8" s="128"/>
      <c r="AA8" s="7" t="str">
        <f>+Fixture!AA8</f>
        <v>Dinamarca</v>
      </c>
      <c r="AB8" s="4"/>
      <c r="AC8" s="4"/>
      <c r="AD8" s="4"/>
    </row>
    <row r="9" spans="2:30" ht="3.75" customHeight="1">
      <c r="B9" s="6"/>
      <c r="C9" s="108"/>
      <c r="D9" s="108"/>
      <c r="E9" s="108"/>
      <c r="F9" s="7"/>
      <c r="G9" s="6"/>
      <c r="H9" s="6"/>
      <c r="I9" s="4"/>
      <c r="J9" s="108"/>
      <c r="K9" s="108"/>
      <c r="L9" s="108"/>
      <c r="M9" s="4"/>
      <c r="N9" s="6"/>
      <c r="O9" s="6"/>
      <c r="P9" s="4"/>
      <c r="Q9" s="108"/>
      <c r="R9" s="108"/>
      <c r="S9" s="108"/>
      <c r="T9" s="4"/>
      <c r="U9" s="4"/>
      <c r="V9" s="4"/>
      <c r="W9" s="4"/>
      <c r="X9" s="108"/>
      <c r="Y9" s="108"/>
      <c r="Z9" s="108"/>
      <c r="AA9" s="4"/>
      <c r="AB9" s="4"/>
      <c r="AC9" s="4"/>
      <c r="AD9" s="4"/>
    </row>
    <row r="10" spans="2:30">
      <c r="B10" s="6" t="str">
        <f>+Fixture!B10</f>
        <v>Netherlands</v>
      </c>
      <c r="C10" s="128"/>
      <c r="D10" s="108"/>
      <c r="E10" s="128"/>
      <c r="F10" s="7" t="str">
        <f>+Fixture!F10</f>
        <v>Ecuador</v>
      </c>
      <c r="G10" s="6"/>
      <c r="H10" s="6"/>
      <c r="I10" s="6" t="str">
        <f>+Fixture!I10</f>
        <v>Inglaterra</v>
      </c>
      <c r="J10" s="128"/>
      <c r="K10" s="108"/>
      <c r="L10" s="128"/>
      <c r="M10" s="7" t="str">
        <f>+Fixture!M10</f>
        <v>USA</v>
      </c>
      <c r="N10" s="6"/>
      <c r="O10" s="6"/>
      <c r="P10" s="6" t="str">
        <f>+Fixture!P10</f>
        <v>Argentina</v>
      </c>
      <c r="Q10" s="128"/>
      <c r="R10" s="108"/>
      <c r="S10" s="128"/>
      <c r="T10" s="7" t="str">
        <f>+Fixture!T10</f>
        <v>Mexico</v>
      </c>
      <c r="U10" s="4"/>
      <c r="V10" s="4"/>
      <c r="W10" s="6" t="str">
        <f>+Fixture!W10</f>
        <v>Tunez</v>
      </c>
      <c r="X10" s="128"/>
      <c r="Y10" s="108"/>
      <c r="Z10" s="128"/>
      <c r="AA10" s="7" t="str">
        <f>+Fixture!AA10</f>
        <v>Australia</v>
      </c>
      <c r="AB10" s="4"/>
      <c r="AC10" s="4"/>
      <c r="AD10" s="4"/>
    </row>
    <row r="11" spans="2:30" ht="3.75" customHeight="1">
      <c r="B11" s="6"/>
      <c r="C11" s="108"/>
      <c r="D11" s="108"/>
      <c r="E11" s="108"/>
      <c r="F11" s="7"/>
      <c r="G11" s="6"/>
      <c r="H11" s="6"/>
      <c r="I11" s="6"/>
      <c r="J11" s="108"/>
      <c r="K11" s="108"/>
      <c r="L11" s="108"/>
      <c r="M11" s="7"/>
      <c r="N11" s="6"/>
      <c r="O11" s="6"/>
      <c r="P11" s="6"/>
      <c r="Q11" s="108"/>
      <c r="R11" s="108"/>
      <c r="S11" s="108"/>
      <c r="T11" s="7"/>
      <c r="U11" s="4"/>
      <c r="V11" s="4"/>
      <c r="W11" s="6"/>
      <c r="X11" s="108"/>
      <c r="Y11" s="108"/>
      <c r="Z11" s="108"/>
      <c r="AA11" s="7"/>
      <c r="AB11" s="4"/>
      <c r="AC11" s="4"/>
      <c r="AD11" s="4"/>
    </row>
    <row r="12" spans="2:30">
      <c r="B12" s="6" t="str">
        <f>+Fixture!B12</f>
        <v>Ecuador</v>
      </c>
      <c r="C12" s="128"/>
      <c r="D12" s="108"/>
      <c r="E12" s="128"/>
      <c r="F12" s="7" t="str">
        <f>+Fixture!F12</f>
        <v>Senegal</v>
      </c>
      <c r="G12" s="6"/>
      <c r="H12" s="6"/>
      <c r="I12" s="6" t="str">
        <f>+Fixture!I12</f>
        <v>Iran</v>
      </c>
      <c r="J12" s="128"/>
      <c r="K12" s="110"/>
      <c r="L12" s="128"/>
      <c r="M12" s="7" t="str">
        <f>+Fixture!M12</f>
        <v>USA</v>
      </c>
      <c r="N12" s="6"/>
      <c r="O12" s="6"/>
      <c r="P12" s="6" t="str">
        <f>+Fixture!P12</f>
        <v>Polonia</v>
      </c>
      <c r="Q12" s="128"/>
      <c r="R12" s="108"/>
      <c r="S12" s="128"/>
      <c r="T12" s="7" t="str">
        <f>+Fixture!T12</f>
        <v>Argentina</v>
      </c>
      <c r="U12" s="4"/>
      <c r="V12" s="4"/>
      <c r="W12" s="6" t="str">
        <f>+Fixture!W12</f>
        <v>Tunez</v>
      </c>
      <c r="X12" s="128"/>
      <c r="Y12" s="108"/>
      <c r="Z12" s="128"/>
      <c r="AA12" s="7" t="str">
        <f>+Fixture!AA12</f>
        <v>Francia</v>
      </c>
      <c r="AB12" s="4"/>
      <c r="AC12" s="4"/>
      <c r="AD12" s="4"/>
    </row>
    <row r="13" spans="2:30" ht="2.25" customHeight="1">
      <c r="B13" s="6"/>
      <c r="C13" s="108"/>
      <c r="D13" s="108"/>
      <c r="E13" s="108"/>
      <c r="F13" s="7"/>
      <c r="G13" s="6"/>
      <c r="H13" s="6"/>
      <c r="I13" s="6"/>
      <c r="J13" s="108"/>
      <c r="K13" s="108"/>
      <c r="L13" s="108"/>
      <c r="M13" s="7"/>
      <c r="N13" s="6"/>
      <c r="O13" s="6"/>
      <c r="P13" s="6"/>
      <c r="Q13" s="108"/>
      <c r="R13" s="108"/>
      <c r="S13" s="108"/>
      <c r="T13" s="7"/>
      <c r="U13" s="4"/>
      <c r="V13" s="4"/>
      <c r="W13" s="6"/>
      <c r="X13" s="108"/>
      <c r="Y13" s="108"/>
      <c r="Z13" s="108"/>
      <c r="AA13" s="7"/>
      <c r="AB13" s="4"/>
      <c r="AC13" s="4"/>
      <c r="AD13" s="4"/>
    </row>
    <row r="14" spans="2:30">
      <c r="B14" s="6" t="str">
        <f>+Fixture!B14</f>
        <v>Netherlands</v>
      </c>
      <c r="C14" s="128"/>
      <c r="D14" s="108"/>
      <c r="E14" s="128"/>
      <c r="F14" s="7" t="str">
        <f>+Fixture!F14</f>
        <v>Qatar</v>
      </c>
      <c r="G14" s="6"/>
      <c r="H14" s="6"/>
      <c r="I14" s="6" t="str">
        <f>+Fixture!I14</f>
        <v>Gales</v>
      </c>
      <c r="J14" s="128"/>
      <c r="K14" s="108"/>
      <c r="L14" s="128"/>
      <c r="M14" s="7" t="str">
        <f>+Fixture!M14</f>
        <v>Inglaterra</v>
      </c>
      <c r="N14" s="6"/>
      <c r="O14" s="6"/>
      <c r="P14" s="6" t="str">
        <f>+Fixture!P14</f>
        <v>Arabia Saudi</v>
      </c>
      <c r="Q14" s="128"/>
      <c r="R14" s="108"/>
      <c r="S14" s="128"/>
      <c r="T14" s="7" t="str">
        <f>+Fixture!T14</f>
        <v>Mexico</v>
      </c>
      <c r="U14" s="4"/>
      <c r="V14" s="4"/>
      <c r="W14" s="6" t="str">
        <f>+Fixture!W14</f>
        <v>Australia</v>
      </c>
      <c r="X14" s="128"/>
      <c r="Y14" s="108"/>
      <c r="Z14" s="128"/>
      <c r="AA14" s="7" t="str">
        <f>+Fixture!AA14</f>
        <v>Dinamarca</v>
      </c>
      <c r="AB14" s="4"/>
      <c r="AC14" s="4"/>
      <c r="AD14" s="4"/>
    </row>
    <row r="15" spans="2:30" ht="7.5" customHeight="1" thickBot="1">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2:30" ht="13.5" thickBot="1">
      <c r="B16" s="385" t="s">
        <v>308</v>
      </c>
      <c r="C16" s="386"/>
      <c r="D16" s="386"/>
      <c r="E16" s="386"/>
      <c r="F16" s="387"/>
      <c r="G16" s="4"/>
      <c r="H16" s="4"/>
      <c r="I16" s="388" t="s">
        <v>309</v>
      </c>
      <c r="J16" s="389"/>
      <c r="K16" s="389"/>
      <c r="L16" s="389"/>
      <c r="M16" s="390"/>
      <c r="N16" s="4"/>
      <c r="O16" s="4"/>
      <c r="P16" s="391" t="s">
        <v>310</v>
      </c>
      <c r="Q16" s="392"/>
      <c r="R16" s="392"/>
      <c r="S16" s="392"/>
      <c r="T16" s="393"/>
      <c r="U16" s="4"/>
      <c r="V16" s="4"/>
      <c r="W16" s="394" t="s">
        <v>311</v>
      </c>
      <c r="X16" s="395"/>
      <c r="Y16" s="395"/>
      <c r="Z16" s="395"/>
      <c r="AA16" s="396"/>
      <c r="AB16" s="4"/>
      <c r="AC16" s="4"/>
      <c r="AD16" s="4"/>
    </row>
    <row r="17" spans="2:30">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2:30">
      <c r="B18" s="6" t="str">
        <f>+Fixture!B18</f>
        <v>España</v>
      </c>
      <c r="C18" s="128"/>
      <c r="D18" s="108"/>
      <c r="E18" s="128"/>
      <c r="F18" s="7" t="str">
        <f>+Fixture!F18</f>
        <v>Costa Rica</v>
      </c>
      <c r="G18" s="6"/>
      <c r="H18" s="6"/>
      <c r="I18" s="6" t="str">
        <f>+Fixture!I18</f>
        <v>Belgica</v>
      </c>
      <c r="J18" s="128"/>
      <c r="K18" s="108"/>
      <c r="L18" s="128"/>
      <c r="M18" s="7" t="str">
        <f>+Fixture!M18</f>
        <v>Canada</v>
      </c>
      <c r="N18" s="6"/>
      <c r="O18" s="6"/>
      <c r="P18" s="6" t="str">
        <f>+Fixture!P18</f>
        <v>Suiza</v>
      </c>
      <c r="Q18" s="128"/>
      <c r="R18" s="108"/>
      <c r="S18" s="128"/>
      <c r="T18" s="7" t="str">
        <f>+Fixture!T18</f>
        <v>Camerun</v>
      </c>
      <c r="U18" s="4"/>
      <c r="V18" s="4"/>
      <c r="W18" s="6" t="str">
        <f>+Fixture!W18</f>
        <v>Uruguay</v>
      </c>
      <c r="X18" s="128"/>
      <c r="Y18" s="108"/>
      <c r="Z18" s="128"/>
      <c r="AA18" s="7" t="str">
        <f>+Fixture!AA18</f>
        <v>Corea del Sur</v>
      </c>
      <c r="AB18" s="4"/>
      <c r="AC18" s="4"/>
      <c r="AD18" s="4"/>
    </row>
    <row r="19" spans="2:30" ht="3" customHeight="1">
      <c r="B19" s="4"/>
      <c r="C19" s="108"/>
      <c r="D19" s="108"/>
      <c r="E19" s="108"/>
      <c r="F19" s="4"/>
      <c r="G19" s="6"/>
      <c r="H19" s="6"/>
      <c r="I19" s="4"/>
      <c r="J19" s="108"/>
      <c r="K19" s="108"/>
      <c r="L19" s="108"/>
      <c r="M19" s="4"/>
      <c r="N19" s="6"/>
      <c r="O19" s="6"/>
      <c r="P19" s="4"/>
      <c r="Q19" s="108"/>
      <c r="R19" s="108"/>
      <c r="S19" s="108"/>
      <c r="T19" s="4"/>
      <c r="U19" s="4"/>
      <c r="V19" s="4"/>
      <c r="W19" s="6"/>
      <c r="X19" s="108"/>
      <c r="Y19" s="108"/>
      <c r="Z19" s="108"/>
      <c r="AA19" s="7"/>
      <c r="AB19" s="4"/>
      <c r="AC19" s="4"/>
      <c r="AD19" s="4"/>
    </row>
    <row r="20" spans="2:30">
      <c r="B20" s="6" t="str">
        <f>+Fixture!B20</f>
        <v>Alemania</v>
      </c>
      <c r="C20" s="128"/>
      <c r="D20" s="108"/>
      <c r="E20" s="128"/>
      <c r="F20" s="7" t="str">
        <f>+Fixture!F20</f>
        <v>Japon</v>
      </c>
      <c r="G20" s="6"/>
      <c r="H20" s="6"/>
      <c r="I20" s="6" t="str">
        <f>+Fixture!I20</f>
        <v>Marruecos</v>
      </c>
      <c r="J20" s="128"/>
      <c r="K20" s="108"/>
      <c r="L20" s="128"/>
      <c r="M20" s="7" t="str">
        <f>+Fixture!M20</f>
        <v>Croacia</v>
      </c>
      <c r="N20" s="6"/>
      <c r="O20" s="6"/>
      <c r="P20" s="6" t="str">
        <f>+Fixture!P20</f>
        <v>Brasil</v>
      </c>
      <c r="Q20" s="128"/>
      <c r="R20" s="108"/>
      <c r="S20" s="128"/>
      <c r="T20" s="7" t="str">
        <f>+Fixture!T20</f>
        <v>Serbia</v>
      </c>
      <c r="U20" s="4"/>
      <c r="V20" s="4"/>
      <c r="W20" s="6" t="str">
        <f>+Fixture!W20</f>
        <v>Portugal</v>
      </c>
      <c r="X20" s="128"/>
      <c r="Y20" s="108"/>
      <c r="Z20" s="128"/>
      <c r="AA20" s="7" t="str">
        <f>+Fixture!AA20</f>
        <v>Ghana</v>
      </c>
      <c r="AB20" s="4"/>
      <c r="AC20" s="4"/>
      <c r="AD20" s="4"/>
    </row>
    <row r="21" spans="2:30" ht="5.25" customHeight="1">
      <c r="B21" s="4"/>
      <c r="C21" s="108"/>
      <c r="D21" s="108"/>
      <c r="E21" s="108"/>
      <c r="F21" s="4"/>
      <c r="G21" s="6"/>
      <c r="H21" s="6"/>
      <c r="I21" s="4"/>
      <c r="J21" s="108"/>
      <c r="K21" s="108"/>
      <c r="L21" s="108"/>
      <c r="M21" s="4"/>
      <c r="N21" s="6"/>
      <c r="O21" s="6"/>
      <c r="P21" s="4"/>
      <c r="Q21" s="108"/>
      <c r="R21" s="108"/>
      <c r="S21" s="108"/>
      <c r="T21" s="4"/>
      <c r="U21" s="4"/>
      <c r="V21" s="4"/>
      <c r="W21" s="6"/>
      <c r="X21" s="108"/>
      <c r="Y21" s="108"/>
      <c r="Z21" s="108"/>
      <c r="AA21" s="7"/>
      <c r="AB21" s="4"/>
      <c r="AC21" s="4"/>
      <c r="AD21" s="4"/>
    </row>
    <row r="22" spans="2:30">
      <c r="B22" s="6" t="str">
        <f>+Fixture!B22</f>
        <v>España</v>
      </c>
      <c r="C22" s="128"/>
      <c r="D22" s="108"/>
      <c r="E22" s="128"/>
      <c r="F22" s="7" t="str">
        <f>+Fixture!F22</f>
        <v>Alemania</v>
      </c>
      <c r="G22" s="6"/>
      <c r="H22" s="6"/>
      <c r="I22" s="6" t="str">
        <f>+Fixture!I22</f>
        <v>Croacia</v>
      </c>
      <c r="J22" s="128"/>
      <c r="K22" s="108"/>
      <c r="L22" s="128"/>
      <c r="M22" s="7" t="str">
        <f>+Fixture!M22</f>
        <v>Canada</v>
      </c>
      <c r="N22" s="6"/>
      <c r="O22" s="6"/>
      <c r="P22" s="6" t="str">
        <f>+Fixture!P22</f>
        <v>Brasil</v>
      </c>
      <c r="Q22" s="128"/>
      <c r="R22" s="108"/>
      <c r="S22" s="128"/>
      <c r="T22" s="7" t="str">
        <f>+Fixture!T22</f>
        <v>Suiza</v>
      </c>
      <c r="U22" s="4"/>
      <c r="V22" s="4"/>
      <c r="W22" s="6" t="str">
        <f>+Fixture!W22</f>
        <v>Corea del Sur</v>
      </c>
      <c r="X22" s="128"/>
      <c r="Y22" s="108"/>
      <c r="Z22" s="128"/>
      <c r="AA22" s="7" t="str">
        <f>+Fixture!AA22</f>
        <v>Ghana</v>
      </c>
      <c r="AB22" s="4"/>
      <c r="AC22" s="4"/>
      <c r="AD22" s="4"/>
    </row>
    <row r="23" spans="2:30" ht="3.75" customHeight="1">
      <c r="B23" s="4"/>
      <c r="C23" s="108"/>
      <c r="D23" s="108"/>
      <c r="E23" s="108"/>
      <c r="F23" s="4"/>
      <c r="G23" s="6"/>
      <c r="H23" s="6"/>
      <c r="I23" s="4"/>
      <c r="J23" s="108"/>
      <c r="K23" s="108"/>
      <c r="L23" s="108"/>
      <c r="M23" s="4"/>
      <c r="N23" s="6"/>
      <c r="O23" s="6"/>
      <c r="P23" s="4"/>
      <c r="Q23" s="108"/>
      <c r="R23" s="108"/>
      <c r="S23" s="108"/>
      <c r="T23" s="4"/>
      <c r="U23" s="4"/>
      <c r="V23" s="4"/>
      <c r="W23" s="6"/>
      <c r="X23" s="108"/>
      <c r="Y23" s="108"/>
      <c r="Z23" s="108"/>
      <c r="AA23" s="7"/>
      <c r="AB23" s="4"/>
      <c r="AC23" s="4"/>
      <c r="AD23" s="4"/>
    </row>
    <row r="24" spans="2:30">
      <c r="B24" s="6" t="str">
        <f>+Fixture!B24</f>
        <v>Japon</v>
      </c>
      <c r="C24" s="128"/>
      <c r="D24" s="108"/>
      <c r="E24" s="128"/>
      <c r="F24" s="7" t="str">
        <f>+Fixture!F24</f>
        <v>Costa Rica</v>
      </c>
      <c r="G24" s="6"/>
      <c r="H24" s="6"/>
      <c r="I24" s="6" t="str">
        <f>+Fixture!I24</f>
        <v>Belgica</v>
      </c>
      <c r="J24" s="128"/>
      <c r="K24" s="108"/>
      <c r="L24" s="128"/>
      <c r="M24" s="7" t="str">
        <f>+Fixture!M24</f>
        <v>Marruecos</v>
      </c>
      <c r="N24" s="6"/>
      <c r="O24" s="6"/>
      <c r="P24" s="6" t="str">
        <f>+Fixture!P24</f>
        <v>Camerun</v>
      </c>
      <c r="Q24" s="128"/>
      <c r="R24" s="108"/>
      <c r="S24" s="128"/>
      <c r="T24" s="7" t="str">
        <f>+Fixture!T24</f>
        <v>Serbia</v>
      </c>
      <c r="U24" s="4"/>
      <c r="V24" s="4"/>
      <c r="W24" s="6" t="str">
        <f>+Fixture!W24</f>
        <v>Portugal</v>
      </c>
      <c r="X24" s="128"/>
      <c r="Y24" s="108"/>
      <c r="Z24" s="128"/>
      <c r="AA24" s="7" t="str">
        <f>+Fixture!AA24</f>
        <v>Uruguay</v>
      </c>
      <c r="AB24" s="4"/>
      <c r="AC24" s="4"/>
      <c r="AD24" s="4"/>
    </row>
    <row r="25" spans="2:30" ht="5.25" customHeight="1">
      <c r="B25" s="6"/>
      <c r="C25" s="108"/>
      <c r="D25" s="108"/>
      <c r="E25" s="108"/>
      <c r="F25" s="7"/>
      <c r="G25" s="6"/>
      <c r="H25" s="6"/>
      <c r="I25" s="6"/>
      <c r="J25" s="108"/>
      <c r="K25" s="108"/>
      <c r="L25" s="108"/>
      <c r="M25" s="7"/>
      <c r="N25" s="6"/>
      <c r="O25" s="6"/>
      <c r="P25" s="6"/>
      <c r="Q25" s="108"/>
      <c r="R25" s="108"/>
      <c r="S25" s="108"/>
      <c r="T25" s="7"/>
      <c r="U25" s="4"/>
      <c r="V25" s="4"/>
      <c r="W25" s="6"/>
      <c r="X25" s="108"/>
      <c r="Y25" s="108"/>
      <c r="Z25" s="108"/>
      <c r="AA25" s="7"/>
      <c r="AB25" s="4"/>
      <c r="AC25" s="4"/>
      <c r="AD25" s="4"/>
    </row>
    <row r="26" spans="2:30">
      <c r="B26" s="6" t="str">
        <f>+Fixture!B26</f>
        <v>Costa Rica</v>
      </c>
      <c r="C26" s="128"/>
      <c r="D26" s="108"/>
      <c r="E26" s="128"/>
      <c r="F26" s="7" t="str">
        <f>+Fixture!F26</f>
        <v>Alemania</v>
      </c>
      <c r="G26" s="6"/>
      <c r="H26" s="6"/>
      <c r="I26" s="6" t="str">
        <f>+Fixture!I26</f>
        <v>Croacia</v>
      </c>
      <c r="J26" s="128"/>
      <c r="K26" s="108"/>
      <c r="L26" s="128"/>
      <c r="M26" s="7" t="str">
        <f>+Fixture!M26</f>
        <v>Belgica</v>
      </c>
      <c r="N26" s="6"/>
      <c r="O26" s="6"/>
      <c r="P26" s="6" t="str">
        <f>+Fixture!P26</f>
        <v>Camerun</v>
      </c>
      <c r="Q26" s="128"/>
      <c r="R26" s="108"/>
      <c r="S26" s="128"/>
      <c r="T26" s="7" t="str">
        <f>+Fixture!T26</f>
        <v>Brasil</v>
      </c>
      <c r="U26" s="4"/>
      <c r="V26" s="4"/>
      <c r="W26" s="6" t="str">
        <f>+Fixture!W26</f>
        <v>Corea del Sur</v>
      </c>
      <c r="X26" s="128"/>
      <c r="Y26" s="108"/>
      <c r="Z26" s="128"/>
      <c r="AA26" s="7" t="str">
        <f>+Fixture!AA26</f>
        <v>Portugal</v>
      </c>
      <c r="AB26" s="4"/>
      <c r="AC26" s="4"/>
      <c r="AD26" s="4"/>
    </row>
    <row r="27" spans="2:30" ht="3.75" customHeight="1">
      <c r="B27" s="6"/>
      <c r="C27" s="108"/>
      <c r="D27" s="108"/>
      <c r="E27" s="108"/>
      <c r="F27" s="7"/>
      <c r="G27" s="6"/>
      <c r="H27" s="6"/>
      <c r="I27" s="6"/>
      <c r="J27" s="108"/>
      <c r="K27" s="108"/>
      <c r="L27" s="108"/>
      <c r="M27" s="7"/>
      <c r="N27" s="6"/>
      <c r="O27" s="6"/>
      <c r="P27" s="6"/>
      <c r="Q27" s="108"/>
      <c r="R27" s="108"/>
      <c r="S27" s="108"/>
      <c r="T27" s="7"/>
      <c r="U27" s="4"/>
      <c r="V27" s="4"/>
      <c r="W27" s="6"/>
      <c r="X27" s="108"/>
      <c r="Y27" s="108"/>
      <c r="Z27" s="108"/>
      <c r="AA27" s="7"/>
      <c r="AB27" s="4"/>
      <c r="AC27" s="4"/>
      <c r="AD27" s="4"/>
    </row>
    <row r="28" spans="2:30">
      <c r="B28" s="6" t="str">
        <f>+Fixture!B28</f>
        <v>Japon</v>
      </c>
      <c r="C28" s="128"/>
      <c r="D28" s="108"/>
      <c r="E28" s="128"/>
      <c r="F28" s="7" t="str">
        <f>+Fixture!F28</f>
        <v>España</v>
      </c>
      <c r="G28" s="6"/>
      <c r="H28" s="6"/>
      <c r="I28" s="6" t="str">
        <f>+Fixture!I28</f>
        <v>Canada</v>
      </c>
      <c r="J28" s="128"/>
      <c r="K28" s="108"/>
      <c r="L28" s="128"/>
      <c r="M28" s="7" t="str">
        <f>+Fixture!M28</f>
        <v>Marruecos</v>
      </c>
      <c r="N28" s="6"/>
      <c r="O28" s="6"/>
      <c r="P28" s="6" t="str">
        <f>+Fixture!P28</f>
        <v>Serbia</v>
      </c>
      <c r="Q28" s="128"/>
      <c r="R28" s="108"/>
      <c r="S28" s="128"/>
      <c r="T28" s="7" t="str">
        <f>+Fixture!T28</f>
        <v>Suiza</v>
      </c>
      <c r="U28" s="4"/>
      <c r="V28" s="4"/>
      <c r="W28" s="6" t="str">
        <f>+Fixture!W28</f>
        <v>Ghana</v>
      </c>
      <c r="X28" s="128"/>
      <c r="Y28" s="108"/>
      <c r="Z28" s="128"/>
      <c r="AA28" s="7" t="str">
        <f>+Fixture!AA28</f>
        <v>Uruguay</v>
      </c>
      <c r="AB28" s="4"/>
      <c r="AC28" s="4"/>
      <c r="AD28" s="4"/>
    </row>
    <row r="29" spans="2:30" ht="12.95" thickBot="1">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2:30" ht="13.5" thickBot="1">
      <c r="B30" s="359" t="s">
        <v>312</v>
      </c>
      <c r="C30" s="360"/>
      <c r="D30" s="360"/>
      <c r="E30" s="360"/>
      <c r="F30" s="361"/>
      <c r="G30" s="4"/>
      <c r="H30" s="4"/>
      <c r="I30" s="4"/>
      <c r="J30" s="4"/>
      <c r="K30" s="4"/>
      <c r="L30" s="4"/>
      <c r="M30" s="4"/>
      <c r="N30" s="4"/>
      <c r="O30" s="4"/>
      <c r="P30" s="4"/>
      <c r="Q30" s="4"/>
      <c r="R30" s="4"/>
      <c r="S30" s="4"/>
      <c r="T30" s="4"/>
      <c r="U30" s="4"/>
      <c r="V30" s="4"/>
      <c r="W30" s="15"/>
      <c r="X30" s="15"/>
      <c r="Y30" s="15"/>
      <c r="Z30" s="15"/>
      <c r="AA30" s="15"/>
      <c r="AB30" s="4"/>
      <c r="AC30" s="4"/>
      <c r="AD30" s="4"/>
    </row>
    <row r="31" spans="2:30" ht="6.75" customHeight="1" thickBot="1">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2:30" ht="13.5" thickBot="1">
      <c r="B32" s="372"/>
      <c r="C32" s="372"/>
      <c r="D32" s="6"/>
      <c r="E32" s="372"/>
      <c r="F32" s="372"/>
      <c r="G32" s="6"/>
      <c r="H32" s="6"/>
      <c r="I32" s="359" t="s">
        <v>313</v>
      </c>
      <c r="J32" s="360"/>
      <c r="K32" s="360"/>
      <c r="L32" s="360"/>
      <c r="M32" s="361"/>
      <c r="N32" s="6"/>
      <c r="O32" s="6"/>
      <c r="P32" s="6"/>
      <c r="Q32" s="6"/>
      <c r="R32" s="6"/>
      <c r="S32" s="6"/>
      <c r="T32" s="6"/>
      <c r="U32" s="6"/>
      <c r="V32" s="6"/>
      <c r="W32" s="6"/>
      <c r="X32" s="6"/>
      <c r="Y32" s="6"/>
      <c r="Z32" s="6"/>
      <c r="AA32" s="6"/>
      <c r="AB32" s="6"/>
      <c r="AC32" s="6"/>
      <c r="AD32" s="6"/>
    </row>
    <row r="33" spans="2:30" ht="8.25" customHeight="1">
      <c r="B33" s="345" t="str">
        <f>IF(COUNTBLANK($C$4:$E$14)&gt;21,"",+'calculo A real'!F52)</f>
        <v/>
      </c>
      <c r="C33" s="347"/>
      <c r="D33" s="8"/>
      <c r="E33" s="353"/>
      <c r="F33" s="355" t="str">
        <f>IF(COUNTBLANK($J$4:$L$14)&gt;21,"",+'calculo B real'!F53)</f>
        <v/>
      </c>
      <c r="G33" s="13"/>
      <c r="H33" s="6"/>
      <c r="I33" s="6"/>
      <c r="J33" s="6"/>
      <c r="K33" s="6"/>
      <c r="L33" s="6"/>
      <c r="M33" s="6"/>
      <c r="N33" s="6"/>
      <c r="O33" s="6"/>
      <c r="P33" s="6"/>
      <c r="Q33" s="6"/>
      <c r="R33" s="6"/>
      <c r="S33" s="6"/>
      <c r="T33" s="6"/>
      <c r="U33" s="6"/>
      <c r="V33" s="6"/>
      <c r="W33" s="6"/>
      <c r="X33" s="6"/>
      <c r="Y33" s="6"/>
      <c r="Z33" s="6"/>
      <c r="AA33" s="6"/>
      <c r="AB33" s="6"/>
      <c r="AC33" s="6"/>
      <c r="AD33" s="6"/>
    </row>
    <row r="34" spans="2:30" ht="9" customHeight="1">
      <c r="B34" s="346"/>
      <c r="C34" s="348"/>
      <c r="D34" s="8"/>
      <c r="E34" s="354"/>
      <c r="F34" s="356"/>
      <c r="G34" s="11"/>
      <c r="H34" s="6"/>
      <c r="I34" s="6"/>
      <c r="J34" s="6"/>
      <c r="K34" s="6"/>
      <c r="L34" s="6"/>
      <c r="M34" s="6"/>
      <c r="N34" s="6"/>
      <c r="O34" s="6"/>
      <c r="P34" s="6"/>
      <c r="Q34" s="6"/>
      <c r="R34" s="6"/>
      <c r="S34" s="6"/>
      <c r="T34" s="6"/>
      <c r="U34" s="6"/>
      <c r="V34" s="6"/>
      <c r="W34" s="6"/>
      <c r="X34" s="6"/>
      <c r="Y34" s="6"/>
      <c r="Z34" s="6"/>
      <c r="AA34" s="6"/>
      <c r="AB34" s="6"/>
      <c r="AC34" s="6"/>
      <c r="AD34" s="6"/>
    </row>
    <row r="35" spans="2:30" ht="7.5" customHeight="1">
      <c r="B35" s="126"/>
      <c r="C35" s="122"/>
      <c r="D35" s="6"/>
      <c r="E35" s="122"/>
      <c r="F35" s="126"/>
      <c r="G35" s="12"/>
      <c r="H35" s="13"/>
      <c r="I35" s="345" t="str">
        <f>IF(AND($C33&lt;&gt;"",$E33&lt;&gt;""),IF(OR($B33="",$F33="",AND($C33=$E33,AND($C35="",$E35=""))),"OF1",IF($C33=$E33,IF($C35="v",$B33,$F33),IF($C33&gt;$E33,$B33,$F33))),"")</f>
        <v/>
      </c>
      <c r="J35" s="347"/>
      <c r="K35" s="126"/>
      <c r="L35" s="347"/>
      <c r="M35" s="345" t="str">
        <f>IF(AND($C38&lt;&gt;"",$E38&lt;&gt;""),IF(OR($B38="",$F38="",AND($C38=$E38,AND($C40="",$E40=""))),"OF2",IF($C38=$E38,IF($C40="v",$B38,$F38),IF($C38&gt;$E38,$B38,$F38))),"")</f>
        <v/>
      </c>
      <c r="N35" s="129"/>
      <c r="O35" s="6"/>
      <c r="P35" s="6"/>
      <c r="Q35" s="6"/>
      <c r="R35" s="6"/>
      <c r="S35" s="6"/>
      <c r="T35" s="6"/>
      <c r="U35" s="6"/>
      <c r="V35" s="6"/>
      <c r="W35" s="6"/>
      <c r="X35" s="6"/>
      <c r="Y35" s="6"/>
      <c r="Z35" s="6"/>
      <c r="AA35" s="16"/>
      <c r="AB35" s="6"/>
      <c r="AC35" s="6"/>
      <c r="AD35" s="6"/>
    </row>
    <row r="36" spans="2:30" ht="9" customHeight="1" thickBot="1">
      <c r="B36" s="126"/>
      <c r="C36" s="122"/>
      <c r="D36" s="6"/>
      <c r="E36" s="122"/>
      <c r="F36" s="126"/>
      <c r="G36" s="12"/>
      <c r="H36" s="6"/>
      <c r="I36" s="346" t="str">
        <f>IF(AND(D35&lt;&gt;"",D37&lt;&gt;""),IF(OR(E35="",E37="",AND(E35=E37,AND(F35="",F37=""))),"OF1",IF(E35=E37,IF(F35="v",D35,D37),IF(E35&gt;E37,D35,D37))),"")</f>
        <v/>
      </c>
      <c r="J36" s="348"/>
      <c r="K36" s="126"/>
      <c r="L36" s="348"/>
      <c r="M36" s="346" t="str">
        <f>IF(AND(H35&lt;&gt;"",H37&lt;&gt;""),IF(OR(I35="",I37="",AND(I35=I37,AND(J35="",J37=""))),"OF1",IF(I35=I37,IF(J35="v",H35,H37),IF(I35&gt;I37,H35,H37))),"")</f>
        <v/>
      </c>
      <c r="N36" s="130"/>
      <c r="O36" s="6"/>
      <c r="P36" s="6"/>
      <c r="Q36" s="6"/>
      <c r="R36" s="6"/>
      <c r="S36" s="6"/>
      <c r="T36" s="6"/>
      <c r="U36" s="6"/>
      <c r="V36" s="6"/>
      <c r="W36" s="6"/>
      <c r="X36" s="6"/>
      <c r="Y36" s="6"/>
      <c r="Z36" s="6"/>
      <c r="AA36" s="6"/>
      <c r="AB36" s="6"/>
      <c r="AC36" s="6"/>
      <c r="AD36" s="6"/>
    </row>
    <row r="37" spans="2:30" ht="13.5" thickBot="1">
      <c r="B37" s="351"/>
      <c r="C37" s="351"/>
      <c r="D37" s="6"/>
      <c r="E37" s="351"/>
      <c r="F37" s="351"/>
      <c r="G37" s="12"/>
      <c r="H37" s="6"/>
      <c r="I37" s="122"/>
      <c r="J37" s="122"/>
      <c r="K37" s="122"/>
      <c r="L37" s="122"/>
      <c r="M37" s="122"/>
      <c r="N37" s="131"/>
      <c r="O37" s="6"/>
      <c r="P37" s="359" t="s">
        <v>301</v>
      </c>
      <c r="Q37" s="360"/>
      <c r="R37" s="360"/>
      <c r="S37" s="360"/>
      <c r="T37" s="361"/>
      <c r="U37" s="6"/>
      <c r="V37" s="6"/>
      <c r="W37" s="6"/>
      <c r="X37" s="6"/>
      <c r="Y37" s="6"/>
      <c r="Z37" s="6"/>
      <c r="AA37" s="6"/>
      <c r="AB37" s="6"/>
      <c r="AC37" s="6"/>
      <c r="AD37" s="6"/>
    </row>
    <row r="38" spans="2:30" ht="6.75" customHeight="1">
      <c r="B38" s="345" t="str">
        <f>IF(COUNTBLANK($Q$4:$S$14)&gt;21,"",+'calculo C real'!F52)</f>
        <v/>
      </c>
      <c r="C38" s="347"/>
      <c r="D38" s="8"/>
      <c r="E38" s="353"/>
      <c r="F38" s="355" t="str">
        <f>IF(COUNTBLANK($X$4:$Z$14)&gt;21,"",+'calculo D real'!F53)</f>
        <v/>
      </c>
      <c r="G38" s="10"/>
      <c r="H38" s="6"/>
      <c r="I38" s="122"/>
      <c r="J38" s="122"/>
      <c r="K38" s="122"/>
      <c r="L38" s="122"/>
      <c r="M38" s="122"/>
      <c r="N38" s="131"/>
      <c r="O38" s="6"/>
      <c r="P38" s="6"/>
      <c r="Q38" s="6"/>
      <c r="R38" s="6"/>
      <c r="S38" s="6"/>
      <c r="T38" s="6"/>
      <c r="U38" s="6"/>
      <c r="V38" s="6"/>
      <c r="W38" s="6"/>
      <c r="X38" s="6"/>
      <c r="Y38" s="6"/>
      <c r="Z38" s="6"/>
      <c r="AA38" s="6"/>
      <c r="AB38" s="6"/>
      <c r="AC38" s="6"/>
      <c r="AD38" s="6"/>
    </row>
    <row r="39" spans="2:30" ht="9" customHeight="1">
      <c r="B39" s="346"/>
      <c r="C39" s="348"/>
      <c r="D39" s="8"/>
      <c r="E39" s="354"/>
      <c r="F39" s="356"/>
      <c r="G39" s="6"/>
      <c r="H39" s="6"/>
      <c r="I39" s="122"/>
      <c r="J39" s="122"/>
      <c r="K39" s="122"/>
      <c r="L39" s="122"/>
      <c r="M39" s="122"/>
      <c r="N39" s="131"/>
      <c r="O39" s="6"/>
      <c r="P39" s="6"/>
      <c r="Q39" s="6"/>
      <c r="R39" s="6"/>
      <c r="S39" s="6"/>
      <c r="T39" s="6"/>
      <c r="U39" s="6"/>
      <c r="V39" s="6"/>
      <c r="W39" s="6"/>
      <c r="X39" s="6"/>
      <c r="Y39" s="6"/>
      <c r="Z39" s="6"/>
      <c r="AA39" s="6"/>
      <c r="AB39" s="6"/>
      <c r="AC39" s="6"/>
      <c r="AD39" s="6"/>
    </row>
    <row r="40" spans="2:30" ht="7.5" customHeight="1">
      <c r="B40" s="126"/>
      <c r="C40" s="122"/>
      <c r="D40" s="6"/>
      <c r="E40" s="122"/>
      <c r="F40" s="126"/>
      <c r="G40" s="6"/>
      <c r="H40" s="6"/>
      <c r="I40" s="122"/>
      <c r="J40" s="122"/>
      <c r="K40" s="122"/>
      <c r="L40" s="122"/>
      <c r="M40" s="122"/>
      <c r="N40" s="131"/>
      <c r="O40" s="13"/>
      <c r="P40" s="345" t="str">
        <f>IF(AND($J35&lt;&gt;"",$L35&lt;&gt;""),IF(OR($I35="",$M35="",AND($J35=$L35,AND($J37="",$L37=""))),"cF1",IF($J35=$L35,IF($J37="v",$I35,$M35),IF($J35&gt;$L35,$I35,$M35))),"")</f>
        <v/>
      </c>
      <c r="Q40" s="347"/>
      <c r="R40" s="126"/>
      <c r="S40" s="347"/>
      <c r="T40" s="345" t="str">
        <f>IF(AND($J45&lt;&gt;"",$L45&lt;&gt;""),IF(OR($I45="",$M45="",AND($J45=$L45,AND($J47="",$L47=""))),"OF1",IF($J45=$L45,IF($J47="v",$I45,$M45),IF($J45&gt;$L45,$I45,$M45))),"")</f>
        <v/>
      </c>
      <c r="U40" s="13"/>
      <c r="V40" s="6"/>
      <c r="W40" s="6"/>
      <c r="X40" s="6"/>
      <c r="Y40" s="6"/>
      <c r="Z40" s="6"/>
      <c r="AA40" s="6"/>
      <c r="AB40" s="6"/>
      <c r="AC40" s="6"/>
      <c r="AD40" s="6"/>
    </row>
    <row r="41" spans="2:30" ht="7.5" customHeight="1">
      <c r="B41" s="126"/>
      <c r="C41" s="122"/>
      <c r="D41" s="6"/>
      <c r="E41" s="122"/>
      <c r="F41" s="126"/>
      <c r="G41" s="6"/>
      <c r="H41" s="6"/>
      <c r="I41" s="122"/>
      <c r="J41" s="122"/>
      <c r="K41" s="122"/>
      <c r="L41" s="122"/>
      <c r="M41" s="122"/>
      <c r="N41" s="131"/>
      <c r="O41" s="6"/>
      <c r="P41" s="346" t="str">
        <f>IF(AND(K40&lt;&gt;"",K42&lt;&gt;""),IF(OR(L40="",L42="",AND(L40=L42,AND(M40="",M42=""))),"OF1",IF(L40=L42,IF(M40="v",K40,K42),IF(L40&gt;L42,K40,K42))),"")</f>
        <v/>
      </c>
      <c r="Q41" s="348"/>
      <c r="R41" s="126"/>
      <c r="S41" s="348"/>
      <c r="T41" s="346" t="str">
        <f>IF(AND(O40&lt;&gt;"",O42&lt;&gt;""),IF(OR(P40="",P42="",AND(P40=P42,AND(Q40="",Q42=""))),"OF1",IF(P40=P42,IF(Q40="v",O40,O42),IF(P40&gt;P42,O40,O42))),"")</f>
        <v/>
      </c>
      <c r="U41" s="11"/>
      <c r="V41" s="6"/>
      <c r="W41" s="6"/>
      <c r="X41" s="6"/>
      <c r="Y41" s="6"/>
      <c r="Z41" s="6"/>
      <c r="AA41" s="6"/>
      <c r="AB41" s="6"/>
      <c r="AC41" s="6"/>
      <c r="AD41" s="6"/>
    </row>
    <row r="42" spans="2:30" ht="12.95" thickBot="1">
      <c r="B42" s="351"/>
      <c r="C42" s="351"/>
      <c r="D42" s="6"/>
      <c r="E42" s="351"/>
      <c r="F42" s="351"/>
      <c r="G42" s="6"/>
      <c r="H42" s="6"/>
      <c r="I42" s="122"/>
      <c r="J42" s="122"/>
      <c r="K42" s="122"/>
      <c r="L42" s="122"/>
      <c r="M42" s="122"/>
      <c r="N42" s="131"/>
      <c r="O42" s="6"/>
      <c r="P42" s="122"/>
      <c r="Q42" s="122"/>
      <c r="R42" s="122"/>
      <c r="S42" s="122"/>
      <c r="T42" s="122"/>
      <c r="U42" s="12"/>
      <c r="V42" s="6"/>
    </row>
    <row r="43" spans="2:30" ht="14.25" customHeight="1" thickBot="1">
      <c r="B43" s="345" t="str">
        <f>IF(COUNTBLANK($C$18:$E$28)&gt;21,"",+'calculo E real'!F52)</f>
        <v/>
      </c>
      <c r="C43" s="347"/>
      <c r="D43" s="8"/>
      <c r="E43" s="353"/>
      <c r="F43" s="355" t="str">
        <f>IF(COUNTBLANK($J$18:$L$28)&gt;21,"",+'calculo F real'!F53)</f>
        <v/>
      </c>
      <c r="G43" s="13"/>
      <c r="H43" s="6"/>
      <c r="I43" s="122"/>
      <c r="J43" s="122"/>
      <c r="K43" s="122"/>
      <c r="L43" s="122"/>
      <c r="M43" s="122"/>
      <c r="N43" s="131"/>
      <c r="O43" s="6"/>
      <c r="P43" s="122"/>
      <c r="Q43" s="122"/>
      <c r="R43" s="122"/>
      <c r="S43" s="122"/>
      <c r="T43" s="122"/>
      <c r="U43" s="12"/>
      <c r="V43" s="6"/>
      <c r="W43" s="100" t="s">
        <v>295</v>
      </c>
      <c r="X43" s="24"/>
      <c r="Y43" s="24"/>
      <c r="AB43" s="369"/>
      <c r="AC43" s="370"/>
      <c r="AD43" s="371"/>
    </row>
    <row r="44" spans="2:30" ht="7.5" customHeight="1" thickBot="1">
      <c r="B44" s="346"/>
      <c r="C44" s="348"/>
      <c r="D44" s="8"/>
      <c r="E44" s="354"/>
      <c r="F44" s="356"/>
      <c r="G44" s="11"/>
      <c r="H44" s="6"/>
      <c r="I44" s="122"/>
      <c r="J44" s="122"/>
      <c r="K44" s="122"/>
      <c r="L44" s="122"/>
      <c r="M44" s="122"/>
      <c r="N44" s="131"/>
      <c r="O44" s="6"/>
      <c r="P44" s="122"/>
      <c r="Q44" s="122"/>
      <c r="R44" s="122"/>
      <c r="S44" s="122"/>
      <c r="T44" s="122"/>
      <c r="U44" s="12"/>
      <c r="V44" s="6"/>
      <c r="W44" s="6"/>
      <c r="X44" s="6"/>
      <c r="Y44" s="6"/>
      <c r="Z44" s="6"/>
      <c r="AA44" s="6"/>
      <c r="AB44" s="6"/>
      <c r="AC44" s="6"/>
      <c r="AD44" s="6"/>
    </row>
    <row r="45" spans="2:30" ht="9" customHeight="1">
      <c r="B45" s="126"/>
      <c r="C45" s="122"/>
      <c r="D45" s="6"/>
      <c r="E45" s="122"/>
      <c r="F45" s="126"/>
      <c r="G45" s="12"/>
      <c r="H45" s="13"/>
      <c r="I45" s="345" t="str">
        <f>IF(AND($C43&lt;&gt;"",$E43&lt;&gt;""),IF(OR($B43="",$F43="",AND($C43=$E43,AND($C45="",$E45=""))),"OF5",IF($C43=$E43,IF($C45="v",$B43,$F43),IF($C43&gt;$E43,$B43,$F43))),"")</f>
        <v/>
      </c>
      <c r="J45" s="347"/>
      <c r="K45" s="126"/>
      <c r="L45" s="347"/>
      <c r="M45" s="345" t="str">
        <f>IF(AND($C48&lt;&gt;"",$E48&lt;&gt;""),IF(OR($B48="",$F48="",AND($C48=$E48,AND($C50="",$E50=""))),"OF6",IF($C48=$E48,IF($C50="v",$B48,$F48),IF($C48&gt;$E48,$B48,$F48))),"")</f>
        <v/>
      </c>
      <c r="N45" s="132"/>
      <c r="O45" s="6"/>
      <c r="P45" s="122"/>
      <c r="Q45" s="122"/>
      <c r="R45" s="122"/>
      <c r="S45" s="122"/>
      <c r="T45" s="122"/>
      <c r="U45" s="12"/>
      <c r="V45" s="6"/>
      <c r="W45" s="363" t="s">
        <v>314</v>
      </c>
      <c r="X45" s="364"/>
      <c r="Y45" s="364"/>
      <c r="Z45" s="364"/>
      <c r="AA45" s="365"/>
      <c r="AB45" s="6"/>
      <c r="AC45" s="351"/>
      <c r="AD45" s="351"/>
    </row>
    <row r="46" spans="2:30" ht="9" customHeight="1" thickBot="1">
      <c r="B46" s="126"/>
      <c r="C46" s="122"/>
      <c r="D46" s="6"/>
      <c r="E46" s="122"/>
      <c r="F46" s="126"/>
      <c r="G46" s="12"/>
      <c r="H46" s="6"/>
      <c r="I46" s="346" t="str">
        <f>IF(AND(D45&lt;&gt;"",D47&lt;&gt;""),IF(OR(E45="",E47="",AND(E45=E47,AND(F45="",F47=""))),"OF1",IF(E45=E47,IF(F45="v",D45,D47),IF(E45&gt;E47,D45,D47))),"")</f>
        <v/>
      </c>
      <c r="J46" s="348"/>
      <c r="K46" s="126"/>
      <c r="L46" s="348"/>
      <c r="M46" s="346" t="str">
        <f>IF(AND(H45&lt;&gt;"",H47&lt;&gt;""),IF(OR(I45="",I47="",AND(I45=I47,AND(J45="",J47=""))),"OF1",IF(I45=I47,IF(J45="v",H45,H47),IF(I45&gt;I47,H45,H47))),"")</f>
        <v/>
      </c>
      <c r="N46" s="122"/>
      <c r="O46" s="6"/>
      <c r="P46" s="122"/>
      <c r="Q46" s="122"/>
      <c r="R46" s="122"/>
      <c r="S46" s="122"/>
      <c r="T46" s="122"/>
      <c r="U46" s="12"/>
      <c r="V46" s="6"/>
      <c r="W46" s="366"/>
      <c r="X46" s="367"/>
      <c r="Y46" s="367"/>
      <c r="Z46" s="367"/>
      <c r="AA46" s="368"/>
      <c r="AB46" s="6"/>
      <c r="AC46" s="351"/>
      <c r="AD46" s="351"/>
    </row>
    <row r="47" spans="2:30">
      <c r="B47" s="351"/>
      <c r="C47" s="351"/>
      <c r="D47" s="6"/>
      <c r="E47" s="351"/>
      <c r="F47" s="351"/>
      <c r="G47" s="12"/>
      <c r="H47" s="6"/>
      <c r="I47" s="122"/>
      <c r="J47" s="122"/>
      <c r="K47" s="122"/>
      <c r="L47" s="122"/>
      <c r="M47" s="122"/>
      <c r="N47" s="122"/>
      <c r="O47" s="6"/>
      <c r="P47" s="122"/>
      <c r="Q47" s="122"/>
      <c r="R47" s="122"/>
      <c r="S47" s="122"/>
      <c r="T47" s="122"/>
      <c r="U47" s="12"/>
      <c r="V47" s="6"/>
      <c r="W47" s="6"/>
      <c r="X47" s="6"/>
      <c r="Y47" s="6"/>
      <c r="Z47" s="6"/>
      <c r="AA47" s="6"/>
      <c r="AB47" s="6"/>
      <c r="AC47" s="362" t="s">
        <v>315</v>
      </c>
      <c r="AD47" s="362"/>
    </row>
    <row r="48" spans="2:30" ht="6.75" customHeight="1">
      <c r="B48" s="345" t="str">
        <f>IF(COUNTBLANK($Q$18:$S$28)&gt;21,"",+'calculo G real'!F52)</f>
        <v/>
      </c>
      <c r="C48" s="347"/>
      <c r="D48" s="8"/>
      <c r="E48" s="353"/>
      <c r="F48" s="355" t="str">
        <f>IF(COUNTBLANK($X$18:$Z$28)&gt;21,"",+'calculo H real'!F53)</f>
        <v/>
      </c>
      <c r="G48" s="10"/>
      <c r="H48" s="6"/>
      <c r="I48" s="122"/>
      <c r="J48" s="122"/>
      <c r="K48" s="122"/>
      <c r="L48" s="122"/>
      <c r="M48" s="122"/>
      <c r="N48" s="122"/>
      <c r="O48" s="6"/>
      <c r="P48" s="122"/>
      <c r="Q48" s="122"/>
      <c r="R48" s="122"/>
      <c r="S48" s="122"/>
      <c r="T48" s="122"/>
      <c r="U48" s="12"/>
      <c r="V48" s="9"/>
      <c r="W48" s="345" t="str">
        <f>IF(AND($Q40&lt;&gt;"",$S40&lt;&gt;""),IF(OR($P40="",$T40="",AND($Q40=$S40,AND($Q42="",$S42=""))),"OF1",IF($Q40=$S40,IF($Q42="v",$P40,$T40),IF($Q40&gt;$S40,$P40,$T40))),"")</f>
        <v/>
      </c>
      <c r="X48" s="347"/>
      <c r="Y48" s="126"/>
      <c r="Z48" s="347"/>
      <c r="AA48" s="345" t="str">
        <f>IF(AND($Q60&lt;&gt;"",$S60&lt;&gt;""),IF(OR($P60="",$T60="",AND($Q60=$S60,AND($Q62="",$S62=""))),"OF1",IF($Q60=$S60,IF($Q62="v",$P60,$T60),IF($Q60&gt;$S60,$P60,$T60))),"")</f>
        <v/>
      </c>
      <c r="AB48" s="13"/>
      <c r="AC48" s="357" t="str">
        <f>IF(AND($X48&lt;&gt;"",$Z48&lt;&gt;""),IF(OR($W48="",$AA48="",AND($X48=$Z48,AND($X50="",$Z50=""))),"OF1",IF($X48=$Z48,IF($X50="v",$W48,$AA48),IF($X48&gt;$Z48,$W48,$AA48))),"")</f>
        <v/>
      </c>
      <c r="AD48" s="357"/>
    </row>
    <row r="49" spans="2:30" ht="7.5" customHeight="1">
      <c r="B49" s="346"/>
      <c r="C49" s="348"/>
      <c r="D49" s="8"/>
      <c r="E49" s="354"/>
      <c r="F49" s="356"/>
      <c r="G49" s="6"/>
      <c r="H49" s="6"/>
      <c r="I49" s="122"/>
      <c r="J49" s="122"/>
      <c r="K49" s="122"/>
      <c r="L49" s="122"/>
      <c r="M49" s="122"/>
      <c r="N49" s="122"/>
      <c r="O49" s="6"/>
      <c r="P49" s="122"/>
      <c r="Q49" s="122"/>
      <c r="R49" s="122"/>
      <c r="S49" s="122"/>
      <c r="T49" s="122"/>
      <c r="U49" s="12"/>
      <c r="V49" s="6"/>
      <c r="W49" s="346" t="str">
        <f>IF(AND(R48&lt;&gt;"",R50&lt;&gt;""),IF(OR(S48="",S50="",AND(S48=S50,AND(T48="",T50=""))),"OF1",IF(S48=S50,IF(T48="v",R48,R50),IF(S48&gt;S50,R48,R50))),"")</f>
        <v/>
      </c>
      <c r="X49" s="348"/>
      <c r="Y49" s="126"/>
      <c r="Z49" s="348"/>
      <c r="AA49" s="346" t="str">
        <f>IF(AND(V48&lt;&gt;"",V50&lt;&gt;""),IF(OR(W48="",W50="",AND(W48=W50,AND(X48="",X50=""))),"OF1",IF(W48=W50,IF(X48="v",V48,V50),IF(W48&gt;W50,V48,V50))),"")</f>
        <v/>
      </c>
      <c r="AB49" s="6"/>
      <c r="AC49" s="358"/>
      <c r="AD49" s="358"/>
    </row>
    <row r="50" spans="2:30" ht="12.95" thickBot="1">
      <c r="B50" s="126"/>
      <c r="C50" s="122"/>
      <c r="D50" s="6"/>
      <c r="E50" s="122"/>
      <c r="F50" s="126"/>
      <c r="G50" s="6"/>
      <c r="H50" s="6"/>
      <c r="I50" s="122"/>
      <c r="J50" s="122"/>
      <c r="K50" s="122"/>
      <c r="L50" s="122"/>
      <c r="M50" s="122"/>
      <c r="N50" s="122"/>
      <c r="O50" s="6"/>
      <c r="P50" s="122"/>
      <c r="Q50" s="122"/>
      <c r="R50" s="122"/>
      <c r="S50" s="122"/>
      <c r="T50" s="122"/>
      <c r="U50" s="12"/>
      <c r="V50" s="6"/>
      <c r="W50" s="6"/>
      <c r="X50" s="6"/>
      <c r="Y50" s="6"/>
      <c r="Z50" s="6"/>
      <c r="AA50" s="6"/>
      <c r="AB50" s="6"/>
      <c r="AC50" s="6"/>
      <c r="AD50" s="6"/>
    </row>
    <row r="51" spans="2:30" ht="13.5" thickBot="1">
      <c r="B51" s="126"/>
      <c r="C51" s="122"/>
      <c r="D51" s="6"/>
      <c r="E51" s="122"/>
      <c r="F51" s="126"/>
      <c r="G51" s="6"/>
      <c r="H51" s="6"/>
      <c r="I51" s="122"/>
      <c r="J51" s="122"/>
      <c r="K51" s="122"/>
      <c r="L51" s="122"/>
      <c r="M51" s="122"/>
      <c r="N51" s="122"/>
      <c r="O51" s="6"/>
      <c r="P51" s="122"/>
      <c r="Q51" s="122"/>
      <c r="R51" s="122"/>
      <c r="S51" s="122"/>
      <c r="T51" s="122"/>
      <c r="U51" s="12"/>
      <c r="V51" s="6"/>
      <c r="W51" s="359" t="s">
        <v>316</v>
      </c>
      <c r="X51" s="360"/>
      <c r="Y51" s="360"/>
      <c r="Z51" s="360"/>
      <c r="AA51" s="361"/>
      <c r="AB51" s="6"/>
      <c r="AC51" s="6"/>
      <c r="AD51" s="6"/>
    </row>
    <row r="52" spans="2:30">
      <c r="B52" s="351"/>
      <c r="C52" s="351"/>
      <c r="D52" s="6"/>
      <c r="E52" s="351"/>
      <c r="F52" s="351"/>
      <c r="G52" s="6"/>
      <c r="H52" s="6"/>
      <c r="I52" s="122"/>
      <c r="J52" s="122"/>
      <c r="K52" s="122"/>
      <c r="L52" s="122"/>
      <c r="M52" s="122"/>
      <c r="N52" s="122"/>
      <c r="O52" s="6"/>
      <c r="P52" s="122"/>
      <c r="Q52" s="122"/>
      <c r="R52" s="122"/>
      <c r="S52" s="122"/>
      <c r="T52" s="122"/>
      <c r="U52" s="12"/>
      <c r="V52" s="6"/>
      <c r="W52" s="6"/>
      <c r="X52" s="6"/>
      <c r="Y52" s="6"/>
      <c r="Z52" s="6"/>
      <c r="AA52" s="6"/>
      <c r="AB52" s="6"/>
      <c r="AC52" s="362" t="s">
        <v>317</v>
      </c>
      <c r="AD52" s="362"/>
    </row>
    <row r="53" spans="2:30" ht="7.5" customHeight="1">
      <c r="B53" s="345" t="str">
        <f>IF(COUNTBLANK($J$4:$L$14)&gt;21,"",+'calculo B real'!F52)</f>
        <v/>
      </c>
      <c r="C53" s="347"/>
      <c r="D53" s="8"/>
      <c r="E53" s="353"/>
      <c r="F53" s="355" t="str">
        <f>IF(COUNTBLANK($C$4:$E$14)&gt;21,"",+'calculo A real'!F53)</f>
        <v/>
      </c>
      <c r="G53" s="13"/>
      <c r="H53" s="6"/>
      <c r="I53" s="122"/>
      <c r="J53" s="122"/>
      <c r="K53" s="122"/>
      <c r="L53" s="122"/>
      <c r="M53" s="122"/>
      <c r="N53" s="122"/>
      <c r="O53" s="6"/>
      <c r="P53" s="122"/>
      <c r="Q53" s="122"/>
      <c r="R53" s="122"/>
      <c r="S53" s="122"/>
      <c r="T53" s="122"/>
      <c r="U53" s="12"/>
      <c r="V53" s="9"/>
      <c r="W53" s="345" t="str">
        <f>IF(AND($Q40&lt;&gt;"",$S40&lt;&gt;""),IF(OR($P40="",$T40="",AND($Q40=$S40,AND($Q42="",$S42=""))),"OF1",IF($Q40=$S40,IF($Q42="v",$T40,$P40),IF($Q40&gt;$S40,$T40,$P40))),"")</f>
        <v/>
      </c>
      <c r="X53" s="347"/>
      <c r="Y53" s="126"/>
      <c r="Z53" s="347"/>
      <c r="AA53" s="345" t="str">
        <f>IF(AND($Q60&lt;&gt;"",$S60&lt;&gt;""),IF(OR($P60="",$T60="",AND($Q60=$S60,AND($Q62="",$S62=""))),"OF1",IF($Q60=$S60,IF($Q62="v",$T60,$P60),IF($Q60&gt;$S60,$T60,$P60))),"")</f>
        <v/>
      </c>
      <c r="AB53" s="13"/>
      <c r="AC53" s="357" t="str">
        <f>IF(AND($X53&lt;&gt;"",$Z53&lt;&gt;""),IF(OR($W53="",$AA53="",AND($X53=$Z53,AND($X55="",$Z55=""))),"OF1",IF($X53=$Z53,IF($X55="v",$W53,$AA53),IF($X53&gt;$Z53,$W53,$AA53))),"")</f>
        <v/>
      </c>
      <c r="AD53" s="357"/>
    </row>
    <row r="54" spans="2:30" ht="9" customHeight="1">
      <c r="B54" s="346"/>
      <c r="C54" s="348"/>
      <c r="D54" s="8"/>
      <c r="E54" s="354"/>
      <c r="F54" s="356"/>
      <c r="G54" s="11"/>
      <c r="H54" s="6"/>
      <c r="I54" s="122"/>
      <c r="J54" s="122"/>
      <c r="K54" s="122"/>
      <c r="L54" s="122"/>
      <c r="M54" s="122"/>
      <c r="N54" s="122"/>
      <c r="O54" s="6"/>
      <c r="P54" s="122"/>
      <c r="Q54" s="122"/>
      <c r="R54" s="122"/>
      <c r="S54" s="122"/>
      <c r="T54" s="122"/>
      <c r="U54" s="12"/>
      <c r="V54" s="6"/>
      <c r="W54" s="346" t="str">
        <f>IF(AND(R53&lt;&gt;"",R55&lt;&gt;""),IF(OR(S53="",S55="",AND(S53=S55,AND(T53="",T55=""))),"OF1",IF(S53=S55,IF(T53="v",R53,R55),IF(S53&gt;S55,R53,R55))),"")</f>
        <v/>
      </c>
      <c r="X54" s="348"/>
      <c r="Y54" s="126"/>
      <c r="Z54" s="348"/>
      <c r="AA54" s="346" t="str">
        <f>IF(AND(V53&lt;&gt;"",V55&lt;&gt;""),IF(OR(W53="",W55="",AND(W53=W55,AND(X53="",X55=""))),"OF1",IF(W53=W55,IF(X53="v",V53,V55),IF(W53&gt;W55,V53,V55))),"")</f>
        <v/>
      </c>
      <c r="AB54" s="6"/>
      <c r="AC54" s="358"/>
      <c r="AD54" s="358"/>
    </row>
    <row r="55" spans="2:30" ht="9.75" customHeight="1">
      <c r="B55" s="126"/>
      <c r="C55" s="122"/>
      <c r="D55" s="6"/>
      <c r="E55" s="122"/>
      <c r="F55" s="126"/>
      <c r="G55" s="12"/>
      <c r="H55" s="13"/>
      <c r="I55" s="345" t="str">
        <f>IF(AND($C53&lt;&gt;"",$E53&lt;&gt;""),IF(OR($B53="",$F53="",AND($C53=$E53,AND($C55="",$E55=""))),"OF3",IF($C53=$E53,IF($C55="v",$B53,$F53),IF($C53&gt;$E53,$B53,$F53))),"")</f>
        <v/>
      </c>
      <c r="J55" s="347"/>
      <c r="K55" s="126"/>
      <c r="L55" s="347"/>
      <c r="M55" s="345" t="str">
        <f>IF(AND($C58&lt;&gt;"",$E58&lt;&gt;""),IF(OR($B58="",$F58="",AND($C58=$E58,AND($C60="",$E60=""))),"OF4",IF($C58=$E58,IF($C60="v",$B58,$F58),IF($C58&gt;$E58,$B58,$F58))),"")</f>
        <v/>
      </c>
      <c r="N55" s="129"/>
      <c r="O55" s="6"/>
      <c r="P55" s="122"/>
      <c r="Q55" s="122"/>
      <c r="R55" s="122"/>
      <c r="S55" s="122"/>
      <c r="T55" s="122"/>
      <c r="U55" s="12"/>
      <c r="V55" s="6"/>
      <c r="W55" s="6"/>
      <c r="X55" s="6"/>
      <c r="Y55" s="6"/>
      <c r="Z55" s="6"/>
      <c r="AA55" s="6"/>
      <c r="AB55" s="6"/>
      <c r="AC55" s="6"/>
      <c r="AD55" s="6"/>
    </row>
    <row r="56" spans="2:30" ht="8.25" customHeight="1">
      <c r="B56" s="126"/>
      <c r="C56" s="122"/>
      <c r="D56" s="6"/>
      <c r="E56" s="122"/>
      <c r="F56" s="126"/>
      <c r="G56" s="12"/>
      <c r="H56" s="6"/>
      <c r="I56" s="346" t="str">
        <f>IF(AND(D55&lt;&gt;"",D57&lt;&gt;""),IF(OR(E55="",E57="",AND(E55=E57,AND(F55="",F57=""))),"OF1",IF(E55=E57,IF(F55="v",D55,D57),IF(E55&gt;E57,D55,D57))),"")</f>
        <v/>
      </c>
      <c r="J56" s="348"/>
      <c r="K56" s="126"/>
      <c r="L56" s="348"/>
      <c r="M56" s="346" t="str">
        <f>IF(AND(H55&lt;&gt;"",H57&lt;&gt;""),IF(OR(I55="",I57="",AND(I55=I57,AND(J55="",J57=""))),"OF1",IF(I55=I57,IF(J55="v",H55,H57),IF(I55&gt;I57,H55,H57))),"")</f>
        <v/>
      </c>
      <c r="N56" s="130"/>
      <c r="O56" s="6"/>
      <c r="P56" s="122"/>
      <c r="Q56" s="122"/>
      <c r="R56" s="122"/>
      <c r="S56" s="122"/>
      <c r="T56" s="122"/>
      <c r="U56" s="12"/>
      <c r="V56" s="6"/>
      <c r="W56" s="6"/>
      <c r="X56" s="6"/>
      <c r="Y56" s="6"/>
      <c r="Z56" s="6"/>
      <c r="AA56" s="6"/>
      <c r="AB56" s="6"/>
      <c r="AC56" s="6"/>
      <c r="AD56" s="6"/>
    </row>
    <row r="57" spans="2:30">
      <c r="B57" s="351"/>
      <c r="C57" s="351"/>
      <c r="D57" s="6"/>
      <c r="E57" s="351"/>
      <c r="F57" s="351"/>
      <c r="G57" s="12"/>
      <c r="H57" s="6"/>
      <c r="I57" s="122"/>
      <c r="J57" s="122"/>
      <c r="K57" s="122"/>
      <c r="L57" s="122"/>
      <c r="M57" s="122"/>
      <c r="N57" s="131"/>
      <c r="O57" s="6"/>
      <c r="P57" s="122"/>
      <c r="Q57" s="122"/>
      <c r="R57" s="122"/>
      <c r="S57" s="122"/>
      <c r="T57" s="122"/>
      <c r="U57" s="12"/>
      <c r="V57" s="6"/>
      <c r="W57" s="6"/>
      <c r="X57" s="6"/>
      <c r="Y57" s="6"/>
      <c r="Z57" s="6"/>
      <c r="AA57" s="6"/>
      <c r="AB57" s="6"/>
      <c r="AC57" s="6"/>
      <c r="AD57" s="6"/>
    </row>
    <row r="58" spans="2:30" ht="7.5" customHeight="1">
      <c r="B58" s="345" t="str">
        <f>IF(COUNTBLANK($X$4:$Z$14)&gt;21,"",+'calculo D real'!F52)</f>
        <v/>
      </c>
      <c r="C58" s="347"/>
      <c r="D58" s="8"/>
      <c r="E58" s="347"/>
      <c r="F58" s="349" t="str">
        <f>IF(COUNTBLANK($Q$4:$S$14)&gt;21,"",+'calculo C real'!F53)</f>
        <v/>
      </c>
      <c r="G58" s="10"/>
      <c r="H58" s="6"/>
      <c r="I58" s="122"/>
      <c r="J58" s="122"/>
      <c r="K58" s="122"/>
      <c r="L58" s="122"/>
      <c r="M58" s="122"/>
      <c r="N58" s="131"/>
      <c r="O58" s="6"/>
      <c r="P58" s="122"/>
      <c r="Q58" s="122"/>
      <c r="R58" s="122"/>
      <c r="S58" s="122"/>
      <c r="T58" s="122"/>
      <c r="U58" s="12"/>
      <c r="V58" s="6"/>
      <c r="W58" s="6"/>
      <c r="X58" s="6"/>
      <c r="Y58" s="6"/>
      <c r="Z58" s="6"/>
      <c r="AA58" s="6"/>
      <c r="AB58" s="6"/>
      <c r="AC58" s="6"/>
      <c r="AD58" s="6"/>
    </row>
    <row r="59" spans="2:30" ht="6" customHeight="1">
      <c r="B59" s="346"/>
      <c r="C59" s="348"/>
      <c r="D59" s="8"/>
      <c r="E59" s="348"/>
      <c r="F59" s="350"/>
      <c r="G59" s="6"/>
      <c r="H59" s="6"/>
      <c r="I59" s="122"/>
      <c r="J59" s="122"/>
      <c r="K59" s="122"/>
      <c r="L59" s="122"/>
      <c r="M59" s="122"/>
      <c r="N59" s="131"/>
      <c r="O59" s="6"/>
      <c r="P59" s="122"/>
      <c r="Q59" s="122"/>
      <c r="R59" s="122"/>
      <c r="S59" s="122"/>
      <c r="T59" s="122"/>
      <c r="U59" s="12"/>
      <c r="V59" s="6"/>
      <c r="W59" s="6"/>
      <c r="X59" s="6"/>
      <c r="Y59" s="6"/>
      <c r="Z59" s="6"/>
      <c r="AA59" s="6"/>
      <c r="AB59" s="6"/>
      <c r="AC59" s="6"/>
      <c r="AD59" s="6"/>
    </row>
    <row r="60" spans="2:30" ht="6.75" customHeight="1">
      <c r="B60" s="126"/>
      <c r="C60" s="122"/>
      <c r="D60" s="6"/>
      <c r="E60" s="122"/>
      <c r="F60" s="126"/>
      <c r="G60" s="6"/>
      <c r="H60" s="6"/>
      <c r="I60" s="122"/>
      <c r="J60" s="122"/>
      <c r="K60" s="122"/>
      <c r="L60" s="122"/>
      <c r="M60" s="122"/>
      <c r="N60" s="131"/>
      <c r="O60" s="13"/>
      <c r="P60" s="345" t="str">
        <f>IF(AND($J55&lt;&gt;"",$L55&lt;&gt;""),IF(OR($I55="",$M55="",AND($J55=$L55,AND($J57="",$L57=""))),"OF1",IF($J55=$L55,IF($J57="v",$I55,$M55),IF($J55&gt;$L55,$I55,$M55))),"")</f>
        <v/>
      </c>
      <c r="Q60" s="347"/>
      <c r="R60" s="126"/>
      <c r="S60" s="347"/>
      <c r="T60" s="345" t="str">
        <f>IF(AND($J65&lt;&gt;"",$L65&lt;&gt;""),IF(OR($I65="",$M65="",AND($J65=$L65,AND($J67="",$L67=""))),"OF1",IF($J65=$L65,IF($J67="v",$I65,$M65),IF($J65&gt;$L65,$I65,$M65))),"")</f>
        <v/>
      </c>
      <c r="U60" s="10"/>
      <c r="V60" s="6"/>
      <c r="W60" s="6"/>
      <c r="X60" s="6"/>
      <c r="Y60" s="6"/>
      <c r="Z60" s="6"/>
      <c r="AA60" s="352" t="s">
        <v>290</v>
      </c>
      <c r="AB60" s="352"/>
      <c r="AC60" s="352"/>
      <c r="AD60" s="6"/>
    </row>
    <row r="61" spans="2:30" ht="7.5" customHeight="1">
      <c r="B61" s="126"/>
      <c r="C61" s="122"/>
      <c r="D61" s="6"/>
      <c r="E61" s="122"/>
      <c r="F61" s="126"/>
      <c r="G61" s="6"/>
      <c r="H61" s="6"/>
      <c r="I61" s="122"/>
      <c r="J61" s="122"/>
      <c r="K61" s="122"/>
      <c r="L61" s="122"/>
      <c r="M61" s="122"/>
      <c r="N61" s="131"/>
      <c r="O61" s="6"/>
      <c r="P61" s="346" t="str">
        <f>IF(AND(K60&lt;&gt;"",K62&lt;&gt;""),IF(OR(L60="",L62="",AND(L60=L62,AND(M60="",M62=""))),"OF1",IF(L60=L62,IF(M60="v",K60,K62),IF(L60&gt;L62,K60,K62))),"")</f>
        <v/>
      </c>
      <c r="Q61" s="348"/>
      <c r="R61" s="126"/>
      <c r="S61" s="348"/>
      <c r="T61" s="346" t="str">
        <f>IF(AND(O60&lt;&gt;"",O62&lt;&gt;""),IF(OR(P60="",P62="",AND(P60=P62,AND(Q60="",Q62=""))),"OF1",IF(P60=P62,IF(Q60="v",O60,O62),IF(P60&gt;P62,O60,O62))),"")</f>
        <v/>
      </c>
      <c r="U61" s="6"/>
      <c r="V61" s="6"/>
      <c r="W61" s="6"/>
      <c r="X61" s="6"/>
      <c r="Y61" s="6"/>
      <c r="Z61" s="6"/>
      <c r="AA61" s="352"/>
      <c r="AB61" s="352"/>
      <c r="AC61" s="352"/>
      <c r="AD61" s="6"/>
    </row>
    <row r="62" spans="2:30">
      <c r="B62" s="351"/>
      <c r="C62" s="351"/>
      <c r="D62" s="6"/>
      <c r="E62" s="351"/>
      <c r="F62" s="351"/>
      <c r="G62" s="6"/>
      <c r="H62" s="6"/>
      <c r="I62" s="122"/>
      <c r="J62" s="122"/>
      <c r="K62" s="122"/>
      <c r="L62" s="122"/>
      <c r="M62" s="122"/>
      <c r="N62" s="131"/>
      <c r="O62" s="6"/>
      <c r="P62" s="122"/>
      <c r="Q62" s="122"/>
      <c r="R62" s="122"/>
      <c r="S62" s="122"/>
      <c r="T62" s="122"/>
      <c r="U62" s="6"/>
      <c r="V62" s="6"/>
      <c r="W62" s="6"/>
      <c r="X62" s="6"/>
      <c r="Y62" s="6"/>
      <c r="Z62" s="6"/>
      <c r="AA62" s="6"/>
      <c r="AB62" s="6"/>
      <c r="AC62" s="6"/>
      <c r="AD62" s="6"/>
    </row>
    <row r="63" spans="2:30" ht="6" customHeight="1">
      <c r="B63" s="345" t="str">
        <f>IF(COUNTBLANK($J$18:$L$28)&gt;21,"",+'calculo F real'!F52)</f>
        <v/>
      </c>
      <c r="C63" s="347"/>
      <c r="D63" s="8"/>
      <c r="E63" s="347"/>
      <c r="F63" s="349" t="str">
        <f>IF(COUNTBLANK($C$18:$E$28)&gt;21,"",+'calculo E real'!F53)</f>
        <v/>
      </c>
      <c r="G63" s="13"/>
      <c r="H63" s="6"/>
      <c r="I63" s="122"/>
      <c r="J63" s="122"/>
      <c r="K63" s="122"/>
      <c r="L63" s="122"/>
      <c r="M63" s="122"/>
      <c r="N63" s="131"/>
      <c r="O63" s="6"/>
      <c r="P63" s="6"/>
      <c r="Q63" s="6"/>
      <c r="R63" s="6"/>
      <c r="S63" s="6"/>
      <c r="T63" s="6"/>
      <c r="U63" s="6"/>
      <c r="V63" s="6"/>
      <c r="W63" s="6"/>
      <c r="X63" s="6"/>
      <c r="Y63" s="6"/>
      <c r="Z63" s="6"/>
      <c r="AA63" s="6"/>
      <c r="AB63" s="6"/>
      <c r="AC63" s="6"/>
      <c r="AD63" s="6"/>
    </row>
    <row r="64" spans="2:30" ht="9.75" customHeight="1">
      <c r="B64" s="346"/>
      <c r="C64" s="348"/>
      <c r="D64" s="8"/>
      <c r="E64" s="348"/>
      <c r="F64" s="350"/>
      <c r="G64" s="11"/>
      <c r="H64" s="6"/>
      <c r="I64" s="122"/>
      <c r="J64" s="122"/>
      <c r="K64" s="122"/>
      <c r="L64" s="122"/>
      <c r="M64" s="122"/>
      <c r="N64" s="131"/>
      <c r="O64" s="6"/>
      <c r="P64" s="6"/>
      <c r="Q64" s="6"/>
      <c r="R64" s="6"/>
      <c r="S64" s="6"/>
      <c r="T64" s="6"/>
      <c r="U64" s="6"/>
      <c r="V64" s="6"/>
      <c r="W64" s="6"/>
      <c r="X64" s="6"/>
      <c r="Y64" s="6"/>
      <c r="Z64" s="6"/>
      <c r="AA64" s="6"/>
      <c r="AB64" s="6"/>
      <c r="AC64" s="6"/>
      <c r="AD64" s="6"/>
    </row>
    <row r="65" spans="2:30" ht="8.25" customHeight="1">
      <c r="B65" s="126"/>
      <c r="C65" s="122"/>
      <c r="D65" s="6"/>
      <c r="E65" s="122"/>
      <c r="F65" s="126"/>
      <c r="G65" s="12"/>
      <c r="H65" s="13"/>
      <c r="I65" s="345" t="str">
        <f>IF(AND($C63&lt;&gt;"",$E63&lt;&gt;""),IF(OR($B63="",$F63="",AND($C63=$E63,AND($C65="",$E65=""))),"OF7",IF($C63=$E63,IF($C65="v",$B63,$F63),IF($C63&gt;$E63,$B63,$F63))),"")</f>
        <v/>
      </c>
      <c r="J65" s="347"/>
      <c r="K65" s="126"/>
      <c r="L65" s="347"/>
      <c r="M65" s="345" t="str">
        <f>IF(AND($C68&lt;&gt;"",$E68&lt;&gt;""),IF(OR($B68="",$F68="",AND($C68=$E68,AND($C70="",$E70=""))),"OF8",IF($C68=$E68,IF($C70="v",$B68,$F68),IF($C68&gt;$E68,$B68,$F68))),"")</f>
        <v/>
      </c>
      <c r="N65" s="132"/>
      <c r="O65" s="6"/>
      <c r="Y65" s="6"/>
      <c r="Z65" s="6"/>
      <c r="AA65" s="6"/>
      <c r="AB65" s="6"/>
      <c r="AC65" s="6"/>
      <c r="AD65" s="6"/>
    </row>
    <row r="66" spans="2:30" ht="7.5" customHeight="1">
      <c r="B66" s="126"/>
      <c r="C66" s="122"/>
      <c r="D66" s="6"/>
      <c r="E66" s="122"/>
      <c r="F66" s="126"/>
      <c r="G66" s="12"/>
      <c r="H66" s="6"/>
      <c r="I66" s="346" t="str">
        <f>IF(AND(D65&lt;&gt;"",D67&lt;&gt;""),IF(OR(E65="",E67="",AND(E65=E67,AND(F65="",F67=""))),"OF1",IF(E65=E67,IF(F65="v",D65,D67),IF(E65&gt;E67,D65,D67))),"")</f>
        <v/>
      </c>
      <c r="J66" s="348"/>
      <c r="K66" s="126"/>
      <c r="L66" s="348"/>
      <c r="M66" s="346" t="str">
        <f>IF(AND(H65&lt;&gt;"",H67&lt;&gt;""),IF(OR(I65="",I67="",AND(I65=I67,AND(J65="",J67=""))),"OF1",IF(I65=I67,IF(J65="v",H65,H67),IF(I65&gt;I67,H65,H67))),"")</f>
        <v/>
      </c>
      <c r="N66" s="122"/>
      <c r="O66" s="6"/>
      <c r="Y66" s="6"/>
      <c r="Z66" s="6"/>
      <c r="AA66" s="6"/>
      <c r="AB66" s="6"/>
      <c r="AC66" s="6"/>
      <c r="AD66" s="6"/>
    </row>
    <row r="67" spans="2:30">
      <c r="B67" s="351"/>
      <c r="C67" s="351"/>
      <c r="D67" s="6"/>
      <c r="E67" s="351"/>
      <c r="F67" s="351"/>
      <c r="G67" s="12"/>
      <c r="H67" s="6"/>
      <c r="I67" s="6"/>
      <c r="J67" s="6"/>
      <c r="K67" s="6"/>
      <c r="L67" s="6"/>
      <c r="M67" s="6"/>
      <c r="N67" s="6"/>
      <c r="O67" s="6"/>
      <c r="AB67" s="6"/>
      <c r="AC67" s="6"/>
      <c r="AD67" s="6"/>
    </row>
    <row r="68" spans="2:30" ht="9" customHeight="1">
      <c r="B68" s="345" t="str">
        <f>IF(COUNTBLANK($X$18:$Z$28)&gt;21,"",+'calculo H real'!F52)</f>
        <v/>
      </c>
      <c r="C68" s="347"/>
      <c r="D68" s="5"/>
      <c r="E68" s="347"/>
      <c r="F68" s="349" t="str">
        <f>IF(COUNTBLANK($Q$18:$S$28)&gt;21,"",+'calculo G real'!F53)</f>
        <v/>
      </c>
      <c r="G68" s="14"/>
      <c r="H68" s="4"/>
      <c r="I68" s="4"/>
      <c r="J68" s="4"/>
      <c r="K68" s="4"/>
      <c r="L68" s="4"/>
      <c r="M68" s="4"/>
      <c r="N68" s="4"/>
      <c r="O68" s="4"/>
      <c r="Y68" s="4"/>
      <c r="Z68" s="4"/>
      <c r="AA68" s="4"/>
      <c r="AB68" s="4"/>
      <c r="AC68" s="4"/>
      <c r="AD68" s="4"/>
    </row>
    <row r="69" spans="2:30" ht="8.25" customHeight="1">
      <c r="B69" s="346"/>
      <c r="C69" s="348"/>
      <c r="D69" s="5"/>
      <c r="E69" s="348"/>
      <c r="F69" s="350"/>
      <c r="G69" s="4"/>
      <c r="H69" s="4"/>
      <c r="I69" s="4"/>
      <c r="J69" s="4"/>
      <c r="K69" s="4"/>
      <c r="L69" s="4"/>
      <c r="M69" s="4"/>
      <c r="N69" s="4"/>
      <c r="O69" s="4"/>
      <c r="Y69" s="4"/>
      <c r="Z69" s="4"/>
      <c r="AA69" s="4"/>
      <c r="AB69" s="4"/>
      <c r="AC69" s="4"/>
      <c r="AD69" s="4"/>
    </row>
    <row r="70" spans="2:30">
      <c r="C70" s="6"/>
      <c r="D70" s="6"/>
      <c r="E70" s="6"/>
      <c r="X70" s="6"/>
    </row>
    <row r="71" spans="2:30">
      <c r="X71" s="6"/>
    </row>
    <row r="73" spans="2:30">
      <c r="X73" s="4"/>
    </row>
    <row r="74" spans="2:30">
      <c r="J74" s="123"/>
      <c r="X74" s="4"/>
    </row>
    <row r="75" spans="2:30">
      <c r="J75" s="123"/>
    </row>
    <row r="76" spans="2:30">
      <c r="J76" s="123"/>
    </row>
    <row r="77" spans="2:30">
      <c r="J77" s="123"/>
    </row>
    <row r="78" spans="2:30">
      <c r="J78" s="123"/>
    </row>
    <row r="79" spans="2:30">
      <c r="J79" s="123"/>
    </row>
    <row r="80" spans="2:30">
      <c r="J80" s="123"/>
    </row>
    <row r="81" spans="7:10">
      <c r="J81" s="123"/>
    </row>
    <row r="82" spans="7:10">
      <c r="J82" s="123"/>
    </row>
    <row r="83" spans="7:10">
      <c r="J83" s="123"/>
    </row>
    <row r="84" spans="7:10">
      <c r="J84" s="123"/>
    </row>
    <row r="85" spans="7:10">
      <c r="J85" s="123"/>
    </row>
    <row r="86" spans="7:10">
      <c r="J86" s="123"/>
    </row>
    <row r="87" spans="7:10">
      <c r="J87" s="123"/>
    </row>
    <row r="88" spans="7:10">
      <c r="J88" s="123"/>
    </row>
    <row r="89" spans="7:10">
      <c r="J89" s="123"/>
    </row>
    <row r="90" spans="7:10">
      <c r="G90" s="123"/>
      <c r="H90" s="123"/>
      <c r="I90" s="123"/>
    </row>
    <row r="91" spans="7:10">
      <c r="G91" s="123"/>
      <c r="H91" s="123"/>
      <c r="I91" s="123"/>
    </row>
    <row r="92" spans="7:10">
      <c r="G92" s="123"/>
      <c r="H92" s="123"/>
      <c r="I92" s="123"/>
    </row>
    <row r="93" spans="7:10">
      <c r="G93" s="123"/>
      <c r="H93" s="123"/>
      <c r="I93" s="123"/>
    </row>
    <row r="94" spans="7:10">
      <c r="G94" s="123"/>
      <c r="H94" s="123"/>
      <c r="I94" s="123"/>
    </row>
    <row r="95" spans="7:10">
      <c r="G95" s="123"/>
      <c r="H95" s="123"/>
      <c r="I95" s="123"/>
    </row>
    <row r="96" spans="7:10">
      <c r="G96" s="123"/>
      <c r="H96" s="123"/>
      <c r="I96" s="123"/>
    </row>
    <row r="97" spans="2:9">
      <c r="G97" s="123"/>
      <c r="H97" s="123"/>
      <c r="I97" s="123"/>
    </row>
    <row r="98" spans="2:9">
      <c r="G98" s="123"/>
      <c r="H98" s="123"/>
      <c r="I98" s="123"/>
    </row>
    <row r="99" spans="2:9">
      <c r="G99" s="123"/>
      <c r="H99" s="123"/>
      <c r="I99" s="123"/>
    </row>
    <row r="100" spans="2:9">
      <c r="G100" s="123"/>
      <c r="H100" s="123"/>
      <c r="I100" s="123"/>
    </row>
    <row r="101" spans="2:9">
      <c r="G101" s="123"/>
      <c r="H101" s="123"/>
      <c r="I101" s="123"/>
    </row>
    <row r="102" spans="2:9">
      <c r="G102" s="123"/>
      <c r="H102" s="123"/>
      <c r="I102" s="123"/>
    </row>
    <row r="103" spans="2:9">
      <c r="G103" s="123"/>
      <c r="H103" s="123"/>
      <c r="I103" s="123"/>
    </row>
    <row r="104" spans="2:9">
      <c r="G104" s="123"/>
      <c r="H104" s="123"/>
      <c r="I104" s="123"/>
    </row>
    <row r="105" spans="2:9">
      <c r="G105" s="123"/>
      <c r="H105" s="123"/>
      <c r="I105" s="123"/>
    </row>
    <row r="106" spans="2:9">
      <c r="B106" s="123"/>
      <c r="C106" s="123"/>
      <c r="D106" s="123"/>
      <c r="E106" s="123"/>
      <c r="F106" s="123"/>
      <c r="G106" s="123"/>
      <c r="H106" s="123"/>
      <c r="I106" s="123"/>
    </row>
    <row r="107" spans="2:9">
      <c r="B107" s="123"/>
      <c r="C107" s="123"/>
      <c r="D107" s="123"/>
      <c r="E107" s="123"/>
      <c r="F107" s="123"/>
      <c r="G107" s="123"/>
      <c r="H107" s="123"/>
      <c r="I107" s="123"/>
    </row>
    <row r="108" spans="2:9">
      <c r="B108" s="123"/>
      <c r="C108" s="123"/>
      <c r="D108" s="123"/>
      <c r="E108" s="123"/>
      <c r="F108" s="123"/>
      <c r="G108" s="123"/>
      <c r="H108" s="123"/>
      <c r="I108" s="123"/>
    </row>
    <row r="109" spans="2:9">
      <c r="B109" s="123"/>
      <c r="C109" s="123"/>
      <c r="D109" s="123"/>
      <c r="E109" s="123"/>
      <c r="F109" s="123"/>
      <c r="G109" s="123"/>
      <c r="H109" s="123"/>
      <c r="I109" s="123"/>
    </row>
    <row r="110" spans="2:9">
      <c r="B110" s="123"/>
      <c r="C110" s="123"/>
      <c r="D110" s="123"/>
      <c r="E110" s="123"/>
      <c r="F110" s="123"/>
      <c r="G110" s="123"/>
      <c r="H110" s="123"/>
      <c r="I110" s="123"/>
    </row>
    <row r="111" spans="2:9">
      <c r="B111" s="123"/>
      <c r="C111" s="123"/>
      <c r="D111" s="123"/>
      <c r="E111" s="123"/>
      <c r="F111" s="123"/>
      <c r="G111" s="123"/>
      <c r="H111" s="123"/>
      <c r="I111" s="123"/>
    </row>
    <row r="112" spans="2:9">
      <c r="B112" s="123"/>
      <c r="C112" s="123"/>
      <c r="D112" s="123"/>
      <c r="E112" s="123"/>
      <c r="F112" s="123"/>
      <c r="G112" s="123"/>
      <c r="H112" s="123"/>
      <c r="I112" s="123"/>
    </row>
    <row r="113" spans="2:9">
      <c r="B113" s="123"/>
      <c r="C113" s="123"/>
      <c r="D113" s="123"/>
      <c r="E113" s="123"/>
      <c r="F113" s="123"/>
      <c r="G113" s="123"/>
      <c r="H113" s="123"/>
      <c r="I113" s="123"/>
    </row>
    <row r="114" spans="2:9">
      <c r="B114" s="123"/>
      <c r="C114" s="123"/>
      <c r="D114" s="123"/>
      <c r="E114" s="123"/>
      <c r="F114" s="123"/>
      <c r="G114" s="123"/>
      <c r="H114" s="123"/>
      <c r="I114" s="123"/>
    </row>
    <row r="115" spans="2:9">
      <c r="B115" s="123"/>
      <c r="C115" s="123"/>
      <c r="D115" s="123"/>
      <c r="E115" s="123"/>
      <c r="F115" s="123"/>
      <c r="G115" s="123"/>
      <c r="H115" s="123"/>
      <c r="I115" s="123"/>
    </row>
    <row r="116" spans="2:9">
      <c r="B116" s="123"/>
      <c r="C116" s="123"/>
      <c r="D116" s="123"/>
      <c r="E116" s="123"/>
      <c r="F116" s="123"/>
      <c r="G116" s="123"/>
      <c r="H116" s="123"/>
      <c r="I116" s="123"/>
    </row>
    <row r="117" spans="2:9">
      <c r="B117" s="123"/>
      <c r="C117" s="123"/>
      <c r="D117" s="123"/>
      <c r="E117" s="123"/>
      <c r="F117" s="123"/>
      <c r="G117" s="123"/>
      <c r="H117" s="123"/>
      <c r="I117" s="123"/>
    </row>
    <row r="118" spans="2:9">
      <c r="B118" s="123"/>
      <c r="C118" s="123"/>
      <c r="D118" s="123"/>
      <c r="E118" s="123"/>
      <c r="F118" s="123"/>
      <c r="G118" s="123"/>
      <c r="H118" s="123"/>
      <c r="I118" s="123"/>
    </row>
    <row r="119" spans="2:9">
      <c r="B119" s="123"/>
      <c r="C119" s="123"/>
      <c r="D119" s="123"/>
      <c r="E119" s="123"/>
      <c r="F119" s="123"/>
      <c r="G119" s="123"/>
      <c r="H119" s="123"/>
      <c r="I119" s="123"/>
    </row>
    <row r="120" spans="2:9">
      <c r="B120" s="123"/>
      <c r="C120" s="123"/>
      <c r="D120" s="123"/>
      <c r="E120" s="123"/>
      <c r="F120" s="123"/>
      <c r="G120" s="123"/>
      <c r="H120" s="123"/>
      <c r="I120" s="123"/>
    </row>
    <row r="121" spans="2:9">
      <c r="B121" s="123"/>
      <c r="C121" s="123"/>
      <c r="D121" s="123"/>
      <c r="E121" s="123"/>
      <c r="F121" s="123"/>
      <c r="G121" s="123"/>
      <c r="H121" s="123"/>
      <c r="I121" s="123"/>
    </row>
    <row r="122" spans="2:9">
      <c r="B122" s="123"/>
      <c r="C122" s="123"/>
      <c r="D122" s="123"/>
      <c r="E122" s="123"/>
      <c r="F122" s="123"/>
      <c r="G122" s="123"/>
      <c r="H122" s="123"/>
      <c r="I122" s="123"/>
    </row>
    <row r="123" spans="2:9">
      <c r="B123" s="123"/>
      <c r="C123" s="123"/>
      <c r="D123" s="123"/>
      <c r="E123" s="123"/>
      <c r="F123" s="123"/>
      <c r="G123" s="123"/>
      <c r="H123" s="123"/>
      <c r="I123" s="123"/>
    </row>
    <row r="124" spans="2:9">
      <c r="B124" s="123"/>
      <c r="C124" s="123"/>
      <c r="D124" s="123"/>
      <c r="E124" s="123"/>
      <c r="F124" s="123"/>
      <c r="G124" s="123"/>
      <c r="H124" s="123"/>
      <c r="I124" s="123"/>
    </row>
    <row r="125" spans="2:9">
      <c r="B125" s="123"/>
      <c r="C125" s="123"/>
      <c r="D125" s="123"/>
      <c r="E125" s="123"/>
      <c r="F125" s="123"/>
      <c r="G125" s="123"/>
      <c r="H125" s="123"/>
      <c r="I125" s="123"/>
    </row>
    <row r="126" spans="2:9">
      <c r="B126" s="123"/>
      <c r="C126" s="123"/>
      <c r="D126" s="123"/>
      <c r="E126" s="123"/>
      <c r="F126" s="123"/>
      <c r="G126" s="123"/>
      <c r="H126" s="123"/>
      <c r="I126" s="123"/>
    </row>
    <row r="127" spans="2:9">
      <c r="B127" s="123"/>
      <c r="C127" s="123"/>
      <c r="D127" s="123"/>
      <c r="E127" s="123"/>
      <c r="F127" s="123"/>
      <c r="G127" s="123"/>
      <c r="H127" s="123"/>
      <c r="I127" s="123"/>
    </row>
    <row r="128" spans="2:9">
      <c r="B128" s="123"/>
      <c r="C128" s="123"/>
      <c r="D128" s="123"/>
      <c r="E128" s="123"/>
      <c r="F128" s="123"/>
      <c r="G128" s="123"/>
      <c r="H128" s="123"/>
      <c r="I128" s="123"/>
    </row>
  </sheetData>
  <sheetProtection algorithmName="SHA-512" hashValue="w4Mqg9mbGz9EPGj5h/WgDde6BgjPT7kWYzSJIRbdTxJRaOa7wu947+cQrloZBF4QoEaQBux19uf7rVpe1Eadqw==" saltValue="cnkVe3f8Lo0OIrZKnb2qig==" spinCount="100000" sheet="1" objects="1" scenarios="1"/>
  <protectedRanges>
    <protectedRange sqref="X48:X49 Z48:Z49 X53:X54 Z53:Z54 AB43" name="Rango6"/>
    <protectedRange sqref="C33:C34 E33:E34 C38:C39 E38:E39 C43:C44 E43:E44 C48:C49 E48:E49 C53:C54 E53:E54 C58:C59 E58:E59 C63:C64 E63:E64 C68:C69 E68:E69" name="Rango4"/>
    <protectedRange sqref="X4 Z4 X6 Z6 X8 Z8 X10 Z10 X12 Z12 X14 Z14 C18 E18 C20 E20 C22 E22 C24 E24 C26 E26 C28 E28 J18 L18 J20 L20 J22 L22 J24 L24 J26 L26 J28 L28" name="Rango2"/>
    <protectedRange sqref="C4 C6 C8 C10 C12 C14 E4 E6 E8 E10 E12 E14 J4 L4 J6 L6 J8 L8 J10 L10 J12 L12 J14 L14 Q4 S4 Q6 S6 Q8 S8 Q10 S10 Q12 S12 Q14 S14 X18 X20 X22 X24 X26 X28 Z18 Z20 Z22 Z24 Z26 Z28" name="Rango1"/>
    <protectedRange sqref="Q18 S18 Q20 S20 Q22 S22 Q24 S24 Q26 S26 Q28 S28" name="Rango3"/>
    <protectedRange sqref="J35:J36 L35:L36 J45:J46 L45:L46 J55:J56 L55:L56 J65:J66 L65:L66 Q40:Q41 S40:S41 Q60:Q61 S60:S61" name="Rango5"/>
  </protectedRanges>
  <customSheetViews>
    <customSheetView guid="{387210E2-BDFB-42E5-A6C7-A37C9701EAB6}" showGridLines="0" topLeftCell="A4">
      <selection activeCell="C4" sqref="C4"/>
      <pageMargins left="0" right="0" top="0" bottom="0" header="0" footer="0"/>
      <pageSetup paperSize="9" orientation="portrait" r:id="rId1"/>
      <headerFooter alignWithMargins="0"/>
    </customSheetView>
    <customSheetView guid="{E2621C8A-2AE3-484D-B751-B92E60BB88F8}" showGridLines="0" topLeftCell="A4">
      <selection activeCell="C4" sqref="C4"/>
      <pageMargins left="0" right="0" top="0" bottom="0" header="0" footer="0"/>
      <pageSetup paperSize="9" orientation="portrait" r:id="rId2"/>
      <headerFooter alignWithMargins="0"/>
    </customSheetView>
  </customSheetViews>
  <mergeCells count="100">
    <mergeCell ref="AC53:AD54"/>
    <mergeCell ref="AC52:AD52"/>
    <mergeCell ref="B2:F2"/>
    <mergeCell ref="I2:M2"/>
    <mergeCell ref="P2:T2"/>
    <mergeCell ref="W2:AA2"/>
    <mergeCell ref="B16:F16"/>
    <mergeCell ref="I16:M16"/>
    <mergeCell ref="P16:T16"/>
    <mergeCell ref="B33:B34"/>
    <mergeCell ref="C33:C34"/>
    <mergeCell ref="E33:E34"/>
    <mergeCell ref="F33:F34"/>
    <mergeCell ref="W16:AA16"/>
    <mergeCell ref="B30:F30"/>
    <mergeCell ref="B32:C32"/>
    <mergeCell ref="E32:F32"/>
    <mergeCell ref="I32:M32"/>
    <mergeCell ref="P40:P41"/>
    <mergeCell ref="Q40:Q41"/>
    <mergeCell ref="S40:S41"/>
    <mergeCell ref="T40:T41"/>
    <mergeCell ref="I35:I36"/>
    <mergeCell ref="J35:J36"/>
    <mergeCell ref="L35:L36"/>
    <mergeCell ref="M35:M36"/>
    <mergeCell ref="P37:T37"/>
    <mergeCell ref="B38:B39"/>
    <mergeCell ref="C38:C39"/>
    <mergeCell ref="E38:E39"/>
    <mergeCell ref="F38:F39"/>
    <mergeCell ref="B37:C37"/>
    <mergeCell ref="E37:F37"/>
    <mergeCell ref="AC45:AD46"/>
    <mergeCell ref="B42:C42"/>
    <mergeCell ref="E42:F42"/>
    <mergeCell ref="B43:B44"/>
    <mergeCell ref="C43:C44"/>
    <mergeCell ref="E43:E44"/>
    <mergeCell ref="F43:F44"/>
    <mergeCell ref="I45:I46"/>
    <mergeCell ref="J45:J46"/>
    <mergeCell ref="L45:L46"/>
    <mergeCell ref="M45:M46"/>
    <mergeCell ref="W45:AA46"/>
    <mergeCell ref="AB43:AD43"/>
    <mergeCell ref="AC48:AD49"/>
    <mergeCell ref="W51:AA51"/>
    <mergeCell ref="Z48:Z49"/>
    <mergeCell ref="AA48:AA49"/>
    <mergeCell ref="B47:C47"/>
    <mergeCell ref="E47:F47"/>
    <mergeCell ref="AC47:AD47"/>
    <mergeCell ref="W48:W49"/>
    <mergeCell ref="X48:X49"/>
    <mergeCell ref="B48:B49"/>
    <mergeCell ref="C48:C49"/>
    <mergeCell ref="E48:E49"/>
    <mergeCell ref="F48:F49"/>
    <mergeCell ref="B53:B54"/>
    <mergeCell ref="C53:C54"/>
    <mergeCell ref="E53:E54"/>
    <mergeCell ref="F53:F54"/>
    <mergeCell ref="B52:C52"/>
    <mergeCell ref="E52:F52"/>
    <mergeCell ref="Z53:Z54"/>
    <mergeCell ref="AA53:AA54"/>
    <mergeCell ref="I55:I56"/>
    <mergeCell ref="J55:J56"/>
    <mergeCell ref="L55:L56"/>
    <mergeCell ref="M55:M56"/>
    <mergeCell ref="W53:W54"/>
    <mergeCell ref="X53:X54"/>
    <mergeCell ref="B57:C57"/>
    <mergeCell ref="E57:F57"/>
    <mergeCell ref="B58:B59"/>
    <mergeCell ref="C58:C59"/>
    <mergeCell ref="E58:E59"/>
    <mergeCell ref="F58:F59"/>
    <mergeCell ref="AA60:AC61"/>
    <mergeCell ref="B62:C62"/>
    <mergeCell ref="E62:F62"/>
    <mergeCell ref="B63:B64"/>
    <mergeCell ref="C63:C64"/>
    <mergeCell ref="E63:E64"/>
    <mergeCell ref="F63:F64"/>
    <mergeCell ref="P60:P61"/>
    <mergeCell ref="Q60:Q61"/>
    <mergeCell ref="S60:S61"/>
    <mergeCell ref="T60:T61"/>
    <mergeCell ref="J65:J66"/>
    <mergeCell ref="L65:L66"/>
    <mergeCell ref="M65:M66"/>
    <mergeCell ref="B67:C67"/>
    <mergeCell ref="E67:F67"/>
    <mergeCell ref="B68:B69"/>
    <mergeCell ref="C68:C69"/>
    <mergeCell ref="E68:E69"/>
    <mergeCell ref="F68:F69"/>
    <mergeCell ref="I65:I66"/>
  </mergeCells>
  <phoneticPr fontId="38" type="noConversion"/>
  <conditionalFormatting sqref="C35 C40 C45 C50 C55 C60 C65 C70 J37 X55 J57 J67 Q62 Q42 X50 J47">
    <cfRule type="expression" dxfId="1" priority="1" stopIfTrue="1">
      <formula>IF(AND(C33=E33,C33&lt;&gt;"",E33&lt;&gt;""),1,0)</formula>
    </cfRule>
  </conditionalFormatting>
  <conditionalFormatting sqref="E35 E40 E45 E50 E55 E60 E65 E70 L37 Z55 L57 L67 S62 S42 Z50 L47">
    <cfRule type="expression" dxfId="0" priority="2" stopIfTrue="1">
      <formula>IF(AND(C33=E33,C33&lt;&gt;"",E33&lt;&gt;""),1,0)</formula>
    </cfRule>
  </conditionalFormatting>
  <hyperlinks>
    <hyperlink ref="AA60:AC61" location="Portada!A1" display="Menu Principal" xr:uid="{00000000-0004-0000-0E00-000000000000}"/>
  </hyperlinks>
  <pageMargins left="0.75" right="0.75" top="1" bottom="1" header="0" footer="0"/>
  <pageSetup paperSize="9" orientation="portrait" r:id="rId3"/>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3"/>
  <dimension ref="A2:AL55"/>
  <sheetViews>
    <sheetView topLeftCell="A16" workbookViewId="0">
      <pane xSplit="5" topLeftCell="F1" activePane="topRight" state="frozen"/>
      <selection pane="topRight" activeCell="S35" sqref="S35"/>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A -'!V7&lt;&gt;"",'- A -'!V7,"")</f>
        <v>Qatar</v>
      </c>
      <c r="N2" t="str">
        <f>IF('- A -'!V9&lt;&gt;"",'- A -'!V9,"")</f>
        <v>Ecuador</v>
      </c>
      <c r="U2" t="str">
        <f>IF('- A -'!V11&lt;&gt;"",'- A -'!V11,"")</f>
        <v>Senegal</v>
      </c>
      <c r="AB2" t="str">
        <f>IF('- A -'!V13&lt;&gt;"",'- A -'!V13,"")</f>
        <v>Netherlands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A -'!B6</f>
        <v>Qatar</v>
      </c>
      <c r="B4" s="1">
        <f ca="1">IF('- A -'!C6&lt;&gt;"",'- A -'!C6,"")</f>
        <v>10</v>
      </c>
      <c r="C4" s="1" t="str">
        <f>'- A -'!D6</f>
        <v>-</v>
      </c>
      <c r="D4" s="1">
        <f ca="1">IF('- A -'!E6&lt;&gt;"",'- A -'!E6,"")</f>
        <v>1</v>
      </c>
      <c r="E4" s="3" t="str">
        <f>'- A -'!F6</f>
        <v>Ecuador</v>
      </c>
      <c r="F4" s="1">
        <f ca="1">COUNTBLANK('- A -'!C6:'- A -'!E6)</f>
        <v>0</v>
      </c>
      <c r="G4">
        <f t="shared" ref="G4:G9" ca="1" si="0">IF(AND(F4=0,OR($A4=$G$2,$E4=$G$2)),1,0)</f>
        <v>1</v>
      </c>
      <c r="H4">
        <f t="shared" ref="H4:H9" ca="1" si="1">IF(AND(F4=0,OR(AND($A4=$G$2,$B4&gt;$D4),AND($E4=$G$2,$D4&gt;$B4))),1,0)</f>
        <v>1</v>
      </c>
      <c r="I4">
        <f t="shared" ref="I4:I9" ca="1" si="2">IF(AND(F4=0,G4=1,$B4=$D4),1,0)</f>
        <v>0</v>
      </c>
      <c r="J4">
        <f t="shared" ref="J4:J9" ca="1" si="3">IF(AND(F4=0,OR(AND($A4=$G$2,$B4&lt;$D4),AND($E4=$G$2,$D4&lt;$B4))),1,0)</f>
        <v>0</v>
      </c>
      <c r="K4">
        <f t="shared" ref="K4:K9" ca="1" si="4">IF(F4&gt;0,0,IF($A4=$G$2,$B4,IF($E4=$G$2,$D4,0)))</f>
        <v>10</v>
      </c>
      <c r="L4">
        <f t="shared" ref="L4:L9" ca="1" si="5">IF(F4&gt;0,0,IF($A4=$G$2,$D4,IF($E4=$G$2,$B4,0)))</f>
        <v>1</v>
      </c>
      <c r="N4">
        <f t="shared" ref="N4:N9" ca="1" si="6">IF(AND(F4=0,OR($A4=$N$2,$E4=$N$2)),1,0)</f>
        <v>1</v>
      </c>
      <c r="O4">
        <f t="shared" ref="O4:O9" ca="1" si="7">IF(AND(F4=0,OR(AND($A4=$N$2,$B4&gt;$D4),AND($E4=$N$2,$D4&gt;$B4))),1,0)</f>
        <v>0</v>
      </c>
      <c r="P4">
        <f t="shared" ref="P4:P9" ca="1" si="8">IF(AND(F4=0,N4=1,$B4=$D4),1,0)</f>
        <v>0</v>
      </c>
      <c r="Q4">
        <f t="shared" ref="Q4:Q9" ca="1" si="9">IF(AND(F4=0,OR(AND($A4=$N$2,$B4&lt;$D4),AND($E4=$N$2,$D4&lt;$B4))),1,0)</f>
        <v>1</v>
      </c>
      <c r="R4">
        <f t="shared" ref="R4:R9" ca="1" si="10">IF(F4&gt;0,0,IF($A4=$N$2,$B4,IF($E4=$N$2,$D4,0)))</f>
        <v>1</v>
      </c>
      <c r="S4">
        <f t="shared" ref="S4:S9" ca="1" si="11">IF(F4&gt;0,0,IF($A4=$N$2,$D4,IF($E4=$N$2,$B4,0)))</f>
        <v>10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A -'!B7</f>
        <v>Senegal</v>
      </c>
      <c r="B5" s="1">
        <f ca="1">IF('- A -'!C7&lt;&gt;"",'- A -'!C7,"")</f>
        <v>0</v>
      </c>
      <c r="C5" s="1" t="str">
        <f>'- A -'!D7</f>
        <v>-</v>
      </c>
      <c r="D5" s="1">
        <f ca="1">IF('- A -'!E7&lt;&gt;"",'- A -'!E7,"")</f>
        <v>4</v>
      </c>
      <c r="E5" s="3" t="str">
        <f>'- A -'!F7</f>
        <v>Netherlands</v>
      </c>
      <c r="F5" s="1">
        <f ca="1">COUNTBLANK('- A -'!C7:'- A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0</v>
      </c>
      <c r="X5">
        <f t="shared" ca="1" si="15"/>
        <v>1</v>
      </c>
      <c r="Y5">
        <f t="shared" ca="1" si="16"/>
        <v>0</v>
      </c>
      <c r="Z5">
        <f t="shared" ca="1" si="17"/>
        <v>4</v>
      </c>
      <c r="AB5">
        <f t="shared" ca="1" si="18"/>
        <v>1</v>
      </c>
      <c r="AC5">
        <f t="shared" ca="1" si="19"/>
        <v>1</v>
      </c>
      <c r="AD5">
        <f t="shared" ca="1" si="20"/>
        <v>0</v>
      </c>
      <c r="AE5">
        <f t="shared" ca="1" si="21"/>
        <v>0</v>
      </c>
      <c r="AF5">
        <f t="shared" ca="1" si="22"/>
        <v>4</v>
      </c>
      <c r="AG5">
        <f t="shared" ca="1" si="23"/>
        <v>0</v>
      </c>
    </row>
    <row r="6" spans="1:36">
      <c r="A6" s="2" t="str">
        <f>'- A -'!B8</f>
        <v>Qatar</v>
      </c>
      <c r="B6" s="1">
        <f ca="1">IF('- A -'!C8&lt;&gt;"",'- A -'!C8,"")</f>
        <v>4</v>
      </c>
      <c r="C6" s="1" t="str">
        <f>'- A -'!D8</f>
        <v>-</v>
      </c>
      <c r="D6" s="1">
        <f ca="1">IF('- A -'!E8&lt;&gt;"",'- A -'!E8,"")</f>
        <v>2</v>
      </c>
      <c r="E6" s="3" t="str">
        <f>'- A -'!F8</f>
        <v>Senegal</v>
      </c>
      <c r="F6" s="1">
        <f ca="1">COUNTBLANK('- A -'!C8:'- A -'!E8)</f>
        <v>0</v>
      </c>
      <c r="G6">
        <f t="shared" ca="1" si="0"/>
        <v>1</v>
      </c>
      <c r="H6">
        <f t="shared" ca="1" si="1"/>
        <v>1</v>
      </c>
      <c r="I6">
        <f t="shared" ca="1" si="2"/>
        <v>0</v>
      </c>
      <c r="J6">
        <f t="shared" ca="1" si="3"/>
        <v>0</v>
      </c>
      <c r="K6">
        <f t="shared" ca="1" si="4"/>
        <v>4</v>
      </c>
      <c r="L6">
        <f t="shared" ca="1" si="5"/>
        <v>2</v>
      </c>
      <c r="N6">
        <f t="shared" ca="1" si="6"/>
        <v>0</v>
      </c>
      <c r="O6">
        <f t="shared" ca="1" si="7"/>
        <v>0</v>
      </c>
      <c r="P6">
        <f t="shared" ca="1" si="8"/>
        <v>0</v>
      </c>
      <c r="Q6">
        <f t="shared" ca="1" si="9"/>
        <v>0</v>
      </c>
      <c r="R6">
        <f t="shared" ca="1" si="10"/>
        <v>0</v>
      </c>
      <c r="S6">
        <f t="shared" ca="1" si="11"/>
        <v>0</v>
      </c>
      <c r="U6">
        <f t="shared" ca="1" si="12"/>
        <v>1</v>
      </c>
      <c r="V6">
        <f t="shared" ca="1" si="13"/>
        <v>0</v>
      </c>
      <c r="W6">
        <f t="shared" ca="1" si="14"/>
        <v>0</v>
      </c>
      <c r="X6">
        <f t="shared" ca="1" si="15"/>
        <v>1</v>
      </c>
      <c r="Y6">
        <f t="shared" ca="1" si="16"/>
        <v>2</v>
      </c>
      <c r="Z6">
        <f t="shared" ca="1" si="17"/>
        <v>4</v>
      </c>
      <c r="AB6">
        <f t="shared" ca="1" si="18"/>
        <v>0</v>
      </c>
      <c r="AC6">
        <f t="shared" ca="1" si="19"/>
        <v>0</v>
      </c>
      <c r="AD6">
        <f t="shared" ca="1" si="20"/>
        <v>0</v>
      </c>
      <c r="AE6">
        <f t="shared" ca="1" si="21"/>
        <v>0</v>
      </c>
      <c r="AF6">
        <f t="shared" ca="1" si="22"/>
        <v>0</v>
      </c>
      <c r="AG6">
        <f t="shared" ca="1" si="23"/>
        <v>0</v>
      </c>
    </row>
    <row r="7" spans="1:36">
      <c r="A7" s="2" t="str">
        <f>'- A -'!B9</f>
        <v>Netherlands</v>
      </c>
      <c r="B7" s="1">
        <f ca="1">IF('- A -'!C9&lt;&gt;"",'- A -'!C9,"")</f>
        <v>7</v>
      </c>
      <c r="C7" s="1" t="str">
        <f>'- A -'!D9</f>
        <v>-</v>
      </c>
      <c r="D7" s="1">
        <f ca="1">IF('- A -'!E9&lt;&gt;"",'- A -'!E9,"")</f>
        <v>2</v>
      </c>
      <c r="E7" s="3" t="str">
        <f>'- A -'!F9</f>
        <v>Ecuador</v>
      </c>
      <c r="F7" s="1">
        <f ca="1">COUNTBLANK('- A -'!C9:'- A -'!E9)</f>
        <v>0</v>
      </c>
      <c r="G7">
        <f t="shared" ca="1" si="0"/>
        <v>0</v>
      </c>
      <c r="H7">
        <f t="shared" ca="1" si="1"/>
        <v>0</v>
      </c>
      <c r="I7">
        <f t="shared" ca="1" si="2"/>
        <v>0</v>
      </c>
      <c r="J7">
        <f t="shared" ca="1" si="3"/>
        <v>0</v>
      </c>
      <c r="K7">
        <f t="shared" ca="1" si="4"/>
        <v>0</v>
      </c>
      <c r="L7">
        <f t="shared" ca="1" si="5"/>
        <v>0</v>
      </c>
      <c r="N7">
        <f t="shared" ca="1" si="6"/>
        <v>1</v>
      </c>
      <c r="O7">
        <f t="shared" ca="1" si="7"/>
        <v>0</v>
      </c>
      <c r="P7">
        <f t="shared" ca="1" si="8"/>
        <v>0</v>
      </c>
      <c r="Q7">
        <f t="shared" ca="1" si="9"/>
        <v>1</v>
      </c>
      <c r="R7">
        <f t="shared" ca="1" si="10"/>
        <v>2</v>
      </c>
      <c r="S7">
        <f t="shared" ca="1" si="11"/>
        <v>7</v>
      </c>
      <c r="U7">
        <f t="shared" ca="1" si="12"/>
        <v>0</v>
      </c>
      <c r="V7">
        <f t="shared" ca="1" si="13"/>
        <v>0</v>
      </c>
      <c r="W7">
        <f t="shared" ca="1" si="14"/>
        <v>0</v>
      </c>
      <c r="X7">
        <f t="shared" ca="1" si="15"/>
        <v>0</v>
      </c>
      <c r="Y7">
        <f t="shared" ca="1" si="16"/>
        <v>0</v>
      </c>
      <c r="Z7">
        <f t="shared" ca="1" si="17"/>
        <v>0</v>
      </c>
      <c r="AB7">
        <f t="shared" ca="1" si="18"/>
        <v>1</v>
      </c>
      <c r="AC7">
        <f t="shared" ca="1" si="19"/>
        <v>1</v>
      </c>
      <c r="AD7">
        <f t="shared" ca="1" si="20"/>
        <v>0</v>
      </c>
      <c r="AE7">
        <f t="shared" ca="1" si="21"/>
        <v>0</v>
      </c>
      <c r="AF7">
        <f t="shared" ca="1" si="22"/>
        <v>7</v>
      </c>
      <c r="AG7">
        <f t="shared" ca="1" si="23"/>
        <v>2</v>
      </c>
    </row>
    <row r="8" spans="1:36">
      <c r="A8" s="2" t="str">
        <f>'- A -'!B10</f>
        <v>Ecuador</v>
      </c>
      <c r="B8" s="1">
        <f ca="1">IF('- A -'!C10&lt;&gt;"",'- A -'!C10,"")</f>
        <v>10</v>
      </c>
      <c r="C8" s="1" t="str">
        <f>'- A -'!D10</f>
        <v>-</v>
      </c>
      <c r="D8" s="1">
        <f ca="1">IF('- A -'!E10&lt;&gt;"",'- A -'!E10,"")</f>
        <v>3</v>
      </c>
      <c r="E8" s="3" t="str">
        <f>'- A -'!F10</f>
        <v>Senegal</v>
      </c>
      <c r="F8" s="1">
        <f ca="1">COUNTBLANK('- A -'!C10:'- A -'!E10)</f>
        <v>0</v>
      </c>
      <c r="G8">
        <f t="shared" ca="1" si="0"/>
        <v>0</v>
      </c>
      <c r="H8">
        <f t="shared" ca="1" si="1"/>
        <v>0</v>
      </c>
      <c r="I8">
        <f t="shared" ca="1" si="2"/>
        <v>0</v>
      </c>
      <c r="J8">
        <f t="shared" ca="1" si="3"/>
        <v>0</v>
      </c>
      <c r="K8">
        <f t="shared" ca="1" si="4"/>
        <v>0</v>
      </c>
      <c r="L8">
        <f t="shared" ca="1" si="5"/>
        <v>0</v>
      </c>
      <c r="N8">
        <f t="shared" ca="1" si="6"/>
        <v>1</v>
      </c>
      <c r="O8">
        <f t="shared" ca="1" si="7"/>
        <v>1</v>
      </c>
      <c r="P8">
        <f t="shared" ca="1" si="8"/>
        <v>0</v>
      </c>
      <c r="Q8">
        <f t="shared" ca="1" si="9"/>
        <v>0</v>
      </c>
      <c r="R8">
        <f t="shared" ca="1" si="10"/>
        <v>10</v>
      </c>
      <c r="S8">
        <f t="shared" ca="1" si="11"/>
        <v>3</v>
      </c>
      <c r="U8">
        <f t="shared" ca="1" si="12"/>
        <v>1</v>
      </c>
      <c r="V8">
        <f t="shared" ca="1" si="13"/>
        <v>0</v>
      </c>
      <c r="W8">
        <f t="shared" ca="1" si="14"/>
        <v>0</v>
      </c>
      <c r="X8">
        <f t="shared" ca="1" si="15"/>
        <v>1</v>
      </c>
      <c r="Y8">
        <f t="shared" ca="1" si="16"/>
        <v>3</v>
      </c>
      <c r="Z8">
        <f t="shared" ca="1" si="17"/>
        <v>10</v>
      </c>
      <c r="AB8">
        <f t="shared" ca="1" si="18"/>
        <v>0</v>
      </c>
      <c r="AC8">
        <f t="shared" ca="1" si="19"/>
        <v>0</v>
      </c>
      <c r="AD8">
        <f t="shared" ca="1" si="20"/>
        <v>0</v>
      </c>
      <c r="AE8">
        <f t="shared" ca="1" si="21"/>
        <v>0</v>
      </c>
      <c r="AF8">
        <f t="shared" ca="1" si="22"/>
        <v>0</v>
      </c>
      <c r="AG8">
        <f t="shared" ca="1" si="23"/>
        <v>0</v>
      </c>
    </row>
    <row r="9" spans="1:36">
      <c r="A9" s="2" t="str">
        <f>'- A -'!B11</f>
        <v>Netherlands</v>
      </c>
      <c r="B9" s="1">
        <f ca="1">IF('- A -'!C11&lt;&gt;"",'- A -'!C11,"")</f>
        <v>3</v>
      </c>
      <c r="C9" s="1" t="str">
        <f>'- A -'!D11</f>
        <v>-</v>
      </c>
      <c r="D9" s="1">
        <f ca="1">IF('- A -'!E11&lt;&gt;"",'- A -'!E11,"")</f>
        <v>1</v>
      </c>
      <c r="E9" s="3" t="str">
        <f>'- A -'!F11</f>
        <v>Qatar</v>
      </c>
      <c r="F9" s="1">
        <f ca="1">COUNTBLANK('- A -'!C11:'- A -'!E11)</f>
        <v>0</v>
      </c>
      <c r="G9">
        <f t="shared" ca="1" si="0"/>
        <v>1</v>
      </c>
      <c r="H9">
        <f t="shared" ca="1" si="1"/>
        <v>0</v>
      </c>
      <c r="I9">
        <f t="shared" ca="1" si="2"/>
        <v>0</v>
      </c>
      <c r="J9">
        <f t="shared" ca="1" si="3"/>
        <v>1</v>
      </c>
      <c r="K9">
        <f t="shared" ca="1" si="4"/>
        <v>1</v>
      </c>
      <c r="L9">
        <f t="shared" ca="1" si="5"/>
        <v>3</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1</v>
      </c>
      <c r="AD9">
        <f t="shared" ca="1" si="20"/>
        <v>0</v>
      </c>
      <c r="AE9">
        <f t="shared" ca="1" si="21"/>
        <v>0</v>
      </c>
      <c r="AF9">
        <f t="shared" ca="1" si="22"/>
        <v>3</v>
      </c>
      <c r="AG9">
        <f t="shared" ca="1" si="23"/>
        <v>1</v>
      </c>
    </row>
    <row r="10" spans="1:36">
      <c r="G10">
        <f t="shared" ref="G10:L10" ca="1" si="24">SUM(G4:G9)</f>
        <v>3</v>
      </c>
      <c r="H10">
        <f t="shared" ca="1" si="24"/>
        <v>2</v>
      </c>
      <c r="I10">
        <f t="shared" ca="1" si="24"/>
        <v>0</v>
      </c>
      <c r="J10">
        <f t="shared" ca="1" si="24"/>
        <v>1</v>
      </c>
      <c r="K10">
        <f t="shared" ca="1" si="24"/>
        <v>15</v>
      </c>
      <c r="L10">
        <f t="shared" ca="1" si="24"/>
        <v>6</v>
      </c>
      <c r="M10">
        <f ca="1">H10*3+I10</f>
        <v>6</v>
      </c>
      <c r="N10">
        <f t="shared" ref="N10:S10" ca="1" si="25">SUM(N4:N9)</f>
        <v>3</v>
      </c>
      <c r="O10">
        <f t="shared" ca="1" si="25"/>
        <v>1</v>
      </c>
      <c r="P10">
        <f t="shared" ca="1" si="25"/>
        <v>0</v>
      </c>
      <c r="Q10">
        <f t="shared" ca="1" si="25"/>
        <v>2</v>
      </c>
      <c r="R10">
        <f t="shared" ca="1" si="25"/>
        <v>13</v>
      </c>
      <c r="S10">
        <f t="shared" ca="1" si="25"/>
        <v>20</v>
      </c>
      <c r="T10">
        <f ca="1">O10*3+P10</f>
        <v>3</v>
      </c>
      <c r="U10">
        <f t="shared" ref="U10:Z10" ca="1" si="26">SUM(U4:U9)</f>
        <v>3</v>
      </c>
      <c r="V10">
        <f t="shared" ca="1" si="26"/>
        <v>0</v>
      </c>
      <c r="W10">
        <f t="shared" ca="1" si="26"/>
        <v>0</v>
      </c>
      <c r="X10">
        <f t="shared" ca="1" si="26"/>
        <v>3</v>
      </c>
      <c r="Y10">
        <f t="shared" ca="1" si="26"/>
        <v>5</v>
      </c>
      <c r="Z10">
        <f t="shared" ca="1" si="26"/>
        <v>18</v>
      </c>
      <c r="AA10">
        <f ca="1">V10*3+W10</f>
        <v>0</v>
      </c>
      <c r="AB10">
        <f t="shared" ref="AB10:AG10" ca="1" si="27">SUM(AB4:AB9)</f>
        <v>3</v>
      </c>
      <c r="AC10">
        <f t="shared" ca="1" si="27"/>
        <v>3</v>
      </c>
      <c r="AD10">
        <f t="shared" ca="1" si="27"/>
        <v>0</v>
      </c>
      <c r="AE10">
        <f t="shared" ca="1" si="27"/>
        <v>0</v>
      </c>
      <c r="AF10">
        <f t="shared" ca="1" si="27"/>
        <v>14</v>
      </c>
      <c r="AG10">
        <f t="shared" ca="1" si="27"/>
        <v>3</v>
      </c>
      <c r="AH10">
        <f ca="1">AC10*3+AD10</f>
        <v>9</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Qatar</v>
      </c>
      <c r="G16">
        <f t="shared" ref="G16:M16" ca="1" si="28">G10</f>
        <v>3</v>
      </c>
      <c r="H16">
        <f t="shared" ca="1" si="28"/>
        <v>2</v>
      </c>
      <c r="I16">
        <f t="shared" ca="1" si="28"/>
        <v>0</v>
      </c>
      <c r="J16">
        <f t="shared" ca="1" si="28"/>
        <v>1</v>
      </c>
      <c r="K16">
        <f t="shared" ca="1" si="28"/>
        <v>15</v>
      </c>
      <c r="L16">
        <f t="shared" ca="1" si="28"/>
        <v>6</v>
      </c>
      <c r="M16">
        <f t="shared" ca="1" si="28"/>
        <v>6</v>
      </c>
      <c r="O16" t="str">
        <f ca="1">IF($M16&gt;=$M17,$F16,$F17)</f>
        <v>Qatar</v>
      </c>
      <c r="P16">
        <f ca="1">VLOOKUP(O16,$F$16:$M$25,8,FALSE)</f>
        <v>6</v>
      </c>
      <c r="S16" t="str">
        <f ca="1">IF($P16&gt;=$P18,$O16,$O18)</f>
        <v>Qatar</v>
      </c>
      <c r="T16">
        <f ca="1">VLOOKUP(S16,$O$16:$P$25,2,FALSE)</f>
        <v>6</v>
      </c>
      <c r="W16" t="str">
        <f ca="1">IF($T16&gt;=$T19,$S16,$S19)</f>
        <v>Netherlands</v>
      </c>
      <c r="X16">
        <f ca="1">VLOOKUP(W16,$S$16:$T$25,2,FALSE)</f>
        <v>9</v>
      </c>
      <c r="AA16" t="str">
        <f ca="1">W16</f>
        <v>Netherlands</v>
      </c>
      <c r="AB16">
        <f ca="1">VLOOKUP(AA16,W16:X25,2,FALSE)</f>
        <v>9</v>
      </c>
      <c r="AE16" t="str">
        <f ca="1">AA16</f>
        <v>Netherlands</v>
      </c>
      <c r="AF16">
        <f ca="1">VLOOKUP(AE16,AA16:AB25,2,FALSE)</f>
        <v>9</v>
      </c>
      <c r="AI16" t="str">
        <f ca="1">AE16</f>
        <v>Netherlands</v>
      </c>
      <c r="AJ16">
        <f ca="1">VLOOKUP(AI16,AE16:AF25,2,FALSE)</f>
        <v>9</v>
      </c>
    </row>
    <row r="17" spans="6:37">
      <c r="F17" t="str">
        <f>N2</f>
        <v>Ecuador</v>
      </c>
      <c r="G17">
        <f t="shared" ref="G17:L17" ca="1" si="29">N10</f>
        <v>3</v>
      </c>
      <c r="H17">
        <f t="shared" ca="1" si="29"/>
        <v>1</v>
      </c>
      <c r="I17">
        <f t="shared" ca="1" si="29"/>
        <v>0</v>
      </c>
      <c r="J17">
        <f t="shared" ca="1" si="29"/>
        <v>2</v>
      </c>
      <c r="K17">
        <f t="shared" ca="1" si="29"/>
        <v>13</v>
      </c>
      <c r="L17">
        <f t="shared" ca="1" si="29"/>
        <v>20</v>
      </c>
      <c r="M17">
        <f ca="1">T10</f>
        <v>3</v>
      </c>
      <c r="O17" t="str">
        <f ca="1">IF($M17&lt;=$M16,$F17,$F16)</f>
        <v>Ecuador</v>
      </c>
      <c r="P17">
        <f ca="1">VLOOKUP(O17,$F$16:$M$25,8,FALSE)</f>
        <v>3</v>
      </c>
      <c r="S17" t="str">
        <f ca="1">O17</f>
        <v>Ecuador</v>
      </c>
      <c r="T17">
        <f ca="1">VLOOKUP(S17,$O$16:$P$25,2,FALSE)</f>
        <v>3</v>
      </c>
      <c r="W17" t="str">
        <f ca="1">S17</f>
        <v>Ecuador</v>
      </c>
      <c r="X17">
        <f ca="1">VLOOKUP(W17,$S$16:$T$25,2,FALSE)</f>
        <v>3</v>
      </c>
      <c r="AA17" t="str">
        <f ca="1">IF(X17&gt;=X18,W17,W18)</f>
        <v>Ecuador</v>
      </c>
      <c r="AB17">
        <f ca="1">VLOOKUP(AA17,W16:X25,2,FALSE)</f>
        <v>3</v>
      </c>
      <c r="AE17" t="str">
        <f ca="1">IF(AB17&gt;=AB19,AA17,AA19)</f>
        <v>Qatar</v>
      </c>
      <c r="AF17">
        <f ca="1">VLOOKUP(AE17,AA16:AB25,2,FALSE)</f>
        <v>6</v>
      </c>
      <c r="AI17" t="str">
        <f ca="1">AE17</f>
        <v>Qatar</v>
      </c>
      <c r="AJ17">
        <f ca="1">VLOOKUP(AI17,AE16:AF25,2,FALSE)</f>
        <v>6</v>
      </c>
    </row>
    <row r="18" spans="6:37">
      <c r="F18" t="str">
        <f>U2</f>
        <v>Senegal</v>
      </c>
      <c r="G18">
        <f t="shared" ref="G18:M18" ca="1" si="30">U10</f>
        <v>3</v>
      </c>
      <c r="H18">
        <f t="shared" ca="1" si="30"/>
        <v>0</v>
      </c>
      <c r="I18">
        <f t="shared" ca="1" si="30"/>
        <v>0</v>
      </c>
      <c r="J18">
        <f t="shared" ca="1" si="30"/>
        <v>3</v>
      </c>
      <c r="K18">
        <f t="shared" ca="1" si="30"/>
        <v>5</v>
      </c>
      <c r="L18">
        <f t="shared" ca="1" si="30"/>
        <v>18</v>
      </c>
      <c r="M18">
        <f t="shared" ca="1" si="30"/>
        <v>0</v>
      </c>
      <c r="O18" t="str">
        <f>F18</f>
        <v>Senegal</v>
      </c>
      <c r="P18">
        <f ca="1">VLOOKUP(O18,$F$16:$M$25,8,FALSE)</f>
        <v>0</v>
      </c>
      <c r="S18" t="str">
        <f ca="1">IF($P18&lt;=$P16,$O18,$O16)</f>
        <v>Senegal</v>
      </c>
      <c r="T18">
        <f ca="1">VLOOKUP(S18,$O$16:$P$25,2,FALSE)</f>
        <v>0</v>
      </c>
      <c r="W18" t="str">
        <f ca="1">S18</f>
        <v>Senegal</v>
      </c>
      <c r="X18">
        <f ca="1">VLOOKUP(W18,$S$16:$T$25,2,FALSE)</f>
        <v>0</v>
      </c>
      <c r="AA18" t="str">
        <f ca="1">IF(X18&lt;=X17,W18,W17)</f>
        <v>Senegal</v>
      </c>
      <c r="AB18">
        <f ca="1">VLOOKUP(AA18,W16:X25,2,FALSE)</f>
        <v>0</v>
      </c>
      <c r="AE18" t="str">
        <f ca="1">AA18</f>
        <v>Senegal</v>
      </c>
      <c r="AF18">
        <f ca="1">VLOOKUP(AE18,AA16:AB25,2,FALSE)</f>
        <v>0</v>
      </c>
      <c r="AI18" t="str">
        <f ca="1">IF(AF18&gt;=AF19,AE18,AE19)</f>
        <v>Ecuador</v>
      </c>
      <c r="AJ18">
        <f ca="1">VLOOKUP(AI18,AE16:AF25,2,FALSE)</f>
        <v>3</v>
      </c>
    </row>
    <row r="19" spans="6:37">
      <c r="F19" t="str">
        <f>AB2</f>
        <v>Netherlands</v>
      </c>
      <c r="G19">
        <f t="shared" ref="G19:M19" ca="1" si="31">AB10</f>
        <v>3</v>
      </c>
      <c r="H19">
        <f t="shared" ca="1" si="31"/>
        <v>3</v>
      </c>
      <c r="I19">
        <f t="shared" ca="1" si="31"/>
        <v>0</v>
      </c>
      <c r="J19">
        <f t="shared" ca="1" si="31"/>
        <v>0</v>
      </c>
      <c r="K19">
        <f t="shared" ca="1" si="31"/>
        <v>14</v>
      </c>
      <c r="L19">
        <f t="shared" ca="1" si="31"/>
        <v>3</v>
      </c>
      <c r="M19">
        <f t="shared" ca="1" si="31"/>
        <v>9</v>
      </c>
      <c r="O19" t="str">
        <f>F19</f>
        <v>Netherlands</v>
      </c>
      <c r="P19">
        <f ca="1">VLOOKUP(O19,$F$16:$M$25,8,FALSE)</f>
        <v>9</v>
      </c>
      <c r="S19" t="str">
        <f>O19</f>
        <v>Netherlands</v>
      </c>
      <c r="T19">
        <f ca="1">VLOOKUP(S19,$O$16:$P$25,2,FALSE)</f>
        <v>9</v>
      </c>
      <c r="W19" t="str">
        <f ca="1">IF($T19&lt;=$T16,$S19,$S16)</f>
        <v>Qatar</v>
      </c>
      <c r="X19">
        <f ca="1">VLOOKUP(W19,$S$16:$T$25,2,FALSE)</f>
        <v>6</v>
      </c>
      <c r="AA19" t="str">
        <f ca="1">W19</f>
        <v>Qatar</v>
      </c>
      <c r="AB19">
        <f ca="1">VLOOKUP(AA19,W16:X25,2,FALSE)</f>
        <v>6</v>
      </c>
      <c r="AE19" t="str">
        <f ca="1">IF(AB19&lt;=AB17,AA19,AA17)</f>
        <v>Ecuador</v>
      </c>
      <c r="AF19">
        <f ca="1">VLOOKUP(AE19,AA16:AB25,2,FALSE)</f>
        <v>3</v>
      </c>
      <c r="AI19" t="str">
        <f ca="1">IF(AF19&lt;=AF18,AE19,AE18)</f>
        <v>Senegal</v>
      </c>
      <c r="AJ19">
        <f ca="1">VLOOKUP(AI19,AE16:AF25,2,FALSE)</f>
        <v>0</v>
      </c>
    </row>
    <row r="28" spans="6:37">
      <c r="F28" t="str">
        <f ca="1">AI16</f>
        <v>Netherlands</v>
      </c>
      <c r="J28">
        <f ca="1">AJ16</f>
        <v>9</v>
      </c>
      <c r="K28">
        <f ca="1">VLOOKUP(AI16,$F$16:$M$25,6,FALSE)</f>
        <v>14</v>
      </c>
      <c r="L28">
        <f ca="1">VLOOKUP(AI16,$F$16:$M$25,7,FALSE)</f>
        <v>3</v>
      </c>
      <c r="M28">
        <f ca="1">K28-L28</f>
        <v>11</v>
      </c>
      <c r="O28" t="str">
        <f ca="1">IF(AND($J28=$J29,$M29&gt;$M28),$F29,$F28)</f>
        <v>Netherlands</v>
      </c>
      <c r="P28">
        <f ca="1">VLOOKUP(O28,$F$28:$M$37,5,FALSE)</f>
        <v>9</v>
      </c>
      <c r="Q28">
        <f ca="1">VLOOKUP(O28,$F$28:$M$37,8,FALSE)</f>
        <v>11</v>
      </c>
      <c r="S28" t="str">
        <f ca="1">IF(AND(P28=P30,Q30&gt;Q28),O30,O28)</f>
        <v>Netherlands</v>
      </c>
      <c r="T28">
        <f ca="1">VLOOKUP(S28,$O$28:$Q$37,2,FALSE)</f>
        <v>9</v>
      </c>
      <c r="U28">
        <f ca="1">VLOOKUP(S28,$O$28:$Q$37,3,FALSE)</f>
        <v>11</v>
      </c>
      <c r="W28" t="str">
        <f ca="1">IF(AND(T28=T31,U31&gt;U28),S31,S28)</f>
        <v>Netherlands</v>
      </c>
      <c r="X28">
        <f ca="1">VLOOKUP(W28,$S$28:$U$37,2,FALSE)</f>
        <v>9</v>
      </c>
      <c r="Y28">
        <f ca="1">VLOOKUP(W28,$S$28:$U$37,3,FALSE)</f>
        <v>11</v>
      </c>
      <c r="AA28" t="str">
        <f ca="1">W28</f>
        <v>Netherlands</v>
      </c>
      <c r="AB28">
        <f ca="1">VLOOKUP(AA28,W28:Y37,2,FALSE)</f>
        <v>9</v>
      </c>
      <c r="AC28">
        <f ca="1">VLOOKUP(AA28,W28:Y37,3,FALSE)</f>
        <v>11</v>
      </c>
      <c r="AE28" t="str">
        <f ca="1">AA28</f>
        <v>Netherlands</v>
      </c>
      <c r="AF28">
        <f ca="1">VLOOKUP(AE28,AA28:AC37,2,FALSE)</f>
        <v>9</v>
      </c>
      <c r="AG28">
        <f ca="1">VLOOKUP(AE28,AA28:AC37,3,FALSE)</f>
        <v>11</v>
      </c>
      <c r="AI28" t="str">
        <f ca="1">AE28</f>
        <v>Netherlands</v>
      </c>
      <c r="AJ28">
        <f ca="1">VLOOKUP(AI28,AE28:AG37,2,FALSE)</f>
        <v>9</v>
      </c>
      <c r="AK28">
        <f ca="1">VLOOKUP(AI28,AE28:AG37,3,FALSE)</f>
        <v>11</v>
      </c>
    </row>
    <row r="29" spans="6:37">
      <c r="F29" t="str">
        <f ca="1">AI17</f>
        <v>Qatar</v>
      </c>
      <c r="J29">
        <f ca="1">AJ17</f>
        <v>6</v>
      </c>
      <c r="K29">
        <f ca="1">VLOOKUP(AI17,$F$16:$M$25,6,FALSE)</f>
        <v>15</v>
      </c>
      <c r="L29">
        <f ca="1">VLOOKUP(AI17,$F$16:$M$25,7,FALSE)</f>
        <v>6</v>
      </c>
      <c r="M29">
        <f ca="1">K29-L29</f>
        <v>9</v>
      </c>
      <c r="O29" t="str">
        <f ca="1">IF(AND($J28=$J29,$M29&gt;$M28),$F28,$F29)</f>
        <v>Qatar</v>
      </c>
      <c r="P29">
        <f ca="1">VLOOKUP(O29,$F$28:$M$37,5,FALSE)</f>
        <v>6</v>
      </c>
      <c r="Q29">
        <f ca="1">VLOOKUP(O29,$F$28:$M$37,8,FALSE)</f>
        <v>9</v>
      </c>
      <c r="S29" t="str">
        <f ca="1">O29</f>
        <v>Qatar</v>
      </c>
      <c r="T29">
        <f ca="1">VLOOKUP(S29,$O$28:$Q$37,2,FALSE)</f>
        <v>6</v>
      </c>
      <c r="U29">
        <f ca="1">VLOOKUP(S29,$O$28:$Q$37,3,FALSE)</f>
        <v>9</v>
      </c>
      <c r="W29" t="str">
        <f ca="1">S29</f>
        <v>Qatar</v>
      </c>
      <c r="X29">
        <f ca="1">VLOOKUP(W29,$S$28:$U$37,2,FALSE)</f>
        <v>6</v>
      </c>
      <c r="Y29">
        <f ca="1">VLOOKUP(W29,$S$28:$U$37,3,FALSE)</f>
        <v>9</v>
      </c>
      <c r="AA29" t="str">
        <f ca="1">IF(AND(X29=X30,Y30&gt;Y29),W30,W29)</f>
        <v>Qatar</v>
      </c>
      <c r="AB29">
        <f ca="1">VLOOKUP(AA29,W28:Y37,2,FALSE)</f>
        <v>6</v>
      </c>
      <c r="AC29">
        <f ca="1">VLOOKUP(AA29,W28:Y37,3,FALSE)</f>
        <v>9</v>
      </c>
      <c r="AE29" t="str">
        <f ca="1">IF(AND(AB29=AB31,AC31&gt;AC29),AA31,AA29)</f>
        <v>Qatar</v>
      </c>
      <c r="AF29">
        <f ca="1">VLOOKUP(AE29,AA28:AC37,2,FALSE)</f>
        <v>6</v>
      </c>
      <c r="AG29">
        <f ca="1">VLOOKUP(AE29,AA28:AC37,3,FALSE)</f>
        <v>9</v>
      </c>
      <c r="AI29" t="str">
        <f ca="1">AE29</f>
        <v>Qatar</v>
      </c>
      <c r="AJ29">
        <f ca="1">VLOOKUP(AI29,AE28:AG37,2,FALSE)</f>
        <v>6</v>
      </c>
      <c r="AK29">
        <f ca="1">VLOOKUP(AI29,AE28:AG37,3,FALSE)</f>
        <v>9</v>
      </c>
    </row>
    <row r="30" spans="6:37">
      <c r="F30" t="str">
        <f ca="1">AI18</f>
        <v>Ecuador</v>
      </c>
      <c r="J30">
        <f ca="1">AJ18</f>
        <v>3</v>
      </c>
      <c r="K30">
        <f ca="1">VLOOKUP(AI18,$F$16:$M$25,6,FALSE)</f>
        <v>13</v>
      </c>
      <c r="L30">
        <f ca="1">VLOOKUP(AI18,$F$16:$M$25,7,FALSE)</f>
        <v>20</v>
      </c>
      <c r="M30">
        <f ca="1">K30-L30</f>
        <v>-7</v>
      </c>
      <c r="O30" t="str">
        <f ca="1">F30</f>
        <v>Ecuador</v>
      </c>
      <c r="P30">
        <f ca="1">VLOOKUP(O30,$F$28:$M$37,5,FALSE)</f>
        <v>3</v>
      </c>
      <c r="Q30">
        <f ca="1">VLOOKUP(O30,$F$28:$M$37,8,FALSE)</f>
        <v>-7</v>
      </c>
      <c r="S30" t="str">
        <f ca="1">IF(AND($P28=P30,Q30&gt;Q28),O28,O30)</f>
        <v>Ecuador</v>
      </c>
      <c r="T30">
        <f ca="1">VLOOKUP(S30,$O$28:$Q$37,2,FALSE)</f>
        <v>3</v>
      </c>
      <c r="U30">
        <f ca="1">VLOOKUP(S30,$O$28:$Q$37,3,FALSE)</f>
        <v>-7</v>
      </c>
      <c r="W30" t="str">
        <f ca="1">S30</f>
        <v>Ecuador</v>
      </c>
      <c r="X30">
        <f ca="1">VLOOKUP(W30,$S$28:$U$37,2,FALSE)</f>
        <v>3</v>
      </c>
      <c r="Y30">
        <f ca="1">VLOOKUP(W30,$S$28:$U$37,3,FALSE)</f>
        <v>-7</v>
      </c>
      <c r="AA30" t="str">
        <f ca="1">IF(AND(X29=X30,Y30&gt;Y29),W29,W30)</f>
        <v>Ecuador</v>
      </c>
      <c r="AB30">
        <f ca="1">VLOOKUP(AA30,W28:Y37,2,FALSE)</f>
        <v>3</v>
      </c>
      <c r="AC30">
        <f ca="1">VLOOKUP(AA30,W28:Y37,3,FALSE)</f>
        <v>-7</v>
      </c>
      <c r="AE30" t="str">
        <f ca="1">AA30</f>
        <v>Ecuador</v>
      </c>
      <c r="AF30">
        <f ca="1">VLOOKUP(AE30,AA28:AC37,2,FALSE)</f>
        <v>3</v>
      </c>
      <c r="AG30">
        <f ca="1">VLOOKUP(AE30,AA28:AC37,3,FALSE)</f>
        <v>-7</v>
      </c>
      <c r="AI30" t="str">
        <f ca="1">IF(AND(AF30=AF31,AG31&gt;AG30),AE31,AE30)</f>
        <v>Ecuador</v>
      </c>
      <c r="AJ30">
        <f ca="1">VLOOKUP(AI30,AE28:AG37,2,FALSE)</f>
        <v>3</v>
      </c>
      <c r="AK30">
        <f ca="1">VLOOKUP(AI30,AE28:AG37,3,FALSE)</f>
        <v>-7</v>
      </c>
    </row>
    <row r="31" spans="6:37">
      <c r="F31" t="str">
        <f ca="1">AI19</f>
        <v>Senegal</v>
      </c>
      <c r="J31">
        <f ca="1">AJ19</f>
        <v>0</v>
      </c>
      <c r="K31">
        <f ca="1">VLOOKUP(AI19,$F$16:$M$25,6,FALSE)</f>
        <v>5</v>
      </c>
      <c r="L31">
        <f ca="1">VLOOKUP(AI19,$F$16:$M$25,7,FALSE)</f>
        <v>18</v>
      </c>
      <c r="M31">
        <f ca="1">K31-L31</f>
        <v>-13</v>
      </c>
      <c r="O31" t="str">
        <f ca="1">F31</f>
        <v>Senegal</v>
      </c>
      <c r="P31">
        <f ca="1">VLOOKUP(O31,$F$28:$M$37,5,FALSE)</f>
        <v>0</v>
      </c>
      <c r="Q31">
        <f ca="1">VLOOKUP(O31,$F$28:$M$37,8,FALSE)</f>
        <v>-13</v>
      </c>
      <c r="S31" t="str">
        <f ca="1">O31</f>
        <v>Senegal</v>
      </c>
      <c r="T31">
        <f ca="1">VLOOKUP(S31,$O$28:$Q$37,2,FALSE)</f>
        <v>0</v>
      </c>
      <c r="U31">
        <f ca="1">VLOOKUP(S31,$O$28:$Q$37,3,FALSE)</f>
        <v>-13</v>
      </c>
      <c r="W31" t="str">
        <f ca="1">IF(AND(T28=T31,U31&gt;U28),S28,S31)</f>
        <v>Senegal</v>
      </c>
      <c r="X31">
        <f ca="1">VLOOKUP(W31,$S$28:$U$37,2,FALSE)</f>
        <v>0</v>
      </c>
      <c r="Y31">
        <f ca="1">VLOOKUP(W31,$S$28:$U$37,3,FALSE)</f>
        <v>-13</v>
      </c>
      <c r="AA31" t="str">
        <f ca="1">W31</f>
        <v>Senegal</v>
      </c>
      <c r="AB31">
        <f ca="1">VLOOKUP(AA31,W28:Y37,2,FALSE)</f>
        <v>0</v>
      </c>
      <c r="AC31">
        <f ca="1">VLOOKUP(AA31,W28:Y37,3,FALSE)</f>
        <v>-13</v>
      </c>
      <c r="AE31" t="str">
        <f ca="1">IF(AND(AB29=AB31,AC31&gt;AC29),AA29,AA31)</f>
        <v>Senegal</v>
      </c>
      <c r="AF31">
        <f ca="1">VLOOKUP(AE31,AA28:AC37,2,FALSE)</f>
        <v>0</v>
      </c>
      <c r="AG31">
        <f ca="1">VLOOKUP(AE31,AA28:AC37,3,FALSE)</f>
        <v>-13</v>
      </c>
      <c r="AI31" t="str">
        <f ca="1">IF(AND(AF30=AF31,AG31&gt;AG30),AE30,AE31)</f>
        <v>Senegal</v>
      </c>
      <c r="AJ31">
        <f ca="1">VLOOKUP(AI31,AE28:AG37,2,FALSE)</f>
        <v>0</v>
      </c>
      <c r="AK31">
        <f ca="1">VLOOKUP(AI31,AE28:AG37,3,FALSE)</f>
        <v>-13</v>
      </c>
    </row>
    <row r="40" spans="6:38">
      <c r="F40" t="str">
        <f ca="1">AI28</f>
        <v>Netherlands</v>
      </c>
      <c r="J40">
        <f ca="1">VLOOKUP(F40,$F$16:$M$25,8,FALSE)</f>
        <v>9</v>
      </c>
      <c r="K40">
        <f ca="1">VLOOKUP(F40,$F$16:$M$25,6,FALSE)</f>
        <v>14</v>
      </c>
      <c r="L40">
        <f ca="1">VLOOKUP(F40,$F$16:$M$25,7,FALSE)</f>
        <v>3</v>
      </c>
      <c r="M40">
        <f ca="1">K40-L40</f>
        <v>11</v>
      </c>
      <c r="O40" t="str">
        <f ca="1">IF(AND(J40=J41,M40=M41,K41&gt;K40),F41,F40)</f>
        <v>Netherlands</v>
      </c>
      <c r="P40">
        <f ca="1">VLOOKUP(O40,$F$40:$M$49,5,FALSE)</f>
        <v>9</v>
      </c>
      <c r="Q40">
        <f ca="1">VLOOKUP(O40,$F$40:$M$49,8,FALSE)</f>
        <v>11</v>
      </c>
      <c r="R40">
        <f ca="1">VLOOKUP(O40,$F$40:$M$49,6,FALSE)</f>
        <v>14</v>
      </c>
      <c r="S40" t="str">
        <f ca="1">IF(AND(P40=P42,Q40=Q42,R42&gt;R40),O42,O40)</f>
        <v>Netherlands</v>
      </c>
      <c r="T40">
        <f ca="1">VLOOKUP(S40,$O$40:$R$49,2,FALSE)</f>
        <v>9</v>
      </c>
      <c r="U40">
        <f ca="1">VLOOKUP(S40,$O$40:$R$49,3,FALSE)</f>
        <v>11</v>
      </c>
      <c r="V40">
        <f ca="1">VLOOKUP(S40,$O$40:$R$49,4,FALSE)</f>
        <v>14</v>
      </c>
      <c r="W40" t="str">
        <f ca="1">IF(AND(T40=T43,U40=U43,V43&gt;V40),S43,S40)</f>
        <v>Netherlands</v>
      </c>
      <c r="X40">
        <f ca="1">VLOOKUP(W40,$S$40:$V$49,2,FALSE)</f>
        <v>9</v>
      </c>
      <c r="Y40">
        <f ca="1">VLOOKUP(W40,$S$40:$V$49,3,FALSE)</f>
        <v>11</v>
      </c>
      <c r="Z40">
        <f ca="1">VLOOKUP(W40,$S$40:$V$49,4,FALSE)</f>
        <v>14</v>
      </c>
      <c r="AA40" t="str">
        <f ca="1">W40</f>
        <v>Netherlands</v>
      </c>
      <c r="AB40">
        <f ca="1">VLOOKUP(AA40,W40:Z49,2,FALSE)</f>
        <v>9</v>
      </c>
      <c r="AC40">
        <f ca="1">VLOOKUP(AA40,W40:Z49,3,FALSE)</f>
        <v>11</v>
      </c>
      <c r="AD40">
        <f ca="1">VLOOKUP(AA40,W40:Z49,4,FALSE)</f>
        <v>14</v>
      </c>
      <c r="AE40" t="str">
        <f ca="1">AA40</f>
        <v>Netherlands</v>
      </c>
      <c r="AF40">
        <f ca="1">VLOOKUP(AE40,AA40:AD49,2,FALSE)</f>
        <v>9</v>
      </c>
      <c r="AG40">
        <f ca="1">VLOOKUP(AE40,AA40:AD49,3,FALSE)</f>
        <v>11</v>
      </c>
      <c r="AH40">
        <f ca="1">VLOOKUP(AE40,AA40:AD49,4,FALSE)</f>
        <v>14</v>
      </c>
      <c r="AI40" t="str">
        <f ca="1">AE40</f>
        <v>Netherlands</v>
      </c>
      <c r="AJ40">
        <f ca="1">VLOOKUP(AI40,AE40:AH49,2,FALSE)</f>
        <v>9</v>
      </c>
      <c r="AK40">
        <f ca="1">VLOOKUP(AI40,AE40:AH49,3,FALSE)</f>
        <v>11</v>
      </c>
      <c r="AL40">
        <f ca="1">VLOOKUP(AI40,AE40:AH49,4,FALSE)</f>
        <v>14</v>
      </c>
    </row>
    <row r="41" spans="6:38">
      <c r="F41" t="str">
        <f ca="1">AI29</f>
        <v>Qatar</v>
      </c>
      <c r="J41">
        <f ca="1">VLOOKUP(F41,$F$16:$M$25,8,FALSE)</f>
        <v>6</v>
      </c>
      <c r="K41">
        <f ca="1">VLOOKUP(F41,$F$16:$M$25,6,FALSE)</f>
        <v>15</v>
      </c>
      <c r="L41">
        <f ca="1">VLOOKUP(F41,$F$16:$M$25,7,FALSE)</f>
        <v>6</v>
      </c>
      <c r="M41">
        <f ca="1">K41-L41</f>
        <v>9</v>
      </c>
      <c r="O41" t="str">
        <f ca="1">IF(AND(J40=J41,M40=M41,K41&gt;K40),F40,F41)</f>
        <v>Qatar</v>
      </c>
      <c r="P41">
        <f ca="1">VLOOKUP(O41,$F$40:$M$49,5,FALSE)</f>
        <v>6</v>
      </c>
      <c r="Q41">
        <f ca="1">VLOOKUP(O41,$F$40:$M$49,8,FALSE)</f>
        <v>9</v>
      </c>
      <c r="R41">
        <f ca="1">VLOOKUP(O41,$F$40:$M$49,6,FALSE)</f>
        <v>15</v>
      </c>
      <c r="S41" t="str">
        <f ca="1">O41</f>
        <v>Qatar</v>
      </c>
      <c r="T41">
        <f ca="1">VLOOKUP(S41,$O$40:$R$49,2,FALSE)</f>
        <v>6</v>
      </c>
      <c r="U41">
        <f ca="1">VLOOKUP(S41,$O$40:$R$49,3,FALSE)</f>
        <v>9</v>
      </c>
      <c r="V41">
        <f ca="1">VLOOKUP(S41,$O$40:$R$49,4,FALSE)</f>
        <v>15</v>
      </c>
      <c r="W41" t="str">
        <f ca="1">S41</f>
        <v>Qatar</v>
      </c>
      <c r="X41">
        <f ca="1">VLOOKUP(W41,$S$40:$V$49,2,FALSE)</f>
        <v>6</v>
      </c>
      <c r="Y41">
        <f ca="1">VLOOKUP(W41,$S$40:$V$49,3,FALSE)</f>
        <v>9</v>
      </c>
      <c r="Z41">
        <f ca="1">VLOOKUP(W41,$S$40:$V$49,4,FALSE)</f>
        <v>15</v>
      </c>
      <c r="AA41" t="str">
        <f ca="1">IF(AND(X41=X42,Y41=Y42,Z42&gt;Z41),W42,W41)</f>
        <v>Qatar</v>
      </c>
      <c r="AB41">
        <f ca="1">VLOOKUP(AA41,W40:Z49,2,FALSE)</f>
        <v>6</v>
      </c>
      <c r="AC41">
        <f ca="1">VLOOKUP(AA41,W40:Z49,3,FALSE)</f>
        <v>9</v>
      </c>
      <c r="AD41">
        <f ca="1">VLOOKUP(AA41,W40:Z49,4,FALSE)</f>
        <v>15</v>
      </c>
      <c r="AE41" t="str">
        <f ca="1">IF(AND(AB41=AB43,AC41=AC43,AD43&gt;AD41),AA43,AA41)</f>
        <v>Qatar</v>
      </c>
      <c r="AF41">
        <f ca="1">VLOOKUP(AE41,AA40:AD49,2,FALSE)</f>
        <v>6</v>
      </c>
      <c r="AG41">
        <f ca="1">VLOOKUP(AE41,AA40:AD49,3,FALSE)</f>
        <v>9</v>
      </c>
      <c r="AH41">
        <f ca="1">VLOOKUP(AE41,AA40:AD49,4,FALSE)</f>
        <v>15</v>
      </c>
      <c r="AI41" t="str">
        <f ca="1">AE41</f>
        <v>Qatar</v>
      </c>
      <c r="AJ41">
        <f ca="1">VLOOKUP(AI41,AE40:AH49,2,FALSE)</f>
        <v>6</v>
      </c>
      <c r="AK41">
        <f ca="1">VLOOKUP(AI41,AE40:AH49,3,FALSE)</f>
        <v>9</v>
      </c>
      <c r="AL41">
        <f ca="1">VLOOKUP(AI41,AE40:AH49,4,FALSE)</f>
        <v>15</v>
      </c>
    </row>
    <row r="42" spans="6:38">
      <c r="F42" t="str">
        <f ca="1">AI30</f>
        <v>Ecuador</v>
      </c>
      <c r="J42">
        <f ca="1">VLOOKUP(F42,$F$16:$M$25,8,FALSE)</f>
        <v>3</v>
      </c>
      <c r="K42">
        <f ca="1">VLOOKUP(F42,$F$16:$M$25,6,FALSE)</f>
        <v>13</v>
      </c>
      <c r="L42">
        <f ca="1">VLOOKUP(F42,$F$16:$M$25,7,FALSE)</f>
        <v>20</v>
      </c>
      <c r="M42">
        <f ca="1">K42-L42</f>
        <v>-7</v>
      </c>
      <c r="O42" t="str">
        <f ca="1">F42</f>
        <v>Ecuador</v>
      </c>
      <c r="P42">
        <f ca="1">VLOOKUP(O42,$F$40:$M$49,5,FALSE)</f>
        <v>3</v>
      </c>
      <c r="Q42">
        <f ca="1">VLOOKUP(O42,$F$40:$M$49,8,FALSE)</f>
        <v>-7</v>
      </c>
      <c r="R42">
        <f ca="1">VLOOKUP(O42,$F$40:$M$49,6,FALSE)</f>
        <v>13</v>
      </c>
      <c r="S42" t="str">
        <f ca="1">IF(AND(P40=P42,Q40=Q42,R42&gt;R40),O40,O42)</f>
        <v>Ecuador</v>
      </c>
      <c r="T42">
        <f ca="1">VLOOKUP(S42,$O$40:$R$49,2,FALSE)</f>
        <v>3</v>
      </c>
      <c r="U42">
        <f ca="1">VLOOKUP(S42,$O$40:$R$49,3,FALSE)</f>
        <v>-7</v>
      </c>
      <c r="V42">
        <f ca="1">VLOOKUP(S42,$O$40:$R$49,4,FALSE)</f>
        <v>13</v>
      </c>
      <c r="W42" t="str">
        <f ca="1">S42</f>
        <v>Ecuador</v>
      </c>
      <c r="X42">
        <f ca="1">VLOOKUP(W42,$S$40:$V$49,2,FALSE)</f>
        <v>3</v>
      </c>
      <c r="Y42">
        <f ca="1">VLOOKUP(W42,$S$40:$V$49,3,FALSE)</f>
        <v>-7</v>
      </c>
      <c r="Z42">
        <f ca="1">VLOOKUP(W42,$S$40:$V$49,4,FALSE)</f>
        <v>13</v>
      </c>
      <c r="AA42" t="str">
        <f ca="1">IF(AND(X41=X42,Y41=Y42,Z42&gt;Z41),W41,W42)</f>
        <v>Ecuador</v>
      </c>
      <c r="AB42">
        <f ca="1">VLOOKUP(AA42,W40:Z49,2,FALSE)</f>
        <v>3</v>
      </c>
      <c r="AC42">
        <f ca="1">VLOOKUP(AA42,W40:Z49,3,FALSE)</f>
        <v>-7</v>
      </c>
      <c r="AD42">
        <f ca="1">VLOOKUP(AA42,W40:Z49,4,FALSE)</f>
        <v>13</v>
      </c>
      <c r="AE42" t="str">
        <f ca="1">AA42</f>
        <v>Ecuador</v>
      </c>
      <c r="AF42">
        <f ca="1">VLOOKUP(AE42,AA40:AD49,2,FALSE)</f>
        <v>3</v>
      </c>
      <c r="AG42">
        <f ca="1">VLOOKUP(AE42,AA40:AD49,3,FALSE)</f>
        <v>-7</v>
      </c>
      <c r="AH42">
        <f ca="1">VLOOKUP(AE42,AA40:AD49,4,FALSE)</f>
        <v>13</v>
      </c>
      <c r="AI42" t="str">
        <f ca="1">IF(AND(AF42=AF43,AG42=AG43,AH43&gt;AH42),AE43,AE42)</f>
        <v>Ecuador</v>
      </c>
      <c r="AJ42">
        <f ca="1">VLOOKUP(AI42,AE40:AH49,2,FALSE)</f>
        <v>3</v>
      </c>
      <c r="AK42">
        <f ca="1">VLOOKUP(AI42,AE40:AH49,3,FALSE)</f>
        <v>-7</v>
      </c>
      <c r="AL42">
        <f ca="1">VLOOKUP(AI42,AE40:AH49,4,FALSE)</f>
        <v>13</v>
      </c>
    </row>
    <row r="43" spans="6:38">
      <c r="F43" t="str">
        <f ca="1">AI31</f>
        <v>Senegal</v>
      </c>
      <c r="J43">
        <f ca="1">VLOOKUP(F43,$F$16:$M$25,8,FALSE)</f>
        <v>0</v>
      </c>
      <c r="K43">
        <f ca="1">VLOOKUP(F43,$F$16:$M$25,6,FALSE)</f>
        <v>5</v>
      </c>
      <c r="L43">
        <f ca="1">VLOOKUP(F43,$F$16:$M$25,7,FALSE)</f>
        <v>18</v>
      </c>
      <c r="M43">
        <f ca="1">K43-L43</f>
        <v>-13</v>
      </c>
      <c r="O43" t="str">
        <f ca="1">F43</f>
        <v>Senegal</v>
      </c>
      <c r="P43">
        <f ca="1">VLOOKUP(O43,$F$40:$M$49,5,FALSE)</f>
        <v>0</v>
      </c>
      <c r="Q43">
        <f ca="1">VLOOKUP(O43,$F$40:$M$49,8,FALSE)</f>
        <v>-13</v>
      </c>
      <c r="R43">
        <f ca="1">VLOOKUP(O43,$F$40:$M$49,6,FALSE)</f>
        <v>5</v>
      </c>
      <c r="S43" t="str">
        <f ca="1">O43</f>
        <v>Senegal</v>
      </c>
      <c r="T43">
        <f ca="1">VLOOKUP(S43,$O$40:$R$49,2,FALSE)</f>
        <v>0</v>
      </c>
      <c r="U43">
        <f ca="1">VLOOKUP(S43,$O$40:$R$49,3,FALSE)</f>
        <v>-13</v>
      </c>
      <c r="V43">
        <f ca="1">VLOOKUP(S43,$O$40:$R$49,4,FALSE)</f>
        <v>5</v>
      </c>
      <c r="W43" t="str">
        <f ca="1">IF(AND(T40=T43,U40=U43,V43&gt;V40),S40,S43)</f>
        <v>Senegal</v>
      </c>
      <c r="X43">
        <f ca="1">VLOOKUP(W43,$S$40:$V$49,2,FALSE)</f>
        <v>0</v>
      </c>
      <c r="Y43">
        <f ca="1">VLOOKUP(W43,$S$40:$V$49,3,FALSE)</f>
        <v>-13</v>
      </c>
      <c r="Z43">
        <f ca="1">VLOOKUP(W43,$S$40:$V$49,4,FALSE)</f>
        <v>5</v>
      </c>
      <c r="AA43" t="str">
        <f ca="1">W43</f>
        <v>Senegal</v>
      </c>
      <c r="AB43">
        <f ca="1">VLOOKUP(AA43,W40:Z49,2,FALSE)</f>
        <v>0</v>
      </c>
      <c r="AC43">
        <f ca="1">VLOOKUP(AA43,W40:Z49,3,FALSE)</f>
        <v>-13</v>
      </c>
      <c r="AD43">
        <f ca="1">VLOOKUP(AA43,W40:Z49,4,FALSE)</f>
        <v>5</v>
      </c>
      <c r="AE43" t="str">
        <f ca="1">IF(AND(AB41=AB43,AC41=AC43,AD43&gt;AD41),AA41,AA43)</f>
        <v>Senegal</v>
      </c>
      <c r="AF43">
        <f ca="1">VLOOKUP(AE43,AA40:AD49,2,FALSE)</f>
        <v>0</v>
      </c>
      <c r="AG43">
        <f ca="1">VLOOKUP(AE43,AA40:AD49,3,FALSE)</f>
        <v>-13</v>
      </c>
      <c r="AH43">
        <f ca="1">VLOOKUP(AE43,AA40:AD49,4,FALSE)</f>
        <v>5</v>
      </c>
      <c r="AI43" t="str">
        <f ca="1">IF(AND(AF42=AF43,AG42=AG43,AH43&gt;AH42),AE42,AE43)</f>
        <v>Senegal</v>
      </c>
      <c r="AJ43">
        <f ca="1">VLOOKUP(AI43,AE40:AH49,2,FALSE)</f>
        <v>0</v>
      </c>
      <c r="AK43">
        <f ca="1">VLOOKUP(AI43,AE40:AH49,3,FALSE)</f>
        <v>-13</v>
      </c>
      <c r="AL43">
        <f ca="1">VLOOKUP(AI43,AE40:AH49,4,FALSE)</f>
        <v>5</v>
      </c>
    </row>
    <row r="51" spans="6:13">
      <c r="F51" t="s">
        <v>334</v>
      </c>
    </row>
    <row r="52" spans="6:13">
      <c r="F52" t="str">
        <f ca="1">AI40</f>
        <v>Netherlands</v>
      </c>
      <c r="G52">
        <f ca="1">VLOOKUP(F52,$F$16:$M$25,2,FALSE)</f>
        <v>3</v>
      </c>
      <c r="H52">
        <f ca="1">VLOOKUP(F52,$F$16:$M$25,3,FALSE)</f>
        <v>3</v>
      </c>
      <c r="I52">
        <f ca="1">VLOOKUP(F52,$F$16:$M$25,4,FALSE)</f>
        <v>0</v>
      </c>
      <c r="J52">
        <f ca="1">VLOOKUP(F52,$F$16:$M$25,5,FALSE)</f>
        <v>0</v>
      </c>
      <c r="K52">
        <f ca="1">VLOOKUP(F52,$F$16:$M$25,6,FALSE)</f>
        <v>14</v>
      </c>
      <c r="L52">
        <f ca="1">VLOOKUP(F52,$F$16:$M$25,7,FALSE)</f>
        <v>3</v>
      </c>
      <c r="M52">
        <f ca="1">VLOOKUP(F52,$F$16:$M$25,8,FALSE)</f>
        <v>9</v>
      </c>
    </row>
    <row r="53" spans="6:13">
      <c r="F53" t="str">
        <f ca="1">AI41</f>
        <v>Qatar</v>
      </c>
      <c r="G53">
        <f ca="1">VLOOKUP(F53,$F$16:$M$25,2,FALSE)</f>
        <v>3</v>
      </c>
      <c r="H53">
        <f ca="1">VLOOKUP(F53,$F$16:$M$25,3,FALSE)</f>
        <v>2</v>
      </c>
      <c r="I53">
        <f ca="1">VLOOKUP(F53,$F$16:$M$25,4,FALSE)</f>
        <v>0</v>
      </c>
      <c r="J53">
        <f ca="1">VLOOKUP(F53,$F$16:$M$25,5,FALSE)</f>
        <v>1</v>
      </c>
      <c r="K53">
        <f ca="1">VLOOKUP(F53,$F$16:$M$25,6,FALSE)</f>
        <v>15</v>
      </c>
      <c r="L53">
        <f ca="1">VLOOKUP(F53,$F$16:$M$25,7,FALSE)</f>
        <v>6</v>
      </c>
      <c r="M53">
        <f ca="1">VLOOKUP(F53,$F$16:$M$25,8,FALSE)</f>
        <v>6</v>
      </c>
    </row>
    <row r="54" spans="6:13">
      <c r="F54" t="str">
        <f ca="1">AI42</f>
        <v>Ecuador</v>
      </c>
      <c r="G54">
        <f ca="1">VLOOKUP(F54,$F$16:$M$25,2,FALSE)</f>
        <v>3</v>
      </c>
      <c r="H54">
        <f ca="1">VLOOKUP(F54,$F$16:$M$25,3,FALSE)</f>
        <v>1</v>
      </c>
      <c r="I54">
        <f ca="1">VLOOKUP(F54,$F$16:$M$25,4,FALSE)</f>
        <v>0</v>
      </c>
      <c r="J54">
        <f ca="1">VLOOKUP(F54,$F$16:$M$25,5,FALSE)</f>
        <v>2</v>
      </c>
      <c r="K54">
        <f ca="1">VLOOKUP(F54,$F$16:$M$25,6,FALSE)</f>
        <v>13</v>
      </c>
      <c r="L54">
        <f ca="1">VLOOKUP(F54,$F$16:$M$25,7,FALSE)</f>
        <v>20</v>
      </c>
      <c r="M54">
        <f ca="1">VLOOKUP(F54,$F$16:$M$25,8,FALSE)</f>
        <v>3</v>
      </c>
    </row>
    <row r="55" spans="6:13">
      <c r="F55" t="str">
        <f ca="1">AI43</f>
        <v>Senegal</v>
      </c>
      <c r="G55">
        <f ca="1">VLOOKUP(F55,$F$16:$M$25,2,FALSE)</f>
        <v>3</v>
      </c>
      <c r="H55">
        <f ca="1">VLOOKUP(F55,$F$16:$M$25,3,FALSE)</f>
        <v>0</v>
      </c>
      <c r="I55">
        <f ca="1">VLOOKUP(F55,$F$16:$M$25,4,FALSE)</f>
        <v>0</v>
      </c>
      <c r="J55">
        <f ca="1">VLOOKUP(F55,$F$16:$M$25,5,FALSE)</f>
        <v>3</v>
      </c>
      <c r="K55">
        <f ca="1">VLOOKUP(F55,$F$16:$M$25,6,FALSE)</f>
        <v>5</v>
      </c>
      <c r="L55">
        <f ca="1">VLOOKUP(F55,$F$16:$M$25,7,FALSE)</f>
        <v>18</v>
      </c>
      <c r="M55">
        <f ca="1">VLOOKUP(F55,$F$16:$M$25,8,FALSE)</f>
        <v>0</v>
      </c>
    </row>
  </sheetData>
  <sheetProtection algorithmName="SHA-512" hashValue="iDiEE20qn1SVS3BYCXUHyRUm6g9kxTe8/LMUT/gdQudZYcXd2UpqRevUnW5Kh9sdMAjHDJRlJtk+eWqY5usopQ==" saltValue="UzE9fpe+ZdacEB2vuC+giQ==" spinCount="100000" sheet="1" selectLockedCells="1" selectUnlockedCells="1"/>
  <customSheetViews>
    <customSheetView guid="{387210E2-BDFB-42E5-A6C7-A37C9701EAB6}">
      <pane xSplit="5" topLeftCell="F1" activePane="topRight" state="frozen"/>
      <selection pane="topRight" activeCell="R45" sqref="R45"/>
      <pageMargins left="0" right="0" top="0" bottom="0" header="0" footer="0"/>
      <headerFooter alignWithMargins="0"/>
    </customSheetView>
    <customSheetView guid="{E2621C8A-2AE3-484D-B751-B92E60BB88F8}">
      <pane xSplit="5" topLeftCell="F1" activePane="topRight" state="frozen"/>
      <selection pane="topRight" activeCell="R45" sqref="R45"/>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23">
    <tabColor indexed="22"/>
    <pageSetUpPr autoPageBreaks="0" fitToPage="1"/>
  </sheetPr>
  <dimension ref="B1:AD84"/>
  <sheetViews>
    <sheetView showGridLines="0" showRowColHeaders="0" showOutlineSymbols="0" workbookViewId="0">
      <selection activeCell="T88" sqref="T88"/>
    </sheetView>
  </sheetViews>
  <sheetFormatPr defaultColWidth="11.42578125" defaultRowHeight="12.6"/>
  <cols>
    <col min="1" max="1" width="2.140625" style="4" customWidth="1"/>
    <col min="2" max="2" width="10" style="4" customWidth="1"/>
    <col min="3" max="3" width="3.140625" style="4" customWidth="1"/>
    <col min="4" max="4" width="1" style="4" customWidth="1"/>
    <col min="5" max="5" width="3.140625" style="4" customWidth="1"/>
    <col min="6" max="6" width="10" style="4" customWidth="1"/>
    <col min="7" max="8" width="2.28515625" style="4" customWidth="1"/>
    <col min="9" max="9" width="10" style="4" customWidth="1"/>
    <col min="10" max="10" width="3.140625" style="4" customWidth="1"/>
    <col min="11" max="11" width="1" style="4" customWidth="1"/>
    <col min="12" max="12" width="3.140625" style="4" customWidth="1"/>
    <col min="13" max="13" width="10" style="4" customWidth="1"/>
    <col min="14" max="15" width="2.28515625" style="4" customWidth="1"/>
    <col min="16" max="16" width="10" style="4" customWidth="1"/>
    <col min="17" max="17" width="3.140625" style="4" customWidth="1"/>
    <col min="18" max="18" width="1" style="4" customWidth="1"/>
    <col min="19" max="19" width="3.140625" style="4" customWidth="1"/>
    <col min="20" max="20" width="10" style="4" customWidth="1"/>
    <col min="21" max="22" width="2.28515625" style="4" customWidth="1"/>
    <col min="23" max="23" width="10" style="4" customWidth="1"/>
    <col min="24" max="24" width="3.140625" style="4" customWidth="1"/>
    <col min="25" max="25" width="1" style="4" customWidth="1"/>
    <col min="26" max="26" width="3.140625" style="4" customWidth="1"/>
    <col min="27" max="27" width="10" style="4" customWidth="1"/>
    <col min="28" max="28" width="1" style="4" customWidth="1"/>
    <col min="29" max="29" width="10" style="4" customWidth="1"/>
    <col min="30" max="30" width="6.7109375" style="4" customWidth="1"/>
    <col min="31" max="16384" width="11.42578125" style="4"/>
  </cols>
  <sheetData>
    <row r="1" spans="2:27" ht="5.0999999999999996" customHeight="1" thickBot="1"/>
    <row r="2" spans="2:27" ht="13.5" thickBot="1">
      <c r="B2" s="359" t="s">
        <v>335</v>
      </c>
      <c r="C2" s="360"/>
      <c r="D2" s="360"/>
      <c r="E2" s="360"/>
      <c r="F2" s="361"/>
      <c r="I2" s="359" t="s">
        <v>336</v>
      </c>
      <c r="J2" s="360"/>
      <c r="K2" s="360"/>
      <c r="L2" s="360"/>
      <c r="M2" s="361"/>
      <c r="P2" s="359" t="s">
        <v>337</v>
      </c>
      <c r="Q2" s="360"/>
      <c r="R2" s="360"/>
      <c r="S2" s="360"/>
      <c r="T2" s="361"/>
      <c r="W2" s="359" t="s">
        <v>338</v>
      </c>
      <c r="X2" s="360"/>
      <c r="Y2" s="360"/>
      <c r="Z2" s="360"/>
      <c r="AA2" s="361"/>
    </row>
    <row r="3" spans="2:27" ht="5.0999999999999996" customHeight="1"/>
    <row r="4" spans="2:27">
      <c r="B4" s="6" t="str">
        <f>'- A -'!B6</f>
        <v>Qatar</v>
      </c>
      <c r="C4" s="17">
        <f ca="1">IF('- A -'!C6&lt;&gt;"",'- A -'!C6,"")</f>
        <v>10</v>
      </c>
      <c r="D4" s="8"/>
      <c r="E4" s="17">
        <f ca="1">IF('- A -'!E6&lt;&gt;"",'- A -'!E6,"")</f>
        <v>1</v>
      </c>
      <c r="F4" s="7" t="str">
        <f>'- A -'!F6</f>
        <v>Ecuador</v>
      </c>
      <c r="G4" s="6"/>
      <c r="H4" s="6"/>
      <c r="I4" s="6" t="str">
        <f>'- B -'!B6</f>
        <v>Inglaterra</v>
      </c>
      <c r="J4" s="17">
        <f ca="1">IF('- B -'!C6&lt;&gt;"",'- B -'!C6,"")</f>
        <v>0</v>
      </c>
      <c r="K4" s="8"/>
      <c r="L4" s="17">
        <f ca="1">IF('- B -'!E6&lt;&gt;"",'- B -'!E6,"")</f>
        <v>6</v>
      </c>
      <c r="M4" s="7" t="str">
        <f>'- B -'!F6</f>
        <v>Iran</v>
      </c>
      <c r="N4" s="6"/>
      <c r="O4" s="6"/>
      <c r="P4" s="6" t="str">
        <f>'- C -'!B6</f>
        <v>Argentina</v>
      </c>
      <c r="Q4" s="17">
        <f ca="1">IF('- C -'!C6&lt;&gt;"",'- C -'!C6,"")</f>
        <v>0</v>
      </c>
      <c r="R4" s="8"/>
      <c r="S4" s="17">
        <f ca="1">IF('- C -'!E6&lt;&gt;"",'- C -'!E6,"")</f>
        <v>10</v>
      </c>
      <c r="T4" s="7" t="str">
        <f>'- C -'!F6</f>
        <v>Arabia Saudi</v>
      </c>
      <c r="W4" s="6" t="str">
        <f>'- D -'!B6</f>
        <v>Francia</v>
      </c>
      <c r="X4" s="17">
        <f ca="1">IF('- D -'!C6&lt;&gt;"",'- D -'!C6,"")</f>
        <v>6</v>
      </c>
      <c r="Y4" s="8"/>
      <c r="Z4" s="17">
        <f ca="1">IF('- D -'!E6&lt;&gt;"",'- D -'!E6,"")</f>
        <v>9</v>
      </c>
      <c r="AA4" s="7" t="str">
        <f>'- D -'!F6</f>
        <v>Australia</v>
      </c>
    </row>
    <row r="5" spans="2:27" ht="5.0999999999999996" customHeight="1">
      <c r="B5" s="6"/>
      <c r="C5" s="8"/>
      <c r="D5" s="8"/>
      <c r="E5" s="8"/>
      <c r="F5" s="7"/>
      <c r="G5" s="6"/>
      <c r="H5" s="6"/>
      <c r="J5" s="8"/>
      <c r="K5" s="8"/>
      <c r="L5" s="8"/>
      <c r="N5" s="6"/>
      <c r="O5" s="6"/>
      <c r="Q5" s="8"/>
      <c r="R5" s="8"/>
      <c r="S5" s="8"/>
      <c r="X5" s="8"/>
      <c r="Y5" s="8"/>
      <c r="Z5" s="8"/>
    </row>
    <row r="6" spans="2:27">
      <c r="B6" s="6" t="str">
        <f>'- A -'!B7</f>
        <v>Senegal</v>
      </c>
      <c r="C6" s="17">
        <f ca="1">IF('- A -'!C7&lt;&gt;"",'- A -'!C7,"")</f>
        <v>0</v>
      </c>
      <c r="D6" s="8"/>
      <c r="E6" s="17">
        <f ca="1">IF('- A -'!E7&lt;&gt;"",'- A -'!E7,"")</f>
        <v>4</v>
      </c>
      <c r="F6" s="7" t="str">
        <f>'- A -'!F7</f>
        <v>Netherlands</v>
      </c>
      <c r="G6" s="6"/>
      <c r="H6" s="6"/>
      <c r="I6" s="6" t="str">
        <f>'- B -'!B7</f>
        <v>USA</v>
      </c>
      <c r="J6" s="17">
        <f ca="1">IF('- B -'!C7&lt;&gt;"",'- B -'!C7,"")</f>
        <v>3</v>
      </c>
      <c r="K6" s="8"/>
      <c r="L6" s="17">
        <f ca="1">IF('- B -'!E7&lt;&gt;"",'- B -'!E7,"")</f>
        <v>1</v>
      </c>
      <c r="M6" s="7" t="str">
        <f>'- B -'!F7</f>
        <v>Gales</v>
      </c>
      <c r="N6" s="6"/>
      <c r="O6" s="6"/>
      <c r="P6" s="6" t="str">
        <f>'- C -'!B7</f>
        <v>Mexico</v>
      </c>
      <c r="Q6" s="17">
        <f ca="1">IF('- C -'!C7&lt;&gt;"",'- C -'!C7,"")</f>
        <v>3</v>
      </c>
      <c r="R6" s="8"/>
      <c r="S6" s="17">
        <f ca="1">IF('- C -'!E7&lt;&gt;"",'- C -'!E7,"")</f>
        <v>7</v>
      </c>
      <c r="T6" s="7" t="str">
        <f>'- C -'!F7</f>
        <v>Polonia</v>
      </c>
      <c r="W6" s="6" t="str">
        <f>'- D -'!B7</f>
        <v>Dinamarca</v>
      </c>
      <c r="X6" s="17">
        <f ca="1">IF('- D -'!C7&lt;&gt;"",'- D -'!C7,"")</f>
        <v>1</v>
      </c>
      <c r="Y6" s="8"/>
      <c r="Z6" s="17">
        <f ca="1">IF('- D -'!E7&lt;&gt;"",'- D -'!E7,"")</f>
        <v>0</v>
      </c>
      <c r="AA6" s="7" t="str">
        <f>'- D -'!F7</f>
        <v>Tunez</v>
      </c>
    </row>
    <row r="7" spans="2:27" ht="5.0999999999999996" customHeight="1">
      <c r="B7" s="6"/>
      <c r="C7" s="8"/>
      <c r="D7" s="8"/>
      <c r="E7" s="8"/>
      <c r="F7" s="7"/>
      <c r="G7" s="6"/>
      <c r="H7" s="6"/>
      <c r="J7" s="8"/>
      <c r="K7" s="8"/>
      <c r="L7" s="8"/>
      <c r="N7" s="6"/>
      <c r="O7" s="6"/>
      <c r="Q7" s="8"/>
      <c r="R7" s="8"/>
      <c r="S7" s="8"/>
      <c r="X7" s="8"/>
      <c r="Y7" s="8"/>
      <c r="Z7" s="8"/>
    </row>
    <row r="8" spans="2:27">
      <c r="B8" s="6" t="str">
        <f>'- A -'!B8</f>
        <v>Qatar</v>
      </c>
      <c r="C8" s="17">
        <f ca="1">IF('- A -'!C8&lt;&gt;"",'- A -'!C8,"")</f>
        <v>4</v>
      </c>
      <c r="D8" s="8"/>
      <c r="E8" s="17">
        <f ca="1">IF('- A -'!E8&lt;&gt;"",'- A -'!E8,"")</f>
        <v>2</v>
      </c>
      <c r="F8" s="7" t="str">
        <f>'- A -'!F8</f>
        <v>Senegal</v>
      </c>
      <c r="G8" s="6"/>
      <c r="H8" s="6"/>
      <c r="I8" s="6" t="str">
        <f>'- B -'!B8</f>
        <v>Gales</v>
      </c>
      <c r="J8" s="17">
        <f ca="1">IF('- B -'!C8&lt;&gt;"",'- B -'!C8,"")</f>
        <v>1</v>
      </c>
      <c r="K8" s="8"/>
      <c r="L8" s="17">
        <f ca="1">IF('- B -'!E8&lt;&gt;"",'- B -'!E8,"")</f>
        <v>4</v>
      </c>
      <c r="M8" s="7" t="str">
        <f>'- B -'!F8</f>
        <v>Iran</v>
      </c>
      <c r="N8" s="6"/>
      <c r="O8" s="6"/>
      <c r="P8" s="6" t="str">
        <f>'- C -'!B8</f>
        <v>Polonia</v>
      </c>
      <c r="Q8" s="17">
        <f ca="1">IF('- C -'!C8&lt;&gt;"",'- C -'!C8,"")</f>
        <v>7</v>
      </c>
      <c r="R8" s="8"/>
      <c r="S8" s="17">
        <f ca="1">IF('- C -'!E8&lt;&gt;"",'- C -'!E8,"")</f>
        <v>9</v>
      </c>
      <c r="T8" s="7" t="str">
        <f>'- C -'!F8</f>
        <v>Arabia Saudi</v>
      </c>
      <c r="W8" s="6" t="str">
        <f>'- D -'!B8</f>
        <v>Francia</v>
      </c>
      <c r="X8" s="17">
        <f ca="1">IF('- D -'!C8&lt;&gt;"",'- D -'!C8,"")</f>
        <v>2</v>
      </c>
      <c r="Y8" s="8"/>
      <c r="Z8" s="17">
        <f ca="1">IF('- D -'!E8&lt;&gt;"",'- D -'!E8,"")</f>
        <v>1</v>
      </c>
      <c r="AA8" s="7" t="str">
        <f>'- D -'!F8</f>
        <v>Dinamarca</v>
      </c>
    </row>
    <row r="9" spans="2:27" ht="5.0999999999999996" customHeight="1">
      <c r="B9" s="6"/>
      <c r="C9" s="8"/>
      <c r="D9" s="8"/>
      <c r="E9" s="8"/>
      <c r="F9" s="7"/>
      <c r="G9" s="6"/>
      <c r="H9" s="6"/>
      <c r="J9" s="8"/>
      <c r="K9" s="8"/>
      <c r="L9" s="8"/>
      <c r="N9" s="6"/>
      <c r="O9" s="6"/>
      <c r="Q9" s="8"/>
      <c r="R9" s="8"/>
      <c r="S9" s="8"/>
      <c r="X9" s="8"/>
      <c r="Y9" s="8"/>
      <c r="Z9" s="8"/>
    </row>
    <row r="10" spans="2:27">
      <c r="B10" s="6" t="str">
        <f>'- A -'!B9</f>
        <v>Netherlands</v>
      </c>
      <c r="C10" s="17">
        <f ca="1">IF('- A -'!C9&lt;&gt;"",'- A -'!C9,"")</f>
        <v>7</v>
      </c>
      <c r="D10" s="8"/>
      <c r="E10" s="17">
        <f ca="1">IF('- A -'!E9&lt;&gt;"",'- A -'!E9,"")</f>
        <v>2</v>
      </c>
      <c r="F10" s="7" t="str">
        <f>'- A -'!F9</f>
        <v>Ecuador</v>
      </c>
      <c r="G10" s="6"/>
      <c r="H10" s="6"/>
      <c r="I10" s="6" t="str">
        <f>'- B -'!B9</f>
        <v>Inglaterra</v>
      </c>
      <c r="J10" s="17">
        <f ca="1">IF('- B -'!C9&lt;&gt;"",'- B -'!C9,"")</f>
        <v>10</v>
      </c>
      <c r="K10" s="8"/>
      <c r="L10" s="17">
        <f ca="1">IF('- B -'!E9&lt;&gt;"",'- B -'!E9,"")</f>
        <v>0</v>
      </c>
      <c r="M10" s="7" t="str">
        <f>'- B -'!F9</f>
        <v>USA</v>
      </c>
      <c r="N10" s="6"/>
      <c r="O10" s="6"/>
      <c r="P10" s="6" t="str">
        <f>'- C -'!B9</f>
        <v>Argentina</v>
      </c>
      <c r="Q10" s="17">
        <f ca="1">IF('- C -'!C9&lt;&gt;"",'- C -'!C9,"")</f>
        <v>9</v>
      </c>
      <c r="R10" s="8"/>
      <c r="S10" s="17">
        <f ca="1">IF('- C -'!E9&lt;&gt;"",'- C -'!E9,"")</f>
        <v>9</v>
      </c>
      <c r="T10" s="7" t="str">
        <f>'- C -'!F9</f>
        <v>Mexico</v>
      </c>
      <c r="W10" s="6" t="str">
        <f>'- D -'!B9</f>
        <v>Tunez</v>
      </c>
      <c r="X10" s="17">
        <f ca="1">IF('- D -'!C9&lt;&gt;"",'- D -'!C9,"")</f>
        <v>0</v>
      </c>
      <c r="Y10" s="8"/>
      <c r="Z10" s="17">
        <f ca="1">IF('- D -'!E9&lt;&gt;"",'- D -'!E9,"")</f>
        <v>2</v>
      </c>
      <c r="AA10" s="7" t="str">
        <f>'- D -'!F9</f>
        <v>Australia</v>
      </c>
    </row>
    <row r="11" spans="2:27" ht="5.0999999999999996" customHeight="1">
      <c r="B11" s="6"/>
      <c r="C11" s="8"/>
      <c r="D11" s="8"/>
      <c r="E11" s="8"/>
      <c r="F11" s="7"/>
      <c r="G11" s="6"/>
      <c r="H11" s="6"/>
      <c r="I11" s="6"/>
      <c r="J11" s="8"/>
      <c r="K11" s="8"/>
      <c r="L11" s="8"/>
      <c r="M11" s="7"/>
      <c r="N11" s="6"/>
      <c r="O11" s="6"/>
      <c r="P11" s="6"/>
      <c r="Q11" s="8"/>
      <c r="R11" s="8"/>
      <c r="S11" s="8"/>
      <c r="T11" s="7"/>
      <c r="W11" s="6"/>
      <c r="X11" s="8"/>
      <c r="Y11" s="8"/>
      <c r="Z11" s="8"/>
      <c r="AA11" s="7"/>
    </row>
    <row r="12" spans="2:27">
      <c r="B12" s="6" t="str">
        <f>'- A -'!B10</f>
        <v>Ecuador</v>
      </c>
      <c r="C12" s="17">
        <f ca="1">IF('- A -'!C10&lt;&gt;"",'- A -'!C10,"")</f>
        <v>10</v>
      </c>
      <c r="D12" s="8"/>
      <c r="E12" s="17">
        <f ca="1">IF('- A -'!E10&lt;&gt;"",'- A -'!E10,"")</f>
        <v>3</v>
      </c>
      <c r="F12" s="7" t="str">
        <f>'- A -'!F10</f>
        <v>Senegal</v>
      </c>
      <c r="G12" s="6"/>
      <c r="H12" s="6"/>
      <c r="I12" s="6" t="str">
        <f>'- B -'!B10</f>
        <v>Iran</v>
      </c>
      <c r="J12" s="17">
        <f ca="1">IF('- B -'!C10&lt;&gt;"",'- B -'!C10,"")</f>
        <v>2</v>
      </c>
      <c r="K12" s="8"/>
      <c r="L12" s="17">
        <f ca="1">IF('- B -'!E10&lt;&gt;"",'- B -'!E10,"")</f>
        <v>6</v>
      </c>
      <c r="M12" s="7" t="str">
        <f>'- B -'!F10</f>
        <v>USA</v>
      </c>
      <c r="N12" s="6"/>
      <c r="O12" s="6"/>
      <c r="P12" s="6" t="str">
        <f>'- C -'!B10</f>
        <v>Polonia</v>
      </c>
      <c r="Q12" s="17">
        <f ca="1">IF('- C -'!C10&lt;&gt;"",'- C -'!C10,"")</f>
        <v>3</v>
      </c>
      <c r="R12" s="8"/>
      <c r="S12" s="17">
        <f ca="1">IF('- C -'!E10&lt;&gt;"",'- C -'!E10,"")</f>
        <v>1</v>
      </c>
      <c r="T12" s="7" t="str">
        <f>'- C -'!F10</f>
        <v>Argentina</v>
      </c>
      <c r="W12" s="6" t="str">
        <f>'- D -'!B10</f>
        <v>Tunez</v>
      </c>
      <c r="X12" s="17">
        <f ca="1">IF('- D -'!C10&lt;&gt;"",'- D -'!C10,"")</f>
        <v>4</v>
      </c>
      <c r="Y12" s="8"/>
      <c r="Z12" s="17">
        <f ca="1">IF('- D -'!E10&lt;&gt;"",'- D -'!E10,"")</f>
        <v>6</v>
      </c>
      <c r="AA12" s="7" t="str">
        <f>'- D -'!F10</f>
        <v>Francia</v>
      </c>
    </row>
    <row r="13" spans="2:27" ht="5.0999999999999996" customHeight="1">
      <c r="B13" s="6"/>
      <c r="C13" s="8"/>
      <c r="D13" s="8"/>
      <c r="E13" s="8"/>
      <c r="F13" s="7"/>
      <c r="G13" s="6"/>
      <c r="H13" s="6"/>
      <c r="I13" s="6"/>
      <c r="J13" s="8"/>
      <c r="K13" s="8"/>
      <c r="L13" s="8"/>
      <c r="M13" s="7"/>
      <c r="N13" s="6"/>
      <c r="O13" s="6"/>
      <c r="P13" s="6"/>
      <c r="Q13" s="8"/>
      <c r="R13" s="8"/>
      <c r="S13" s="8"/>
      <c r="T13" s="7"/>
      <c r="W13" s="6"/>
      <c r="X13" s="8"/>
      <c r="Y13" s="8"/>
      <c r="Z13" s="8"/>
      <c r="AA13" s="7"/>
    </row>
    <row r="14" spans="2:27">
      <c r="B14" s="6" t="str">
        <f>'- A -'!B11</f>
        <v>Netherlands</v>
      </c>
      <c r="C14" s="17">
        <f ca="1">IF('- A -'!C11&lt;&gt;"",'- A -'!C11,"")</f>
        <v>3</v>
      </c>
      <c r="D14" s="8"/>
      <c r="E14" s="17">
        <f ca="1">IF('- A -'!E11&lt;&gt;"",'- A -'!E11,"")</f>
        <v>1</v>
      </c>
      <c r="F14" s="7" t="str">
        <f>'- A -'!F11</f>
        <v>Qatar</v>
      </c>
      <c r="G14" s="6"/>
      <c r="H14" s="6"/>
      <c r="I14" s="6" t="str">
        <f>'- B -'!B11</f>
        <v>Gales</v>
      </c>
      <c r="J14" s="17">
        <f ca="1">IF('- B -'!C11&lt;&gt;"",'- B -'!C11,"")</f>
        <v>10</v>
      </c>
      <c r="K14" s="8"/>
      <c r="L14" s="17">
        <f ca="1">IF('- B -'!E11&lt;&gt;"",'- B -'!E11,"")</f>
        <v>5</v>
      </c>
      <c r="M14" s="7" t="str">
        <f>'- B -'!F11</f>
        <v>Inglaterra</v>
      </c>
      <c r="N14" s="6"/>
      <c r="O14" s="6"/>
      <c r="P14" s="6" t="str">
        <f>'- C -'!B11</f>
        <v>Arabia Saudi</v>
      </c>
      <c r="Q14" s="17">
        <f ca="1">IF('- C -'!C11&lt;&gt;"",'- C -'!C11,"")</f>
        <v>1</v>
      </c>
      <c r="R14" s="8"/>
      <c r="S14" s="17">
        <f ca="1">IF('- C -'!E11&lt;&gt;"",'- C -'!E11,"")</f>
        <v>4</v>
      </c>
      <c r="T14" s="7" t="str">
        <f>'- C -'!F11</f>
        <v>Mexico</v>
      </c>
      <c r="W14" s="6" t="str">
        <f>'- D -'!B11</f>
        <v>Australia</v>
      </c>
      <c r="X14" s="17">
        <f ca="1">IF('- D -'!C11&lt;&gt;"",'- D -'!C11,"")</f>
        <v>6</v>
      </c>
      <c r="Y14" s="8"/>
      <c r="Z14" s="17">
        <f ca="1">IF('- D -'!E11&lt;&gt;"",'- D -'!E11,"")</f>
        <v>6</v>
      </c>
      <c r="AA14" s="7" t="str">
        <f>'- D -'!F11</f>
        <v>Dinamarca</v>
      </c>
    </row>
    <row r="15" spans="2:27" ht="5.0999999999999996" customHeight="1" thickBot="1"/>
    <row r="16" spans="2:27" ht="13.5" thickBot="1">
      <c r="B16" s="359" t="s">
        <v>339</v>
      </c>
      <c r="C16" s="360"/>
      <c r="D16" s="360"/>
      <c r="E16" s="360"/>
      <c r="F16" s="361"/>
      <c r="I16" s="359" t="s">
        <v>340</v>
      </c>
      <c r="J16" s="360"/>
      <c r="K16" s="360"/>
      <c r="L16" s="360"/>
      <c r="M16" s="361"/>
      <c r="P16" s="359" t="s">
        <v>341</v>
      </c>
      <c r="Q16" s="360"/>
      <c r="R16" s="360"/>
      <c r="S16" s="360"/>
      <c r="T16" s="361"/>
      <c r="W16" s="359" t="s">
        <v>342</v>
      </c>
      <c r="X16" s="360"/>
      <c r="Y16" s="360"/>
      <c r="Z16" s="360"/>
      <c r="AA16" s="361"/>
    </row>
    <row r="17" spans="2:27" ht="4.5" customHeight="1"/>
    <row r="18" spans="2:27">
      <c r="B18" s="6" t="str">
        <f>'- E -'!B6</f>
        <v>España</v>
      </c>
      <c r="C18" s="17">
        <f ca="1">IF('- E -'!C6&lt;&gt;"",'- E -'!C6,"")</f>
        <v>5</v>
      </c>
      <c r="D18" s="8"/>
      <c r="E18" s="17">
        <f ca="1">IF('- E -'!E6&lt;&gt;"",'- E -'!E6,"")</f>
        <v>0</v>
      </c>
      <c r="F18" s="7" t="str">
        <f>'- E -'!F6</f>
        <v>Costa Rica</v>
      </c>
      <c r="G18" s="6"/>
      <c r="H18" s="6"/>
      <c r="I18" s="6" t="str">
        <f>'- F -'!B6</f>
        <v>Belgica</v>
      </c>
      <c r="J18" s="17">
        <f ca="1">IF('- F -'!C6&lt;&gt;"",'- F -'!C6,"")</f>
        <v>10</v>
      </c>
      <c r="K18" s="8"/>
      <c r="L18" s="17">
        <f ca="1">IF('- F -'!E6&lt;&gt;"",'- F -'!E6,"")</f>
        <v>8</v>
      </c>
      <c r="M18" s="7" t="str">
        <f>'- F -'!F6</f>
        <v>Canada</v>
      </c>
      <c r="N18" s="6"/>
      <c r="O18" s="6"/>
      <c r="P18" s="6" t="str">
        <f>'- G -'!B6</f>
        <v>Suiza</v>
      </c>
      <c r="Q18" s="17">
        <f ca="1">IF('- G -'!C6&lt;&gt;"",'- G -'!C6,"")</f>
        <v>1</v>
      </c>
      <c r="R18" s="8"/>
      <c r="S18" s="17">
        <f ca="1">IF('- G -'!E6&lt;&gt;"",'- G -'!E6,"")</f>
        <v>10</v>
      </c>
      <c r="T18" s="7" t="str">
        <f>'- G -'!F6</f>
        <v>Camerun</v>
      </c>
      <c r="W18" s="6" t="str">
        <f>'- H -'!B6</f>
        <v>Uruguay</v>
      </c>
      <c r="X18" s="17">
        <f ca="1">IF('- H -'!C6&lt;&gt;"",'- H -'!C6,"")</f>
        <v>7</v>
      </c>
      <c r="Y18" s="8"/>
      <c r="Z18" s="17">
        <f ca="1">IF('- H -'!E6&lt;&gt;"",'- H -'!E6,"")</f>
        <v>7</v>
      </c>
      <c r="AA18" s="7" t="str">
        <f>'- H -'!F6</f>
        <v>Corea del Sur</v>
      </c>
    </row>
    <row r="19" spans="2:27" ht="4.5" customHeight="1">
      <c r="C19" s="8"/>
      <c r="D19" s="8"/>
      <c r="E19" s="8"/>
      <c r="G19" s="6"/>
      <c r="H19" s="6"/>
      <c r="J19" s="8"/>
      <c r="K19" s="8"/>
      <c r="L19" s="8"/>
      <c r="N19" s="6"/>
      <c r="O19" s="6"/>
      <c r="Q19" s="8"/>
      <c r="R19" s="8"/>
      <c r="S19" s="8"/>
      <c r="X19" s="8"/>
      <c r="Y19" s="8"/>
      <c r="Z19" s="8"/>
    </row>
    <row r="20" spans="2:27">
      <c r="B20" s="6" t="str">
        <f>'- E -'!B7</f>
        <v>Alemania</v>
      </c>
      <c r="C20" s="17">
        <f ca="1">IF('- E -'!C7&lt;&gt;"",'- E -'!C7,"")</f>
        <v>9</v>
      </c>
      <c r="D20" s="8"/>
      <c r="E20" s="17">
        <f ca="1">IF('- E -'!E7&lt;&gt;"",'- E -'!E7,"")</f>
        <v>3</v>
      </c>
      <c r="F20" s="7" t="str">
        <f>'- E -'!F7</f>
        <v>Japon</v>
      </c>
      <c r="G20" s="6"/>
      <c r="H20" s="6"/>
      <c r="I20" s="6" t="str">
        <f>'- F -'!B7</f>
        <v>Marruecos</v>
      </c>
      <c r="J20" s="17">
        <f ca="1">IF('- F -'!C7&lt;&gt;"",'- F -'!C7,"")</f>
        <v>1</v>
      </c>
      <c r="K20" s="8"/>
      <c r="L20" s="17">
        <f ca="1">IF('- F -'!E7&lt;&gt;"",'- F -'!E7,"")</f>
        <v>8</v>
      </c>
      <c r="M20" s="7" t="str">
        <f>'- F -'!F7</f>
        <v>Croacia</v>
      </c>
      <c r="N20" s="6"/>
      <c r="O20" s="6"/>
      <c r="P20" s="6" t="str">
        <f>'- G -'!B7</f>
        <v>Brasil</v>
      </c>
      <c r="Q20" s="17">
        <f ca="1">IF('- G -'!C7&lt;&gt;"",'- G -'!C7,"")</f>
        <v>3</v>
      </c>
      <c r="R20" s="8"/>
      <c r="S20" s="17">
        <f ca="1">IF('- G -'!E7&lt;&gt;"",'- G -'!E7,"")</f>
        <v>3</v>
      </c>
      <c r="T20" s="7" t="str">
        <f>'- G -'!F7</f>
        <v>Serbia</v>
      </c>
      <c r="W20" s="6" t="str">
        <f>'- H -'!B7</f>
        <v>Portugal</v>
      </c>
      <c r="X20" s="17">
        <f ca="1">IF('- H -'!C7&lt;&gt;"",'- H -'!C7,"")</f>
        <v>9</v>
      </c>
      <c r="Y20" s="8"/>
      <c r="Z20" s="17">
        <f ca="1">IF('- H -'!E7&lt;&gt;"",'- H -'!E7,"")</f>
        <v>10</v>
      </c>
      <c r="AA20" s="7" t="str">
        <f>'- H -'!F7</f>
        <v>Ghana</v>
      </c>
    </row>
    <row r="21" spans="2:27" ht="4.5" customHeight="1">
      <c r="C21" s="8"/>
      <c r="D21" s="8"/>
      <c r="E21" s="8"/>
      <c r="G21" s="6"/>
      <c r="H21" s="6"/>
      <c r="J21" s="8"/>
      <c r="K21" s="8"/>
      <c r="L21" s="8"/>
      <c r="N21" s="6"/>
      <c r="O21" s="6"/>
      <c r="Q21" s="8"/>
      <c r="R21" s="8"/>
      <c r="S21" s="8"/>
      <c r="X21" s="8"/>
      <c r="Y21" s="8"/>
      <c r="Z21" s="8"/>
    </row>
    <row r="22" spans="2:27">
      <c r="B22" s="6" t="str">
        <f>'- E -'!B8</f>
        <v>España</v>
      </c>
      <c r="C22" s="17">
        <f ca="1">IF('- E -'!C8&lt;&gt;"",'- E -'!C8,"")</f>
        <v>9</v>
      </c>
      <c r="D22" s="8"/>
      <c r="E22" s="17">
        <f ca="1">IF('- E -'!E8&lt;&gt;"",'- E -'!E8,"")</f>
        <v>1</v>
      </c>
      <c r="F22" s="7" t="str">
        <f>'- E -'!F8</f>
        <v>Alemania</v>
      </c>
      <c r="G22" s="6"/>
      <c r="H22" s="6"/>
      <c r="I22" s="6" t="str">
        <f>'- F -'!B8</f>
        <v>Croacia</v>
      </c>
      <c r="J22" s="17">
        <f ca="1">IF('- F -'!C8&lt;&gt;"",'- F -'!C8,"")</f>
        <v>0</v>
      </c>
      <c r="K22" s="8"/>
      <c r="L22" s="17">
        <f ca="1">IF('- F -'!E8&lt;&gt;"",'- F -'!E8,"")</f>
        <v>7</v>
      </c>
      <c r="M22" s="7" t="str">
        <f>'- F -'!F8</f>
        <v>Canada</v>
      </c>
      <c r="N22" s="6"/>
      <c r="O22" s="6"/>
      <c r="P22" s="6" t="str">
        <f>'- G -'!B8</f>
        <v>Brasil</v>
      </c>
      <c r="Q22" s="17">
        <f ca="1">IF('- G -'!C8&lt;&gt;"",'- G -'!C8,"")</f>
        <v>1</v>
      </c>
      <c r="R22" s="8"/>
      <c r="S22" s="17">
        <f ca="1">IF('- G -'!E8&lt;&gt;"",'- G -'!E8,"")</f>
        <v>7</v>
      </c>
      <c r="T22" s="7" t="str">
        <f>'- G -'!F8</f>
        <v>Suiza</v>
      </c>
      <c r="W22" s="6" t="str">
        <f>'- H -'!B8</f>
        <v>Corea del Sur</v>
      </c>
      <c r="X22" s="17">
        <f ca="1">IF('- H -'!C8&lt;&gt;"",'- H -'!C8,"")</f>
        <v>3</v>
      </c>
      <c r="Y22" s="8"/>
      <c r="Z22" s="17">
        <f ca="1">IF('- H -'!E8&lt;&gt;"",'- H -'!E8,"")</f>
        <v>9</v>
      </c>
      <c r="AA22" s="7" t="str">
        <f>'- H -'!F8</f>
        <v>Ghana</v>
      </c>
    </row>
    <row r="23" spans="2:27" ht="4.5" customHeight="1">
      <c r="C23" s="8"/>
      <c r="D23" s="8"/>
      <c r="E23" s="8"/>
      <c r="G23" s="6"/>
      <c r="H23" s="6"/>
      <c r="J23" s="8"/>
      <c r="K23" s="8"/>
      <c r="L23" s="8"/>
      <c r="N23" s="6"/>
      <c r="O23" s="6"/>
      <c r="Q23" s="8"/>
      <c r="R23" s="8"/>
      <c r="S23" s="8"/>
      <c r="X23" s="8"/>
      <c r="Y23" s="8"/>
      <c r="Z23" s="8"/>
    </row>
    <row r="24" spans="2:27">
      <c r="B24" s="6" t="str">
        <f>'- E -'!B9</f>
        <v>Japon</v>
      </c>
      <c r="C24" s="17">
        <f ca="1">IF('- E -'!C9&lt;&gt;"",'- E -'!C9,"")</f>
        <v>9</v>
      </c>
      <c r="D24" s="8"/>
      <c r="E24" s="17">
        <f ca="1">IF('- E -'!E9&lt;&gt;"",'- E -'!E9,"")</f>
        <v>8</v>
      </c>
      <c r="F24" s="7" t="str">
        <f>'- E -'!F9</f>
        <v>Costa Rica</v>
      </c>
      <c r="G24" s="6"/>
      <c r="H24" s="6"/>
      <c r="I24" s="6" t="str">
        <f>'- F -'!B9</f>
        <v>Belgica</v>
      </c>
      <c r="J24" s="17">
        <f ca="1">IF('- F -'!C9&lt;&gt;"",'- F -'!C9,"")</f>
        <v>2</v>
      </c>
      <c r="K24" s="8"/>
      <c r="L24" s="17">
        <f ca="1">IF('- F -'!E6&lt;&gt;"",'- F -'!E6,"")</f>
        <v>8</v>
      </c>
      <c r="M24" s="7" t="str">
        <f>'- F -'!F9</f>
        <v>Marruecos</v>
      </c>
      <c r="N24" s="6"/>
      <c r="O24" s="6"/>
      <c r="P24" s="6" t="str">
        <f>'- G -'!B9</f>
        <v>Camerun</v>
      </c>
      <c r="Q24" s="17">
        <f ca="1">IF('- G -'!C9&lt;&gt;"",'- G -'!C9,"")</f>
        <v>10</v>
      </c>
      <c r="R24" s="8"/>
      <c r="S24" s="17">
        <f ca="1">IF('- G -'!E9&lt;&gt;"",'- G -'!E9,"")</f>
        <v>9</v>
      </c>
      <c r="T24" s="7" t="str">
        <f>'- G -'!F9</f>
        <v>Serbia</v>
      </c>
      <c r="W24" s="6" t="str">
        <f>'- H -'!B9</f>
        <v>Portugal</v>
      </c>
      <c r="X24" s="17">
        <f ca="1">IF('- H -'!C9&lt;&gt;"",'- H -'!C9,"")</f>
        <v>10</v>
      </c>
      <c r="Y24" s="8"/>
      <c r="Z24" s="17">
        <f ca="1">IF('- H -'!E9&lt;&gt;"",'- H -'!E9,"")</f>
        <v>5</v>
      </c>
      <c r="AA24" s="7" t="str">
        <f>'- H -'!F9</f>
        <v>Uruguay</v>
      </c>
    </row>
    <row r="25" spans="2:27" ht="4.5" customHeight="1">
      <c r="B25" s="6"/>
      <c r="C25" s="8"/>
      <c r="D25" s="8"/>
      <c r="E25" s="8"/>
      <c r="F25" s="7"/>
      <c r="G25" s="6"/>
      <c r="H25" s="6"/>
      <c r="I25" s="6"/>
      <c r="J25" s="8"/>
      <c r="K25" s="8"/>
      <c r="L25" s="8"/>
      <c r="M25" s="7"/>
      <c r="N25" s="6"/>
      <c r="O25" s="6"/>
      <c r="P25" s="6"/>
      <c r="Q25" s="8"/>
      <c r="R25" s="8"/>
      <c r="S25" s="8"/>
      <c r="T25" s="7"/>
      <c r="W25" s="6"/>
      <c r="X25" s="8"/>
      <c r="Y25" s="8"/>
      <c r="Z25" s="8"/>
      <c r="AA25" s="7"/>
    </row>
    <row r="26" spans="2:27">
      <c r="B26" s="6" t="str">
        <f>'- E -'!B10</f>
        <v>Costa Rica</v>
      </c>
      <c r="C26" s="17">
        <f ca="1">IF('- E -'!C10&lt;&gt;"",'- E -'!C10,"")</f>
        <v>9</v>
      </c>
      <c r="D26" s="8"/>
      <c r="E26" s="17">
        <f ca="1">IF('- E -'!E10&lt;&gt;"",'- E -'!E10,"")</f>
        <v>6</v>
      </c>
      <c r="F26" s="7" t="str">
        <f>'- E -'!F10</f>
        <v>Alemania</v>
      </c>
      <c r="G26" s="6"/>
      <c r="H26" s="6"/>
      <c r="I26" s="6" t="str">
        <f>'- F -'!B10</f>
        <v>Croacia</v>
      </c>
      <c r="J26" s="17">
        <f ca="1">IF('- F -'!C10&lt;&gt;"",'- F -'!C10,"")</f>
        <v>7</v>
      </c>
      <c r="K26" s="8"/>
      <c r="L26" s="17">
        <f ca="1">IF('- F -'!E10&lt;&gt;"",'- F -'!E10,"")</f>
        <v>3</v>
      </c>
      <c r="M26" s="7" t="str">
        <f>'- F -'!F10</f>
        <v>Belgica</v>
      </c>
      <c r="N26" s="6"/>
      <c r="O26" s="6"/>
      <c r="P26" s="6" t="str">
        <f>'- G -'!B10</f>
        <v>Camerun</v>
      </c>
      <c r="Q26" s="17">
        <f ca="1">IF('- G -'!C10&lt;&gt;"",'- G -'!C10,"")</f>
        <v>3</v>
      </c>
      <c r="R26" s="8"/>
      <c r="S26" s="17">
        <f ca="1">IF('- G -'!E10&lt;&gt;"",'- G -'!E10,"")</f>
        <v>1</v>
      </c>
      <c r="T26" s="7" t="str">
        <f>'- G -'!F10</f>
        <v>Brasil</v>
      </c>
      <c r="W26" s="6" t="str">
        <f>'- H -'!B10</f>
        <v>Corea del Sur</v>
      </c>
      <c r="X26" s="17">
        <f ca="1">IF('- H -'!C10&lt;&gt;"",'- H -'!C10,"")</f>
        <v>9</v>
      </c>
      <c r="Y26" s="8"/>
      <c r="Z26" s="17">
        <f ca="1">IF('- H -'!E10&lt;&gt;"",'- H -'!E10,"")</f>
        <v>7</v>
      </c>
      <c r="AA26" s="7" t="str">
        <f>'- H -'!F10</f>
        <v>Portugal</v>
      </c>
    </row>
    <row r="27" spans="2:27" ht="4.5" customHeight="1">
      <c r="B27" s="6"/>
      <c r="C27" s="8"/>
      <c r="D27" s="8"/>
      <c r="E27" s="8"/>
      <c r="F27" s="7"/>
      <c r="G27" s="6"/>
      <c r="H27" s="6"/>
      <c r="I27" s="6"/>
      <c r="J27" s="8"/>
      <c r="K27" s="8"/>
      <c r="L27" s="8"/>
      <c r="M27" s="7"/>
      <c r="N27" s="6"/>
      <c r="O27" s="6"/>
      <c r="P27" s="6"/>
      <c r="Q27" s="8"/>
      <c r="R27" s="8"/>
      <c r="S27" s="8"/>
      <c r="T27" s="7"/>
      <c r="W27" s="6"/>
      <c r="X27" s="8"/>
      <c r="Y27" s="8"/>
      <c r="Z27" s="8"/>
      <c r="AA27" s="7"/>
    </row>
    <row r="28" spans="2:27">
      <c r="B28" s="6" t="str">
        <f>'- E -'!B11</f>
        <v>Japon</v>
      </c>
      <c r="C28" s="17">
        <f ca="1">IF('- E -'!C11&lt;&gt;"",'- E -'!C11,"")</f>
        <v>10</v>
      </c>
      <c r="D28" s="8"/>
      <c r="E28" s="17">
        <f ca="1">IF('- E -'!E11&lt;&gt;"",'- E -'!E11,"")</f>
        <v>8</v>
      </c>
      <c r="F28" s="7" t="str">
        <f>'- E -'!F11</f>
        <v>España</v>
      </c>
      <c r="G28" s="6"/>
      <c r="H28" s="6"/>
      <c r="I28" s="6" t="str">
        <f>'- F -'!B11</f>
        <v>Canada</v>
      </c>
      <c r="J28" s="17">
        <f ca="1">IF('- F -'!C11&lt;&gt;"",'- F -'!C11,"")</f>
        <v>4</v>
      </c>
      <c r="K28" s="8"/>
      <c r="L28" s="17">
        <f ca="1">IF('- F -'!E11&lt;&gt;"",'- F -'!E11,"")</f>
        <v>0</v>
      </c>
      <c r="M28" s="7" t="str">
        <f>'- F -'!F11</f>
        <v>Marruecos</v>
      </c>
      <c r="N28" s="6"/>
      <c r="O28" s="6"/>
      <c r="P28" s="6" t="str">
        <f>'- G -'!B11</f>
        <v>Serbia</v>
      </c>
      <c r="Q28" s="17">
        <f ca="1">IF('- G -'!C11&lt;&gt;"",'- G -'!C11,"")</f>
        <v>3</v>
      </c>
      <c r="R28" s="8"/>
      <c r="S28" s="17">
        <f ca="1">IF('- G -'!E11&lt;&gt;"",'- G -'!E11,"")</f>
        <v>2</v>
      </c>
      <c r="T28" s="7" t="str">
        <f>'- G -'!F11</f>
        <v>Suiza</v>
      </c>
      <c r="W28" s="6" t="str">
        <f>'- H -'!B11</f>
        <v>Ghana</v>
      </c>
      <c r="X28" s="17">
        <f ca="1">IF('- H -'!C11&lt;&gt;"",'- H -'!C11,"")</f>
        <v>8</v>
      </c>
      <c r="Y28" s="8"/>
      <c r="Z28" s="17">
        <f ca="1">IF('- H -'!E11&lt;&gt;"",'- H -'!E11,"")</f>
        <v>1</v>
      </c>
      <c r="AA28" s="7" t="str">
        <f>'- H -'!F11</f>
        <v>Uruguay</v>
      </c>
    </row>
    <row r="29" spans="2:27" ht="9.75" hidden="1" customHeight="1" thickBot="1"/>
    <row r="30" spans="2:27" ht="13.5" hidden="1" thickBot="1">
      <c r="B30" s="359" t="s">
        <v>312</v>
      </c>
      <c r="C30" s="360"/>
      <c r="D30" s="360"/>
      <c r="E30" s="360"/>
      <c r="F30" s="361"/>
      <c r="W30" s="15"/>
      <c r="X30" s="15"/>
      <c r="Y30" s="15"/>
      <c r="Z30" s="15"/>
      <c r="AA30" s="15"/>
    </row>
    <row r="31" spans="2:27" ht="4.5" hidden="1" customHeight="1" thickBot="1"/>
    <row r="32" spans="2:27" s="6" customFormat="1" ht="12.75" hidden="1" customHeight="1" thickBot="1">
      <c r="B32" s="372"/>
      <c r="C32" s="372"/>
      <c r="E32" s="372"/>
      <c r="F32" s="372"/>
      <c r="I32" s="359" t="s">
        <v>313</v>
      </c>
      <c r="J32" s="360"/>
      <c r="K32" s="360"/>
      <c r="L32" s="360"/>
      <c r="M32" s="361"/>
    </row>
    <row r="33" spans="2:30" s="6" customFormat="1" ht="6" hidden="1" customHeight="1">
      <c r="B33" s="402" t="str">
        <f ca="1">'8vos de final'!E9</f>
        <v>Netherlands</v>
      </c>
      <c r="C33" s="404">
        <f>IF('8vos de final'!F9&lt;&gt;"",'8vos de final'!F9,"")</f>
        <v>2</v>
      </c>
      <c r="D33" s="8"/>
      <c r="E33" s="400">
        <f>IF('8vos de final'!F11&lt;&gt;"",'8vos de final'!F11,"")</f>
        <v>3</v>
      </c>
      <c r="F33" s="398" t="str">
        <f ca="1">'8vos de final'!E11</f>
        <v>USA</v>
      </c>
      <c r="G33" s="13"/>
    </row>
    <row r="34" spans="2:30" s="6" customFormat="1" ht="6" hidden="1" customHeight="1">
      <c r="B34" s="403"/>
      <c r="C34" s="405"/>
      <c r="D34" s="8"/>
      <c r="E34" s="401"/>
      <c r="F34" s="399"/>
      <c r="G34" s="11"/>
    </row>
    <row r="35" spans="2:30" s="6" customFormat="1" ht="6" hidden="1" customHeight="1">
      <c r="B35" s="8"/>
      <c r="F35" s="8"/>
      <c r="G35" s="12"/>
      <c r="H35" s="13"/>
      <c r="I35" s="402" t="str">
        <f ca="1">'4tos de final'!E7</f>
        <v>USA</v>
      </c>
      <c r="J35" s="404" t="str">
        <f>IF('4tos de final'!F7&lt;&gt;"",'4tos de final'!F7,"")</f>
        <v/>
      </c>
      <c r="K35" s="8"/>
      <c r="L35" s="404" t="str">
        <f>IF('4tos de final'!F9&lt;&gt;"",'4tos de final'!F9,"")</f>
        <v/>
      </c>
      <c r="M35" s="406" t="str">
        <f ca="1">'4tos de final'!E9</f>
        <v>Arabia Saudi</v>
      </c>
      <c r="N35" s="13"/>
      <c r="AA35" s="16"/>
    </row>
    <row r="36" spans="2:30" s="6" customFormat="1" ht="6" hidden="1" customHeight="1" thickBot="1">
      <c r="B36" s="8"/>
      <c r="F36" s="8"/>
      <c r="G36" s="12"/>
      <c r="I36" s="403"/>
      <c r="J36" s="405"/>
      <c r="K36" s="8"/>
      <c r="L36" s="405"/>
      <c r="M36" s="407"/>
      <c r="N36" s="11"/>
    </row>
    <row r="37" spans="2:30" s="6" customFormat="1" ht="12.75" hidden="1" customHeight="1" thickBot="1">
      <c r="B37" s="372"/>
      <c r="C37" s="372"/>
      <c r="E37" s="372"/>
      <c r="F37" s="372"/>
      <c r="G37" s="12"/>
      <c r="N37" s="12"/>
      <c r="P37" s="359" t="s">
        <v>301</v>
      </c>
      <c r="Q37" s="360"/>
      <c r="R37" s="360"/>
      <c r="S37" s="360"/>
      <c r="T37" s="361"/>
    </row>
    <row r="38" spans="2:30" s="6" customFormat="1" ht="6" hidden="1" customHeight="1">
      <c r="B38" s="402" t="str">
        <f ca="1">'8vos de final'!E13</f>
        <v>Arabia Saudi</v>
      </c>
      <c r="C38" s="404">
        <f>IF('8vos de final'!F13&lt;&gt;"",'8vos de final'!F13,"")</f>
        <v>4</v>
      </c>
      <c r="D38" s="8"/>
      <c r="E38" s="400">
        <f>IF('8vos de final'!F15&lt;&gt;"",'8vos de final'!F15,"")</f>
        <v>4</v>
      </c>
      <c r="F38" s="398" t="str">
        <f ca="1">'8vos de final'!E15</f>
        <v>Francia</v>
      </c>
      <c r="G38" s="10"/>
      <c r="N38" s="12"/>
    </row>
    <row r="39" spans="2:30" s="6" customFormat="1" ht="6" hidden="1" customHeight="1">
      <c r="B39" s="403"/>
      <c r="C39" s="405"/>
      <c r="D39" s="8"/>
      <c r="E39" s="401"/>
      <c r="F39" s="399"/>
      <c r="N39" s="12"/>
    </row>
    <row r="40" spans="2:30" s="6" customFormat="1" ht="6" hidden="1" customHeight="1">
      <c r="B40" s="8"/>
      <c r="F40" s="8"/>
      <c r="N40" s="12"/>
      <c r="O40" s="13"/>
      <c r="P40" s="402" t="str">
        <f ca="1">Semifinal!E7</f>
        <v>CF1</v>
      </c>
      <c r="Q40" s="404" t="str">
        <f>IF(Semifinal!F7&lt;&gt;"",Semifinal!F7,"")</f>
        <v/>
      </c>
      <c r="R40" s="8"/>
      <c r="S40" s="404" t="str">
        <f>IF(Semifinal!F9&lt;&gt;"",Semifinal!F9,"")</f>
        <v/>
      </c>
      <c r="T40" s="406" t="str">
        <f ca="1">Semifinal!E9</f>
        <v>CF2</v>
      </c>
      <c r="U40" s="13"/>
    </row>
    <row r="41" spans="2:30" s="6" customFormat="1" ht="6" hidden="1" customHeight="1">
      <c r="B41" s="8"/>
      <c r="F41" s="8"/>
      <c r="N41" s="12"/>
      <c r="P41" s="403"/>
      <c r="Q41" s="405"/>
      <c r="R41" s="8"/>
      <c r="S41" s="405"/>
      <c r="T41" s="407"/>
      <c r="U41" s="11"/>
    </row>
    <row r="42" spans="2:30" s="6" customFormat="1" ht="12.75" hidden="1" customHeight="1">
      <c r="B42" s="372"/>
      <c r="C42" s="372"/>
      <c r="E42" s="372"/>
      <c r="F42" s="372"/>
      <c r="N42" s="12"/>
      <c r="U42" s="12"/>
      <c r="W42" s="100" t="s">
        <v>295</v>
      </c>
      <c r="X42" s="24"/>
      <c r="Y42" s="24"/>
      <c r="Z42"/>
      <c r="AA42"/>
      <c r="AB42" s="410" t="str">
        <f>+Final!H21</f>
        <v>Ronaldo</v>
      </c>
      <c r="AC42" s="410"/>
      <c r="AD42" s="107"/>
    </row>
    <row r="43" spans="2:30" s="6" customFormat="1" ht="6" hidden="1" customHeight="1">
      <c r="B43" s="402" t="str">
        <f ca="1">'8vos de final'!E25</f>
        <v>España</v>
      </c>
      <c r="C43" s="404">
        <f>IF('8vos de final'!F25&lt;&gt;"",'8vos de final'!F25,"")</f>
        <v>1</v>
      </c>
      <c r="D43" s="8"/>
      <c r="E43" s="400" t="str">
        <f>IF('8vos de final'!F27&lt;&gt;"",'8vos de final'!F27,"")</f>
        <v/>
      </c>
      <c r="F43" s="398" t="str">
        <f ca="1">'8vos de final'!E27</f>
        <v>Croacia</v>
      </c>
      <c r="G43" s="13"/>
      <c r="N43" s="12"/>
      <c r="U43" s="12"/>
    </row>
    <row r="44" spans="2:30" s="6" customFormat="1" ht="6" hidden="1" customHeight="1" thickBot="1">
      <c r="B44" s="403"/>
      <c r="C44" s="405"/>
      <c r="D44" s="8"/>
      <c r="E44" s="401"/>
      <c r="F44" s="399"/>
      <c r="G44" s="11"/>
      <c r="N44" s="12"/>
      <c r="U44" s="12"/>
    </row>
    <row r="45" spans="2:30" s="6" customFormat="1" ht="6" hidden="1" customHeight="1">
      <c r="B45" s="8"/>
      <c r="F45" s="8"/>
      <c r="G45" s="12"/>
      <c r="H45" s="13"/>
      <c r="I45" s="402" t="str">
        <f ca="1">'4tos de final'!E11</f>
        <v>OF3</v>
      </c>
      <c r="J45" s="404" t="str">
        <f>IF('4tos de final'!F11&lt;&gt;"",'4tos de final'!F11,"")</f>
        <v/>
      </c>
      <c r="K45" s="8"/>
      <c r="L45" s="404" t="str">
        <f>IF('4tos de final'!F13&lt;&gt;"",'4tos de final'!F13,"")</f>
        <v/>
      </c>
      <c r="M45" s="406" t="str">
        <f ca="1">'4tos de final'!E13</f>
        <v>Polonia</v>
      </c>
      <c r="N45" s="10"/>
      <c r="U45" s="12"/>
      <c r="W45" s="363" t="s">
        <v>314</v>
      </c>
      <c r="X45" s="364"/>
      <c r="Y45" s="364"/>
      <c r="Z45" s="364"/>
      <c r="AA45" s="365"/>
      <c r="AC45" s="351"/>
      <c r="AD45" s="351"/>
    </row>
    <row r="46" spans="2:30" s="6" customFormat="1" ht="6" hidden="1" customHeight="1" thickBot="1">
      <c r="B46" s="8"/>
      <c r="F46" s="8"/>
      <c r="G46" s="12"/>
      <c r="I46" s="403"/>
      <c r="J46" s="405"/>
      <c r="K46" s="8"/>
      <c r="L46" s="405"/>
      <c r="M46" s="407"/>
      <c r="U46" s="12"/>
      <c r="W46" s="366"/>
      <c r="X46" s="367"/>
      <c r="Y46" s="367"/>
      <c r="Z46" s="367"/>
      <c r="AA46" s="368"/>
      <c r="AC46" s="351"/>
      <c r="AD46" s="351"/>
    </row>
    <row r="47" spans="2:30" s="6" customFormat="1" ht="12.75" hidden="1" customHeight="1">
      <c r="B47" s="372"/>
      <c r="C47" s="372"/>
      <c r="E47" s="372"/>
      <c r="F47" s="372"/>
      <c r="G47" s="12"/>
      <c r="U47" s="12"/>
      <c r="AC47" s="362" t="s">
        <v>315</v>
      </c>
      <c r="AD47" s="362"/>
    </row>
    <row r="48" spans="2:30" s="6" customFormat="1" ht="6" hidden="1" customHeight="1">
      <c r="B48" s="402" t="str">
        <f ca="1">'8vos de final'!E31</f>
        <v>Camerun</v>
      </c>
      <c r="C48" s="404" t="str">
        <f>IF('8vos de final'!F31&lt;&gt;"",'8vos de final'!F31,"")</f>
        <v/>
      </c>
      <c r="D48" s="8"/>
      <c r="E48" s="400" t="str">
        <f>IF('8vos de final'!F33&lt;&gt;"",'8vos de final'!F33,"")</f>
        <v/>
      </c>
      <c r="F48" s="398" t="str">
        <f ca="1">'8vos de final'!E33</f>
        <v>Corea del Sur</v>
      </c>
      <c r="G48" s="10"/>
      <c r="U48" s="12"/>
      <c r="V48" s="9"/>
      <c r="W48" s="402" t="str">
        <f ca="1">Final!E15</f>
        <v>SF1</v>
      </c>
      <c r="X48" s="404" t="str">
        <f>IF(Final!F15&lt;&gt;"",Final!F15,"")</f>
        <v/>
      </c>
      <c r="Y48" s="8"/>
      <c r="Z48" s="404" t="str">
        <f>IF(Final!F17&lt;&gt;"",Final!F17,"")</f>
        <v/>
      </c>
      <c r="AA48" s="406" t="str">
        <f ca="1">Final!E17</f>
        <v>SF2</v>
      </c>
      <c r="AB48" s="13"/>
      <c r="AC48" s="400" t="str">
        <f ca="1">Final!J16</f>
        <v>CAMPEON</v>
      </c>
      <c r="AD48" s="400"/>
    </row>
    <row r="49" spans="2:30" s="6" customFormat="1" ht="6" hidden="1" customHeight="1">
      <c r="B49" s="403"/>
      <c r="C49" s="405"/>
      <c r="D49" s="8"/>
      <c r="E49" s="401"/>
      <c r="F49" s="399"/>
      <c r="U49" s="12"/>
      <c r="W49" s="403"/>
      <c r="X49" s="405"/>
      <c r="Y49" s="8"/>
      <c r="Z49" s="405"/>
      <c r="AA49" s="407"/>
      <c r="AC49" s="401"/>
      <c r="AD49" s="401"/>
    </row>
    <row r="50" spans="2:30" s="6" customFormat="1" ht="12.75" hidden="1" customHeight="1" thickBot="1">
      <c r="B50" s="8"/>
      <c r="F50" s="8"/>
      <c r="U50" s="12"/>
    </row>
    <row r="51" spans="2:30" s="6" customFormat="1" ht="12.75" hidden="1" customHeight="1" thickBot="1">
      <c r="B51" s="8"/>
      <c r="F51" s="8"/>
      <c r="U51" s="12"/>
      <c r="W51" s="359" t="s">
        <v>316</v>
      </c>
      <c r="X51" s="360"/>
      <c r="Y51" s="360"/>
      <c r="Z51" s="360"/>
      <c r="AA51" s="361"/>
    </row>
    <row r="52" spans="2:30" s="6" customFormat="1" ht="12.75" hidden="1" customHeight="1">
      <c r="B52" s="372"/>
      <c r="C52" s="372"/>
      <c r="E52" s="372"/>
      <c r="F52" s="372"/>
      <c r="U52" s="12"/>
    </row>
    <row r="53" spans="2:30" s="6" customFormat="1" ht="6" hidden="1" customHeight="1">
      <c r="B53" s="402" t="str">
        <f ca="1">'8vos de final'!E17</f>
        <v>Iran</v>
      </c>
      <c r="C53" s="404">
        <f>IF('8vos de final'!F17&lt;&gt;"",'8vos de final'!F17,"")</f>
        <v>0</v>
      </c>
      <c r="D53" s="8"/>
      <c r="E53" s="400">
        <f>IF('8vos de final'!F19&lt;&gt;"",'8vos de final'!F19,"")</f>
        <v>0</v>
      </c>
      <c r="F53" s="398" t="str">
        <f ca="1">'8vos de final'!E19</f>
        <v>Qatar</v>
      </c>
      <c r="G53" s="13"/>
      <c r="U53" s="12"/>
      <c r="V53" s="9"/>
      <c r="W53" s="402" t="str">
        <f ca="1">Final!E8</f>
        <v>SF1-2</v>
      </c>
      <c r="X53" s="404" t="str">
        <f>IF(Final!F8&lt;&gt;"",Final!F8,"")</f>
        <v/>
      </c>
      <c r="Y53" s="8"/>
      <c r="Z53" s="404" t="str">
        <f>IF(Final!F10&lt;&gt;"",Final!F10,"")</f>
        <v/>
      </c>
      <c r="AA53" s="406" t="str">
        <f ca="1">Final!E10</f>
        <v>SF2-2</v>
      </c>
    </row>
    <row r="54" spans="2:30" s="6" customFormat="1" ht="6" hidden="1" customHeight="1">
      <c r="B54" s="403"/>
      <c r="C54" s="405"/>
      <c r="D54" s="8"/>
      <c r="E54" s="401"/>
      <c r="F54" s="399"/>
      <c r="G54" s="11"/>
      <c r="U54" s="12"/>
      <c r="W54" s="403"/>
      <c r="X54" s="405"/>
      <c r="Y54" s="8"/>
      <c r="Z54" s="405"/>
      <c r="AA54" s="407"/>
    </row>
    <row r="55" spans="2:30" s="6" customFormat="1" ht="6" hidden="1" customHeight="1">
      <c r="B55" s="8"/>
      <c r="F55" s="8"/>
      <c r="G55" s="12"/>
      <c r="H55" s="13"/>
      <c r="I55" s="402" t="str">
        <f ca="1">'4tos de final'!E15</f>
        <v>OF5</v>
      </c>
      <c r="J55" s="404" t="str">
        <f>IF('4tos de final'!F15&lt;&gt;"",'4tos de final'!F15,"")</f>
        <v/>
      </c>
      <c r="K55" s="8"/>
      <c r="L55" s="404" t="str">
        <f>IF('4tos de final'!F17&lt;&gt;"",'4tos de final'!F17,"")</f>
        <v/>
      </c>
      <c r="M55" s="406" t="str">
        <f ca="1">'4tos de final'!E17</f>
        <v>OF6</v>
      </c>
      <c r="N55" s="13"/>
      <c r="U55" s="12"/>
    </row>
    <row r="56" spans="2:30" s="6" customFormat="1" ht="6" hidden="1" customHeight="1">
      <c r="B56" s="8"/>
      <c r="F56" s="8"/>
      <c r="G56" s="12"/>
      <c r="I56" s="403"/>
      <c r="J56" s="405"/>
      <c r="K56" s="8"/>
      <c r="L56" s="405"/>
      <c r="M56" s="407"/>
      <c r="N56" s="11"/>
      <c r="U56" s="12"/>
    </row>
    <row r="57" spans="2:30" s="6" customFormat="1" ht="12.75" hidden="1" customHeight="1">
      <c r="B57" s="372"/>
      <c r="C57" s="372"/>
      <c r="E57" s="372"/>
      <c r="F57" s="372"/>
      <c r="G57" s="12"/>
      <c r="N57" s="12"/>
      <c r="U57" s="12"/>
    </row>
    <row r="58" spans="2:30" s="6" customFormat="1" ht="6" hidden="1" customHeight="1">
      <c r="B58" s="402" t="str">
        <f ca="1">'8vos de final'!E21</f>
        <v>Australia</v>
      </c>
      <c r="C58" s="404">
        <f>IF('8vos de final'!F21&lt;&gt;"",'8vos de final'!F21,"")</f>
        <v>0</v>
      </c>
      <c r="D58" s="8"/>
      <c r="E58" s="404">
        <f>IF('8vos de final'!F23&lt;&gt;"",'8vos de final'!F23,"")</f>
        <v>4</v>
      </c>
      <c r="F58" s="406" t="str">
        <f ca="1">'8vos de final'!E23</f>
        <v>Polonia</v>
      </c>
      <c r="G58" s="10"/>
      <c r="N58" s="12"/>
      <c r="U58" s="12"/>
    </row>
    <row r="59" spans="2:30" s="6" customFormat="1" ht="6" hidden="1" customHeight="1">
      <c r="B59" s="403"/>
      <c r="C59" s="405"/>
      <c r="D59" s="8"/>
      <c r="E59" s="405"/>
      <c r="F59" s="407"/>
      <c r="N59" s="12"/>
      <c r="U59" s="12"/>
    </row>
    <row r="60" spans="2:30" s="6" customFormat="1" ht="6" hidden="1" customHeight="1">
      <c r="B60" s="8"/>
      <c r="F60" s="8"/>
      <c r="N60" s="12"/>
      <c r="O60" s="13"/>
      <c r="P60" s="402" t="str">
        <f ca="1">Semifinal!E11</f>
        <v>CF3</v>
      </c>
      <c r="Q60" s="404" t="str">
        <f>IF(Semifinal!F11&lt;&gt;"",Semifinal!F11,"")</f>
        <v/>
      </c>
      <c r="R60" s="8"/>
      <c r="S60" s="404" t="str">
        <f>IF(Semifinal!F13&lt;&gt;"",Semifinal!F13,"")</f>
        <v/>
      </c>
      <c r="T60" s="406" t="str">
        <f ca="1">Semifinal!E13</f>
        <v>CF4</v>
      </c>
      <c r="U60" s="10"/>
      <c r="AA60" s="352" t="s">
        <v>290</v>
      </c>
      <c r="AB60" s="352"/>
      <c r="AC60" s="352"/>
    </row>
    <row r="61" spans="2:30" s="6" customFormat="1" ht="6" hidden="1" customHeight="1">
      <c r="B61" s="8"/>
      <c r="F61" s="8"/>
      <c r="N61" s="12"/>
      <c r="P61" s="403"/>
      <c r="Q61" s="405"/>
      <c r="R61" s="8"/>
      <c r="S61" s="405"/>
      <c r="T61" s="407"/>
      <c r="AA61" s="352"/>
      <c r="AB61" s="352"/>
      <c r="AC61" s="352"/>
    </row>
    <row r="62" spans="2:30" s="6" customFormat="1" ht="12.75" hidden="1" customHeight="1">
      <c r="B62" s="372"/>
      <c r="C62" s="372"/>
      <c r="E62" s="372"/>
      <c r="F62" s="372"/>
      <c r="N62" s="12"/>
    </row>
    <row r="63" spans="2:30" s="6" customFormat="1" ht="6" hidden="1" customHeight="1">
      <c r="B63" s="402" t="str">
        <f ca="1">'8vos de final'!E35</f>
        <v>Canada</v>
      </c>
      <c r="C63" s="404" t="str">
        <f>IF('8vos de final'!F35&lt;&gt;"",'8vos de final'!F35,"")</f>
        <v/>
      </c>
      <c r="D63" s="8"/>
      <c r="E63" s="404" t="str">
        <f>IF('8vos de final'!F37&lt;&gt;"",'8vos de final'!F37,"")</f>
        <v/>
      </c>
      <c r="F63" s="406" t="str">
        <f ca="1">'8vos de final'!E37</f>
        <v>Japon</v>
      </c>
      <c r="G63" s="13"/>
      <c r="N63" s="12"/>
    </row>
    <row r="64" spans="2:30" s="6" customFormat="1" ht="6" hidden="1" customHeight="1">
      <c r="B64" s="403"/>
      <c r="C64" s="405"/>
      <c r="D64" s="8"/>
      <c r="E64" s="405"/>
      <c r="F64" s="407"/>
      <c r="G64" s="11"/>
      <c r="N64" s="12"/>
    </row>
    <row r="65" spans="2:27" s="6" customFormat="1" ht="6" hidden="1" customHeight="1">
      <c r="B65" s="8"/>
      <c r="F65" s="8"/>
      <c r="G65" s="12"/>
      <c r="H65" s="13"/>
      <c r="I65" s="402" t="str">
        <f ca="1">'4tos de final'!E19</f>
        <v>OF7</v>
      </c>
      <c r="J65" s="404" t="str">
        <f>IF('4tos de final'!F19&lt;&gt;"",'4tos de final'!F19,"")</f>
        <v/>
      </c>
      <c r="K65" s="8"/>
      <c r="L65" s="404" t="str">
        <f>IF('4tos de final'!F21&lt;&gt;"",'4tos de final'!F21,"")</f>
        <v/>
      </c>
      <c r="M65" s="406" t="str">
        <f ca="1">'4tos de final'!E21</f>
        <v>OF8</v>
      </c>
      <c r="N65" s="10"/>
    </row>
    <row r="66" spans="2:27" s="6" customFormat="1" ht="6" hidden="1" customHeight="1">
      <c r="B66" s="8"/>
      <c r="F66" s="8"/>
      <c r="G66" s="12"/>
      <c r="I66" s="403"/>
      <c r="J66" s="405"/>
      <c r="K66" s="8"/>
      <c r="L66" s="405"/>
      <c r="M66" s="407"/>
    </row>
    <row r="67" spans="2:27" s="6" customFormat="1" ht="12.75" hidden="1" customHeight="1">
      <c r="B67" s="372"/>
      <c r="C67" s="372"/>
      <c r="E67" s="372"/>
      <c r="F67" s="372"/>
      <c r="G67" s="12"/>
      <c r="V67"/>
      <c r="W67"/>
      <c r="X67"/>
      <c r="Y67"/>
      <c r="Z67"/>
      <c r="AA67"/>
    </row>
    <row r="68" spans="2:27" ht="6" hidden="1" customHeight="1">
      <c r="B68" s="402" t="str">
        <f ca="1">'8vos de final'!E39</f>
        <v>Ghana</v>
      </c>
      <c r="C68" s="408" t="str">
        <f>IF('8vos de final'!F39&lt;&gt;"",'8vos de final'!F39,"")</f>
        <v/>
      </c>
      <c r="D68" s="5"/>
      <c r="E68" s="408" t="str">
        <f>IF('8vos de final'!F41&lt;&gt;"",'8vos de final'!F41,"")</f>
        <v/>
      </c>
      <c r="F68" s="406" t="str">
        <f ca="1">'8vos de final'!E41</f>
        <v>Serbia</v>
      </c>
      <c r="G68" s="14"/>
    </row>
    <row r="69" spans="2:27" ht="6" hidden="1" customHeight="1">
      <c r="B69" s="403"/>
      <c r="C69" s="409"/>
      <c r="D69" s="5"/>
      <c r="E69" s="409"/>
      <c r="F69" s="407"/>
    </row>
    <row r="70" spans="2:27" hidden="1"/>
    <row r="71" spans="2:27" hidden="1"/>
    <row r="72" spans="2:27" hidden="1"/>
    <row r="73" spans="2:27" hidden="1"/>
    <row r="74" spans="2:27" hidden="1"/>
    <row r="75" spans="2:27" hidden="1"/>
    <row r="76" spans="2:27" hidden="1"/>
    <row r="77" spans="2:27" hidden="1"/>
    <row r="78" spans="2:27" hidden="1"/>
    <row r="79" spans="2:27" hidden="1"/>
    <row r="80" spans="2:27" hidden="1"/>
    <row r="81" hidden="1"/>
    <row r="82" hidden="1"/>
    <row r="83" hidden="1"/>
    <row r="84" hidden="1"/>
  </sheetData>
  <sheetProtection algorithmName="SHA-512" hashValue="uhnMZ0F7UFSbfSMmTo4LUHiTgWeY1iFZ+aCv5j72aQt2INpN9IoQwLm6+08/zccvFAoLgOr8q5w9N4ELXq979A==" saltValue="L5tdc/JcqrOZOlF5+6HCqg==" spinCount="100000" sheet="1" selectLockedCells="1" selectUnlockedCells="1"/>
  <customSheetViews>
    <customSheetView guid="{387210E2-BDFB-42E5-A6C7-A37C9701EAB6}" showGridLines="0" showRowCol="0" outlineSymbols="0" fitToPage="1" topLeftCell="A6">
      <selection activeCell="S54" sqref="S54"/>
      <pageMargins left="0" right="0" top="0" bottom="0" header="0" footer="0"/>
      <printOptions horizontalCentered="1" verticalCentered="1"/>
      <pageSetup paperSize="9" scale="81" orientation="landscape" r:id="rId1"/>
      <headerFooter alignWithMargins="0"/>
    </customSheetView>
    <customSheetView guid="{E2621C8A-2AE3-484D-B751-B92E60BB88F8}" showGridLines="0" showRowCol="0" outlineSymbols="0" fitToPage="1" topLeftCell="A6">
      <selection activeCell="S54" sqref="S54"/>
      <pageMargins left="0" right="0" top="0" bottom="0" header="0" footer="0"/>
      <printOptions horizontalCentered="1" verticalCentered="1"/>
      <pageSetup paperSize="9" scale="81" orientation="landscape" r:id="rId2"/>
      <headerFooter alignWithMargins="0"/>
    </customSheetView>
  </customSheetViews>
  <mergeCells count="98">
    <mergeCell ref="AB42:AC42"/>
    <mergeCell ref="Z48:Z49"/>
    <mergeCell ref="AA48:AA49"/>
    <mergeCell ref="W45:AA46"/>
    <mergeCell ref="AC45:AD46"/>
    <mergeCell ref="AC48:AD49"/>
    <mergeCell ref="AC47:AD47"/>
    <mergeCell ref="X48:X49"/>
    <mergeCell ref="W48:W49"/>
    <mergeCell ref="I65:I66"/>
    <mergeCell ref="I55:I56"/>
    <mergeCell ref="J55:J56"/>
    <mergeCell ref="L55:L56"/>
    <mergeCell ref="W51:AA51"/>
    <mergeCell ref="W53:W54"/>
    <mergeCell ref="X53:X54"/>
    <mergeCell ref="Z53:Z54"/>
    <mergeCell ref="AA53:AA54"/>
    <mergeCell ref="M65:M66"/>
    <mergeCell ref="P60:P61"/>
    <mergeCell ref="Q60:Q61"/>
    <mergeCell ref="AA60:AC61"/>
    <mergeCell ref="S60:S61"/>
    <mergeCell ref="T60:T61"/>
    <mergeCell ref="B53:B54"/>
    <mergeCell ref="F63:F64"/>
    <mergeCell ref="E63:E64"/>
    <mergeCell ref="C58:C59"/>
    <mergeCell ref="B52:C52"/>
    <mergeCell ref="B57:C57"/>
    <mergeCell ref="C53:C54"/>
    <mergeCell ref="B58:B59"/>
    <mergeCell ref="B48:B49"/>
    <mergeCell ref="B47:C47"/>
    <mergeCell ref="C48:C49"/>
    <mergeCell ref="F48:F49"/>
    <mergeCell ref="E48:E49"/>
    <mergeCell ref="S40:S41"/>
    <mergeCell ref="T40:T41"/>
    <mergeCell ref="P40:P41"/>
    <mergeCell ref="M45:M46"/>
    <mergeCell ref="F68:F69"/>
    <mergeCell ref="F43:F44"/>
    <mergeCell ref="E47:F47"/>
    <mergeCell ref="I45:I46"/>
    <mergeCell ref="E43:E44"/>
    <mergeCell ref="Q40:Q41"/>
    <mergeCell ref="L45:L46"/>
    <mergeCell ref="J45:J46"/>
    <mergeCell ref="M55:M56"/>
    <mergeCell ref="J65:J66"/>
    <mergeCell ref="E52:F52"/>
    <mergeCell ref="L65:L66"/>
    <mergeCell ref="E68:E69"/>
    <mergeCell ref="E57:F57"/>
    <mergeCell ref="E62:F62"/>
    <mergeCell ref="E67:F67"/>
    <mergeCell ref="E58:E59"/>
    <mergeCell ref="F58:F59"/>
    <mergeCell ref="C68:C69"/>
    <mergeCell ref="B68:B69"/>
    <mergeCell ref="P2:T2"/>
    <mergeCell ref="W2:AA2"/>
    <mergeCell ref="B16:F16"/>
    <mergeCell ref="I16:M16"/>
    <mergeCell ref="P16:T16"/>
    <mergeCell ref="W16:AA16"/>
    <mergeCell ref="I2:M2"/>
    <mergeCell ref="B2:F2"/>
    <mergeCell ref="B67:C67"/>
    <mergeCell ref="C63:C64"/>
    <mergeCell ref="B63:B64"/>
    <mergeCell ref="F53:F54"/>
    <mergeCell ref="E53:E54"/>
    <mergeCell ref="B62:C62"/>
    <mergeCell ref="C43:C44"/>
    <mergeCell ref="E42:F42"/>
    <mergeCell ref="B43:B44"/>
    <mergeCell ref="B42:C42"/>
    <mergeCell ref="B30:F30"/>
    <mergeCell ref="C33:C34"/>
    <mergeCell ref="B33:B34"/>
    <mergeCell ref="C38:C39"/>
    <mergeCell ref="B32:C32"/>
    <mergeCell ref="B38:B39"/>
    <mergeCell ref="B37:C37"/>
    <mergeCell ref="I32:M32"/>
    <mergeCell ref="P37:T37"/>
    <mergeCell ref="F38:F39"/>
    <mergeCell ref="E38:E39"/>
    <mergeCell ref="E33:E34"/>
    <mergeCell ref="F33:F34"/>
    <mergeCell ref="E32:F32"/>
    <mergeCell ref="E37:F37"/>
    <mergeCell ref="I35:I36"/>
    <mergeCell ref="J35:J36"/>
    <mergeCell ref="L35:L36"/>
    <mergeCell ref="M35:M36"/>
  </mergeCells>
  <phoneticPr fontId="6" type="noConversion"/>
  <hyperlinks>
    <hyperlink ref="AA60:AC61" location="Portada!A1" display="Menu Principal" xr:uid="{00000000-0004-0000-1000-000000000000}"/>
  </hyperlinks>
  <printOptions horizontalCentered="1" verticalCentered="1"/>
  <pageMargins left="0.75" right="0.75" top="1" bottom="1" header="0" footer="0"/>
  <pageSetup paperSize="9" scale="81" orientation="landscape" r:id="rId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5"/>
  <dimension ref="A2:AL55"/>
  <sheetViews>
    <sheetView showRowColHeaders="0" workbookViewId="0">
      <selection activeCell="I24" sqref="I24:I30"/>
    </sheetView>
  </sheetViews>
  <sheetFormatPr defaultRowHeight="12.6"/>
  <cols>
    <col min="1" max="1" width="8.85546875" bestFit="1" customWidth="1"/>
    <col min="2" max="2" width="3" customWidth="1"/>
    <col min="3" max="3" width="1.5703125" bestFit="1" customWidth="1"/>
    <col min="4" max="4" width="4" customWidth="1"/>
    <col min="5" max="5" width="8.85546875" bestFit="1" customWidth="1"/>
    <col min="6" max="6" width="13.5703125" bestFit="1" customWidth="1"/>
    <col min="7" max="7" width="7.28515625" bestFit="1" customWidth="1"/>
    <col min="8" max="8" width="2.28515625" bestFit="1" customWidth="1"/>
    <col min="9" max="12" width="2" bestFit="1" customWidth="1"/>
    <col min="13" max="13" width="3.5703125" bestFit="1" customWidth="1"/>
    <col min="14" max="14" width="5.7109375" bestFit="1" customWidth="1"/>
    <col min="15" max="15" width="13" bestFit="1" customWidth="1"/>
    <col min="16" max="18" width="2" bestFit="1" customWidth="1"/>
    <col min="19" max="19" width="13" bestFit="1" customWidth="1"/>
    <col min="20" max="20" width="2" bestFit="1" customWidth="1"/>
    <col min="21" max="21" width="8.85546875" bestFit="1" customWidth="1"/>
    <col min="22" max="22" width="2.28515625" bestFit="1" customWidth="1"/>
    <col min="23" max="23" width="13" bestFit="1" customWidth="1"/>
    <col min="24" max="26" width="2" bestFit="1" customWidth="1"/>
    <col min="27" max="27" width="13" bestFit="1" customWidth="1"/>
    <col min="28" max="28" width="5.1406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H -'!U7&lt;&gt;"",'- H -'!U7,"")</f>
        <v>Portugal</v>
      </c>
      <c r="N2" t="str">
        <f>IF('- H -'!U9&lt;&gt;"",'- H -'!U9,"")</f>
        <v>Ghana</v>
      </c>
      <c r="U2" t="str">
        <f>IF('- H -'!U11&lt;&gt;"",'- H -'!U11,"")</f>
        <v>Uruguay</v>
      </c>
      <c r="AB2" t="str">
        <f>IF('- H -'!U13&lt;&gt;"",'- H -'!U13,"")</f>
        <v>Corea del Sur</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H -'!B6</f>
        <v>Uruguay</v>
      </c>
      <c r="B4" s="127">
        <f>+'resultados oficiales'!X18</f>
        <v>0</v>
      </c>
      <c r="C4" s="1" t="str">
        <f>'- A -'!D6</f>
        <v>-</v>
      </c>
      <c r="D4" s="127">
        <f>+'resultados oficiales'!Z18</f>
        <v>0</v>
      </c>
      <c r="E4" s="3" t="str">
        <f>'- H -'!F6</f>
        <v>Corea del Sur</v>
      </c>
      <c r="F4" s="1">
        <f ca="1">COUNTBLANK('- H -'!C6:'- H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0</v>
      </c>
      <c r="Z4">
        <f t="shared" ref="Z4:Z9" ca="1" si="17">IF(F4&gt;0,0,IF($A4=$U$2,$D4,IF($E4=$U$2,$B4,0)))</f>
        <v>0</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0</v>
      </c>
      <c r="AG4">
        <f t="shared" ref="AG4:AG9" ca="1" si="23">IF(F4&gt;0,0,IF($A4=$AB$2,$D4,IF($E4=$AB$2,$B4,0)))</f>
        <v>0</v>
      </c>
    </row>
    <row r="5" spans="1:36">
      <c r="A5" s="2" t="str">
        <f>'- H -'!B7</f>
        <v>Portugal</v>
      </c>
      <c r="B5" s="127">
        <f>+'resultados oficiales'!X20</f>
        <v>0</v>
      </c>
      <c r="C5" s="1" t="str">
        <f>'- A -'!D7</f>
        <v>-</v>
      </c>
      <c r="D5" s="127">
        <f>+'resultados oficiales'!Z20</f>
        <v>0</v>
      </c>
      <c r="E5" s="3" t="str">
        <f>'- H -'!F7</f>
        <v>Ghana</v>
      </c>
      <c r="F5" s="1">
        <f ca="1">COUNTBLANK('- H -'!C7:'- H -'!E7)</f>
        <v>0</v>
      </c>
      <c r="G5">
        <f t="shared" ca="1" si="0"/>
        <v>1</v>
      </c>
      <c r="H5">
        <f t="shared" ca="1" si="1"/>
        <v>0</v>
      </c>
      <c r="I5">
        <f t="shared" ca="1" si="2"/>
        <v>1</v>
      </c>
      <c r="J5">
        <f t="shared" ca="1" si="3"/>
        <v>0</v>
      </c>
      <c r="K5">
        <f t="shared" ca="1" si="4"/>
        <v>0</v>
      </c>
      <c r="L5">
        <f t="shared" ca="1" si="5"/>
        <v>0</v>
      </c>
      <c r="N5">
        <f t="shared" ca="1" si="6"/>
        <v>1</v>
      </c>
      <c r="O5">
        <f t="shared" ca="1" si="7"/>
        <v>0</v>
      </c>
      <c r="P5">
        <f t="shared" ca="1" si="8"/>
        <v>1</v>
      </c>
      <c r="Q5">
        <f t="shared" ca="1" si="9"/>
        <v>0</v>
      </c>
      <c r="R5">
        <f t="shared" ca="1" si="10"/>
        <v>0</v>
      </c>
      <c r="S5">
        <f t="shared" ca="1" si="11"/>
        <v>0</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H -'!B8</f>
        <v>Corea del Sur</v>
      </c>
      <c r="B6" s="127">
        <f>+'resultados oficiales'!X22</f>
        <v>0</v>
      </c>
      <c r="C6" s="1" t="str">
        <f>'- A -'!D8</f>
        <v>-</v>
      </c>
      <c r="D6" s="127">
        <f>+'resultados oficiales'!Z22</f>
        <v>0</v>
      </c>
      <c r="E6" s="3" t="str">
        <f>'- H -'!F8</f>
        <v>Ghana</v>
      </c>
      <c r="F6" s="1">
        <f ca="1">COUNTBLANK('- H -'!C8:'- H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H -'!B9</f>
        <v>Portugal</v>
      </c>
      <c r="B7" s="127">
        <f>+'resultados oficiales'!X24</f>
        <v>0</v>
      </c>
      <c r="C7" s="1" t="str">
        <f>'- A -'!D9</f>
        <v>-</v>
      </c>
      <c r="D7" s="127">
        <f>+'resultados oficiales'!Z24</f>
        <v>0</v>
      </c>
      <c r="E7" s="3" t="str">
        <f>'- H -'!F9</f>
        <v>Uruguay</v>
      </c>
      <c r="F7" s="1">
        <f ca="1">COUNTBLANK('- H -'!C9:'- H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H -'!B10</f>
        <v>Corea del Sur</v>
      </c>
      <c r="B8" s="127">
        <f>+'resultados oficiales'!X26</f>
        <v>0</v>
      </c>
      <c r="C8" s="1" t="str">
        <f>'- A -'!D10</f>
        <v>-</v>
      </c>
      <c r="D8" s="127">
        <f>+'resultados oficiales'!Z26</f>
        <v>0</v>
      </c>
      <c r="E8" s="3" t="str">
        <f>'- H -'!F10</f>
        <v>Portugal</v>
      </c>
      <c r="F8" s="1">
        <f ca="1">COUNTBLANK('- H -'!C10:'- H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H -'!B11</f>
        <v>Ghana</v>
      </c>
      <c r="B9" s="127">
        <f>+'resultados oficiales'!X28</f>
        <v>0</v>
      </c>
      <c r="C9" s="1" t="str">
        <f>'- A -'!D11</f>
        <v>-</v>
      </c>
      <c r="D9" s="127">
        <f>+'resultados oficiales'!Z28</f>
        <v>0</v>
      </c>
      <c r="E9" s="3" t="str">
        <f>'- H -'!F11</f>
        <v>Uruguay</v>
      </c>
      <c r="F9" s="1">
        <f ca="1">COUNTBLANK('- H -'!C11:'- H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Portugal</v>
      </c>
      <c r="G16">
        <f ca="1">G10</f>
        <v>3</v>
      </c>
      <c r="H16">
        <f t="shared" ref="H16:M16" ca="1" si="28">H10</f>
        <v>0</v>
      </c>
      <c r="I16">
        <f t="shared" ca="1" si="28"/>
        <v>3</v>
      </c>
      <c r="J16">
        <f t="shared" ca="1" si="28"/>
        <v>0</v>
      </c>
      <c r="K16">
        <f t="shared" ca="1" si="28"/>
        <v>0</v>
      </c>
      <c r="L16">
        <f t="shared" ca="1" si="28"/>
        <v>0</v>
      </c>
      <c r="M16">
        <f t="shared" ca="1" si="28"/>
        <v>3</v>
      </c>
      <c r="O16" t="str">
        <f ca="1">IF($M16&gt;=$M17,$F16,$F17)</f>
        <v>Portugal</v>
      </c>
      <c r="P16">
        <f ca="1">VLOOKUP(O16,$F$16:$M$25,8,FALSE)</f>
        <v>3</v>
      </c>
      <c r="S16" t="str">
        <f ca="1">IF($P16&gt;=$P18,$O16,$O18)</f>
        <v>Portugal</v>
      </c>
      <c r="T16">
        <f ca="1">VLOOKUP(S16,$O$16:$P$25,2,FALSE)</f>
        <v>3</v>
      </c>
      <c r="W16" t="str">
        <f ca="1">IF($T16&gt;=$T19,$S16,$S19)</f>
        <v>Portugal</v>
      </c>
      <c r="X16">
        <f ca="1">VLOOKUP(W16,$S$16:$T$25,2,FALSE)</f>
        <v>3</v>
      </c>
      <c r="AA16" t="str">
        <f ca="1">W16</f>
        <v>Portugal</v>
      </c>
      <c r="AB16">
        <f ca="1">VLOOKUP(AA16,W16:X25,2,FALSE)</f>
        <v>3</v>
      </c>
      <c r="AE16" t="str">
        <f ca="1">AA16</f>
        <v>Portugal</v>
      </c>
      <c r="AF16">
        <f ca="1">VLOOKUP(AE16,AA16:AB25,2,FALSE)</f>
        <v>3</v>
      </c>
      <c r="AI16" t="str">
        <f ca="1">AE16</f>
        <v>Portugal</v>
      </c>
      <c r="AJ16">
        <f ca="1">VLOOKUP(AI16,AE16:AF25,2,FALSE)</f>
        <v>3</v>
      </c>
    </row>
    <row r="17" spans="6:37">
      <c r="F17" t="str">
        <f>N2</f>
        <v>Ghana</v>
      </c>
      <c r="G17">
        <f t="shared" ref="G17:M17" ca="1" si="29">N10</f>
        <v>3</v>
      </c>
      <c r="H17">
        <f t="shared" ca="1" si="29"/>
        <v>0</v>
      </c>
      <c r="I17">
        <f t="shared" ca="1" si="29"/>
        <v>3</v>
      </c>
      <c r="J17">
        <f t="shared" ca="1" si="29"/>
        <v>0</v>
      </c>
      <c r="K17">
        <f t="shared" ca="1" si="29"/>
        <v>0</v>
      </c>
      <c r="L17">
        <f t="shared" ca="1" si="29"/>
        <v>0</v>
      </c>
      <c r="M17">
        <f t="shared" ca="1" si="29"/>
        <v>3</v>
      </c>
      <c r="O17" t="str">
        <f ca="1">IF($M17&lt;=$M16,$F17,$F16)</f>
        <v>Ghana</v>
      </c>
      <c r="P17">
        <f ca="1">VLOOKUP(O17,$F$16:$M$25,8,FALSE)</f>
        <v>3</v>
      </c>
      <c r="S17" t="str">
        <f ca="1">O17</f>
        <v>Ghana</v>
      </c>
      <c r="T17">
        <f ca="1">VLOOKUP(S17,$O$16:$P$25,2,FALSE)</f>
        <v>3</v>
      </c>
      <c r="W17" t="str">
        <f ca="1">S17</f>
        <v>Ghana</v>
      </c>
      <c r="X17">
        <f ca="1">VLOOKUP(W17,$S$16:$T$25,2,FALSE)</f>
        <v>3</v>
      </c>
      <c r="AA17" t="str">
        <f ca="1">IF(X17&gt;=X18,W17,W18)</f>
        <v>Ghana</v>
      </c>
      <c r="AB17">
        <f ca="1">VLOOKUP(AA17,W16:X25,2,FALSE)</f>
        <v>3</v>
      </c>
      <c r="AE17" t="str">
        <f ca="1">IF(AB17&gt;=AB19,AA17,AA19)</f>
        <v>Ghana</v>
      </c>
      <c r="AF17">
        <f ca="1">VLOOKUP(AE17,AA16:AB25,2,FALSE)</f>
        <v>3</v>
      </c>
      <c r="AI17" t="str">
        <f ca="1">AE17</f>
        <v>Ghana</v>
      </c>
      <c r="AJ17">
        <f ca="1">VLOOKUP(AI17,AE16:AF25,2,FALSE)</f>
        <v>3</v>
      </c>
    </row>
    <row r="18" spans="6:37">
      <c r="F18" t="str">
        <f>U2</f>
        <v>Uruguay</v>
      </c>
      <c r="G18">
        <f t="shared" ref="G18:M18" ca="1" si="30">U10</f>
        <v>3</v>
      </c>
      <c r="H18">
        <f t="shared" ca="1" si="30"/>
        <v>0</v>
      </c>
      <c r="I18">
        <f t="shared" ca="1" si="30"/>
        <v>3</v>
      </c>
      <c r="J18">
        <f t="shared" ca="1" si="30"/>
        <v>0</v>
      </c>
      <c r="K18">
        <f t="shared" ca="1" si="30"/>
        <v>0</v>
      </c>
      <c r="L18">
        <f t="shared" ca="1" si="30"/>
        <v>0</v>
      </c>
      <c r="M18">
        <f t="shared" ca="1" si="30"/>
        <v>3</v>
      </c>
      <c r="O18" t="str">
        <f>F18</f>
        <v>Uruguay</v>
      </c>
      <c r="P18">
        <f ca="1">VLOOKUP(O18,$F$16:$M$25,8,FALSE)</f>
        <v>3</v>
      </c>
      <c r="S18" t="str">
        <f ca="1">IF($P18&lt;=$P16,$O18,$O16)</f>
        <v>Uruguay</v>
      </c>
      <c r="T18">
        <f ca="1">VLOOKUP(S18,$O$16:$P$25,2,FALSE)</f>
        <v>3</v>
      </c>
      <c r="W18" t="str">
        <f ca="1">S18</f>
        <v>Uruguay</v>
      </c>
      <c r="X18">
        <f ca="1">VLOOKUP(W18,$S$16:$T$25,2,FALSE)</f>
        <v>3</v>
      </c>
      <c r="AA18" t="str">
        <f ca="1">IF(X18&lt;=X17,W18,W17)</f>
        <v>Uruguay</v>
      </c>
      <c r="AB18">
        <f ca="1">VLOOKUP(AA18,W16:X25,2,FALSE)</f>
        <v>3</v>
      </c>
      <c r="AE18" t="str">
        <f ca="1">AA18</f>
        <v>Uruguay</v>
      </c>
      <c r="AF18">
        <f ca="1">VLOOKUP(AE18,AA16:AB25,2,FALSE)</f>
        <v>3</v>
      </c>
      <c r="AI18" t="str">
        <f ca="1">IF(AF18&gt;=AF19,AE18,AE19)</f>
        <v>Uruguay</v>
      </c>
      <c r="AJ18">
        <f ca="1">VLOOKUP(AI18,AE16:AF25,2,FALSE)</f>
        <v>3</v>
      </c>
    </row>
    <row r="19" spans="6:37">
      <c r="F19" t="str">
        <f>AB2</f>
        <v>Corea del Sur</v>
      </c>
      <c r="G19">
        <f t="shared" ref="G19:M19" ca="1" si="31">AB10</f>
        <v>3</v>
      </c>
      <c r="H19">
        <f t="shared" ca="1" si="31"/>
        <v>0</v>
      </c>
      <c r="I19">
        <f t="shared" ca="1" si="31"/>
        <v>3</v>
      </c>
      <c r="J19">
        <f t="shared" ca="1" si="31"/>
        <v>0</v>
      </c>
      <c r="K19">
        <f t="shared" ca="1" si="31"/>
        <v>0</v>
      </c>
      <c r="L19">
        <f t="shared" ca="1" si="31"/>
        <v>0</v>
      </c>
      <c r="M19">
        <f t="shared" ca="1" si="31"/>
        <v>3</v>
      </c>
      <c r="O19" t="str">
        <f>F19</f>
        <v>Corea del Sur</v>
      </c>
      <c r="P19">
        <f ca="1">VLOOKUP(O19,$F$16:$M$25,8,FALSE)</f>
        <v>3</v>
      </c>
      <c r="S19" t="str">
        <f>O19</f>
        <v>Corea del Sur</v>
      </c>
      <c r="T19">
        <f ca="1">VLOOKUP(S19,$O$16:$P$25,2,FALSE)</f>
        <v>3</v>
      </c>
      <c r="W19" t="str">
        <f ca="1">IF($T19&lt;=$T16,$S19,$S16)</f>
        <v>Corea del Sur</v>
      </c>
      <c r="X19">
        <f ca="1">VLOOKUP(W19,$S$16:$T$25,2,FALSE)</f>
        <v>3</v>
      </c>
      <c r="AA19" t="str">
        <f ca="1">W19</f>
        <v>Corea del Sur</v>
      </c>
      <c r="AB19">
        <f ca="1">VLOOKUP(AA19,W16:X25,2,FALSE)</f>
        <v>3</v>
      </c>
      <c r="AE19" t="str">
        <f ca="1">IF(AB19&lt;=AB17,AA19,AA17)</f>
        <v>Corea del Sur</v>
      </c>
      <c r="AF19">
        <f ca="1">VLOOKUP(AE19,AA16:AB25,2,FALSE)</f>
        <v>3</v>
      </c>
      <c r="AI19" t="str">
        <f ca="1">IF(AF19&lt;=AF18,AE19,AE18)</f>
        <v>Corea del Sur</v>
      </c>
      <c r="AJ19">
        <f ca="1">VLOOKUP(AI19,AE16:AF25,2,FALSE)</f>
        <v>3</v>
      </c>
    </row>
    <row r="28" spans="6:37">
      <c r="F28" t="str">
        <f ca="1">AI16</f>
        <v>Portugal</v>
      </c>
      <c r="J28">
        <f ca="1">AJ16</f>
        <v>3</v>
      </c>
      <c r="K28">
        <f ca="1">VLOOKUP(AI16,$F$16:$M$25,6,FALSE)</f>
        <v>0</v>
      </c>
      <c r="L28">
        <f ca="1">VLOOKUP(AI16,$F$16:$M$25,7,FALSE)</f>
        <v>0</v>
      </c>
      <c r="M28">
        <f ca="1">K28-L28</f>
        <v>0</v>
      </c>
      <c r="O28" t="str">
        <f ca="1">IF(AND($J28=$J29,$M29&gt;$M28),$F29,$F28)</f>
        <v>Portugal</v>
      </c>
      <c r="P28">
        <f ca="1">VLOOKUP(O28,$F$28:$M$37,5,FALSE)</f>
        <v>3</v>
      </c>
      <c r="Q28">
        <f ca="1">VLOOKUP(O28,$F$28:$M$37,8,FALSE)</f>
        <v>0</v>
      </c>
      <c r="S28" t="str">
        <f ca="1">IF(AND(P28=P30,Q30&gt;Q28),O30,O28)</f>
        <v>Portugal</v>
      </c>
      <c r="T28">
        <f ca="1">VLOOKUP(S28,$O$28:$Q$37,2,FALSE)</f>
        <v>3</v>
      </c>
      <c r="U28">
        <f ca="1">VLOOKUP(S28,$O$28:$Q$37,3,FALSE)</f>
        <v>0</v>
      </c>
      <c r="W28" t="str">
        <f ca="1">IF(AND(T28=T31,U31&gt;U28),S31,S28)</f>
        <v>Portugal</v>
      </c>
      <c r="X28">
        <f ca="1">VLOOKUP(W28,$S$28:$U$37,2,FALSE)</f>
        <v>3</v>
      </c>
      <c r="Y28">
        <f ca="1">VLOOKUP(W28,$S$28:$U$37,3,FALSE)</f>
        <v>0</v>
      </c>
      <c r="AA28" t="str">
        <f ca="1">W28</f>
        <v>Portugal</v>
      </c>
      <c r="AB28">
        <f ca="1">VLOOKUP(AA28,W28:Y37,2,FALSE)</f>
        <v>3</v>
      </c>
      <c r="AC28">
        <f ca="1">VLOOKUP(AA28,W28:Y37,3,FALSE)</f>
        <v>0</v>
      </c>
      <c r="AE28" t="str">
        <f ca="1">AA28</f>
        <v>Portugal</v>
      </c>
      <c r="AF28">
        <f ca="1">VLOOKUP(AE28,AA28:AC37,2,FALSE)</f>
        <v>3</v>
      </c>
      <c r="AG28">
        <f ca="1">VLOOKUP(AE28,AA28:AC37,3,FALSE)</f>
        <v>0</v>
      </c>
      <c r="AI28" t="str">
        <f ca="1">AE28</f>
        <v>Portugal</v>
      </c>
      <c r="AJ28">
        <f ca="1">VLOOKUP(AI28,AE28:AG37,2,FALSE)</f>
        <v>3</v>
      </c>
      <c r="AK28">
        <f ca="1">VLOOKUP(AI28,AE28:AG37,3,FALSE)</f>
        <v>0</v>
      </c>
    </row>
    <row r="29" spans="6:37">
      <c r="F29" t="str">
        <f ca="1">AI17</f>
        <v>Ghana</v>
      </c>
      <c r="J29">
        <f ca="1">AJ17</f>
        <v>3</v>
      </c>
      <c r="K29">
        <f ca="1">VLOOKUP(AI17,$F$16:$M$25,6,FALSE)</f>
        <v>0</v>
      </c>
      <c r="L29">
        <f ca="1">VLOOKUP(AI17,$F$16:$M$25,7,FALSE)</f>
        <v>0</v>
      </c>
      <c r="M29">
        <f ca="1">K29-L29</f>
        <v>0</v>
      </c>
      <c r="O29" t="str">
        <f ca="1">IF(AND($J28=$J29,$M29&gt;$M28),$F28,$F29)</f>
        <v>Ghana</v>
      </c>
      <c r="P29">
        <f ca="1">VLOOKUP(O29,$F$28:$M$37,5,FALSE)</f>
        <v>3</v>
      </c>
      <c r="Q29">
        <f ca="1">VLOOKUP(O29,$F$28:$M$37,8,FALSE)</f>
        <v>0</v>
      </c>
      <c r="S29" t="str">
        <f ca="1">O29</f>
        <v>Ghana</v>
      </c>
      <c r="T29">
        <f ca="1">VLOOKUP(S29,$O$28:$Q$37,2,FALSE)</f>
        <v>3</v>
      </c>
      <c r="U29">
        <f ca="1">VLOOKUP(S29,$O$28:$Q$37,3,FALSE)</f>
        <v>0</v>
      </c>
      <c r="W29" t="str">
        <f ca="1">S29</f>
        <v>Ghana</v>
      </c>
      <c r="X29">
        <f ca="1">VLOOKUP(W29,$S$28:$U$37,2,FALSE)</f>
        <v>3</v>
      </c>
      <c r="Y29">
        <f ca="1">VLOOKUP(W29,$S$28:$U$37,3,FALSE)</f>
        <v>0</v>
      </c>
      <c r="AA29" t="str">
        <f ca="1">IF(AND(X29=X30,Y30&gt;Y29),W30,W29)</f>
        <v>Ghana</v>
      </c>
      <c r="AB29">
        <f ca="1">VLOOKUP(AA29,W28:Y37,2,FALSE)</f>
        <v>3</v>
      </c>
      <c r="AC29">
        <f ca="1">VLOOKUP(AA29,W28:Y37,3,FALSE)</f>
        <v>0</v>
      </c>
      <c r="AE29" t="str">
        <f ca="1">IF(AND(AB29=AB31,AC31&gt;AC29),AA31,AA29)</f>
        <v>Ghana</v>
      </c>
      <c r="AF29">
        <f ca="1">VLOOKUP(AE29,AA28:AC37,2,FALSE)</f>
        <v>3</v>
      </c>
      <c r="AG29">
        <f ca="1">VLOOKUP(AE29,AA28:AC37,3,FALSE)</f>
        <v>0</v>
      </c>
      <c r="AI29" t="str">
        <f ca="1">AE29</f>
        <v>Ghana</v>
      </c>
      <c r="AJ29">
        <f ca="1">VLOOKUP(AI29,AE28:AG37,2,FALSE)</f>
        <v>3</v>
      </c>
      <c r="AK29">
        <f ca="1">VLOOKUP(AI29,AE28:AG37,3,FALSE)</f>
        <v>0</v>
      </c>
    </row>
    <row r="30" spans="6:37">
      <c r="F30" t="str">
        <f ca="1">AI18</f>
        <v>Uruguay</v>
      </c>
      <c r="J30">
        <f ca="1">AJ18</f>
        <v>3</v>
      </c>
      <c r="K30">
        <f ca="1">VLOOKUP(AI18,$F$16:$M$25,6,FALSE)</f>
        <v>0</v>
      </c>
      <c r="L30">
        <f ca="1">VLOOKUP(AI18,$F$16:$M$25,7,FALSE)</f>
        <v>0</v>
      </c>
      <c r="M30">
        <f ca="1">K30-L30</f>
        <v>0</v>
      </c>
      <c r="O30" t="str">
        <f ca="1">F30</f>
        <v>Uruguay</v>
      </c>
      <c r="P30">
        <f ca="1">VLOOKUP(O30,$F$28:$M$37,5,FALSE)</f>
        <v>3</v>
      </c>
      <c r="Q30">
        <f ca="1">VLOOKUP(O30,$F$28:$M$37,8,FALSE)</f>
        <v>0</v>
      </c>
      <c r="S30" t="str">
        <f ca="1">IF(AND($P28=P30,Q30&gt;Q28),O28,O30)</f>
        <v>Uruguay</v>
      </c>
      <c r="T30">
        <f ca="1">VLOOKUP(S30,$O$28:$Q$37,2,FALSE)</f>
        <v>3</v>
      </c>
      <c r="U30">
        <f ca="1">VLOOKUP(S30,$O$28:$Q$37,3,FALSE)</f>
        <v>0</v>
      </c>
      <c r="W30" t="str">
        <f ca="1">S30</f>
        <v>Uruguay</v>
      </c>
      <c r="X30">
        <f ca="1">VLOOKUP(W30,$S$28:$U$37,2,FALSE)</f>
        <v>3</v>
      </c>
      <c r="Y30">
        <f ca="1">VLOOKUP(W30,$S$28:$U$37,3,FALSE)</f>
        <v>0</v>
      </c>
      <c r="AA30" t="str">
        <f ca="1">IF(AND(X29=X30,Y30&gt;Y29),W29,W30)</f>
        <v>Uruguay</v>
      </c>
      <c r="AB30">
        <f ca="1">VLOOKUP(AA30,W28:Y37,2,FALSE)</f>
        <v>3</v>
      </c>
      <c r="AC30">
        <f ca="1">VLOOKUP(AA30,W28:Y37,3,FALSE)</f>
        <v>0</v>
      </c>
      <c r="AE30" t="str">
        <f ca="1">AA30</f>
        <v>Uruguay</v>
      </c>
      <c r="AF30">
        <f ca="1">VLOOKUP(AE30,AA28:AC37,2,FALSE)</f>
        <v>3</v>
      </c>
      <c r="AG30">
        <f ca="1">VLOOKUP(AE30,AA28:AC37,3,FALSE)</f>
        <v>0</v>
      </c>
      <c r="AI30" t="str">
        <f ca="1">IF(AND(AF30=AF31,AG31&gt;AG30),AE31,AE30)</f>
        <v>Uruguay</v>
      </c>
      <c r="AJ30">
        <f ca="1">VLOOKUP(AI30,AE28:AG37,2,FALSE)</f>
        <v>3</v>
      </c>
      <c r="AK30">
        <f ca="1">VLOOKUP(AI30,AE28:AG37,3,FALSE)</f>
        <v>0</v>
      </c>
    </row>
    <row r="31" spans="6:37">
      <c r="F31" t="str">
        <f ca="1">AI19</f>
        <v>Corea del Sur</v>
      </c>
      <c r="J31">
        <f ca="1">AJ19</f>
        <v>3</v>
      </c>
      <c r="K31">
        <f ca="1">VLOOKUP(AI19,$F$16:$M$25,6,FALSE)</f>
        <v>0</v>
      </c>
      <c r="L31">
        <f ca="1">VLOOKUP(AI19,$F$16:$M$25,7,FALSE)</f>
        <v>0</v>
      </c>
      <c r="M31">
        <f ca="1">K31-L31</f>
        <v>0</v>
      </c>
      <c r="O31" t="str">
        <f ca="1">F31</f>
        <v>Corea del Sur</v>
      </c>
      <c r="P31">
        <f ca="1">VLOOKUP(O31,$F$28:$M$37,5,FALSE)</f>
        <v>3</v>
      </c>
      <c r="Q31">
        <f ca="1">VLOOKUP(O31,$F$28:$M$37,8,FALSE)</f>
        <v>0</v>
      </c>
      <c r="S31" t="str">
        <f ca="1">O31</f>
        <v>Corea del Sur</v>
      </c>
      <c r="T31">
        <f ca="1">VLOOKUP(S31,$O$28:$Q$37,2,FALSE)</f>
        <v>3</v>
      </c>
      <c r="U31">
        <f ca="1">VLOOKUP(S31,$O$28:$Q$37,3,FALSE)</f>
        <v>0</v>
      </c>
      <c r="W31" t="str">
        <f ca="1">IF(AND(T28=T31,U31&gt;U28),S28,S31)</f>
        <v>Corea del Sur</v>
      </c>
      <c r="X31">
        <f ca="1">VLOOKUP(W31,$S$28:$U$37,2,FALSE)</f>
        <v>3</v>
      </c>
      <c r="Y31">
        <f ca="1">VLOOKUP(W31,$S$28:$U$37,3,FALSE)</f>
        <v>0</v>
      </c>
      <c r="AA31" t="str">
        <f ca="1">W31</f>
        <v>Corea del Sur</v>
      </c>
      <c r="AB31">
        <f ca="1">VLOOKUP(AA31,W28:Y37,2,FALSE)</f>
        <v>3</v>
      </c>
      <c r="AC31">
        <f ca="1">VLOOKUP(AA31,W28:Y37,3,FALSE)</f>
        <v>0</v>
      </c>
      <c r="AE31" t="str">
        <f ca="1">IF(AND(AB29=AB31,AC31&gt;AC29),AA29,AA31)</f>
        <v>Corea del Sur</v>
      </c>
      <c r="AF31">
        <f ca="1">VLOOKUP(AE31,AA28:AC37,2,FALSE)</f>
        <v>3</v>
      </c>
      <c r="AG31">
        <f ca="1">VLOOKUP(AE31,AA28:AC37,3,FALSE)</f>
        <v>0</v>
      </c>
      <c r="AI31" t="str">
        <f ca="1">IF(AND(AF30=AF31,AG31&gt;AG30),AE30,AE31)</f>
        <v>Corea del Sur</v>
      </c>
      <c r="AJ31">
        <f ca="1">VLOOKUP(AI31,AE28:AG37,2,FALSE)</f>
        <v>3</v>
      </c>
      <c r="AK31">
        <f ca="1">VLOOKUP(AI31,AE28:AG37,3,FALSE)</f>
        <v>0</v>
      </c>
    </row>
    <row r="40" spans="6:38">
      <c r="F40" t="str">
        <f ca="1">AI28</f>
        <v>Portugal</v>
      </c>
      <c r="J40">
        <f ca="1">VLOOKUP(F40,$F$16:$M$25,8,FALSE)</f>
        <v>3</v>
      </c>
      <c r="K40">
        <f ca="1">VLOOKUP(F40,$F$16:$M$25,6,FALSE)</f>
        <v>0</v>
      </c>
      <c r="L40">
        <f ca="1">VLOOKUP(F40,$F$16:$M$25,7,FALSE)</f>
        <v>0</v>
      </c>
      <c r="M40">
        <f ca="1">K40-L40</f>
        <v>0</v>
      </c>
      <c r="O40" t="str">
        <f ca="1">IF(AND(J40=J41,M40=M41,K41&gt;K40),F41,F40)</f>
        <v>Portugal</v>
      </c>
      <c r="P40">
        <f ca="1">VLOOKUP(O40,$F$40:$M$49,5,FALSE)</f>
        <v>3</v>
      </c>
      <c r="Q40">
        <f ca="1">VLOOKUP(O40,$F$40:$M$49,8,FALSE)</f>
        <v>0</v>
      </c>
      <c r="R40">
        <f ca="1">VLOOKUP(O40,$F$40:$M$49,6,FALSE)</f>
        <v>0</v>
      </c>
      <c r="S40" t="str">
        <f ca="1">IF(AND(P40=P42,Q40=Q42,R42&gt;R40),O42,O40)</f>
        <v>Portugal</v>
      </c>
      <c r="T40">
        <f ca="1">VLOOKUP(S40,$O$40:$R$49,2,FALSE)</f>
        <v>3</v>
      </c>
      <c r="U40">
        <f ca="1">VLOOKUP(S40,$O$40:$R$49,3,FALSE)</f>
        <v>0</v>
      </c>
      <c r="V40">
        <f ca="1">VLOOKUP(S40,$O$40:$R$49,4,FALSE)</f>
        <v>0</v>
      </c>
      <c r="W40" t="str">
        <f ca="1">IF(AND(T40=T43,U40=U43,V43&gt;V40),S43,S40)</f>
        <v>Portugal</v>
      </c>
      <c r="X40">
        <f ca="1">VLOOKUP(W40,$S$40:$V$49,2,FALSE)</f>
        <v>3</v>
      </c>
      <c r="Y40">
        <f ca="1">VLOOKUP(W40,$S$40:$V$49,3,FALSE)</f>
        <v>0</v>
      </c>
      <c r="Z40">
        <f ca="1">VLOOKUP(W40,$S$40:$V$49,4,FALSE)</f>
        <v>0</v>
      </c>
      <c r="AA40" t="str">
        <f ca="1">W40</f>
        <v>Portugal</v>
      </c>
      <c r="AB40">
        <f ca="1">VLOOKUP(AA40,W40:Z49,2,FALSE)</f>
        <v>3</v>
      </c>
      <c r="AC40">
        <f ca="1">VLOOKUP(AA40,W40:Z49,3,FALSE)</f>
        <v>0</v>
      </c>
      <c r="AD40">
        <f ca="1">VLOOKUP(AA40,W40:Z49,4,FALSE)</f>
        <v>0</v>
      </c>
      <c r="AE40" t="str">
        <f ca="1">AA40</f>
        <v>Portugal</v>
      </c>
      <c r="AF40">
        <f ca="1">VLOOKUP(AE40,AA40:AD49,2,FALSE)</f>
        <v>3</v>
      </c>
      <c r="AG40">
        <f ca="1">VLOOKUP(AE40,AA40:AD49,3,FALSE)</f>
        <v>0</v>
      </c>
      <c r="AH40">
        <f ca="1">VLOOKUP(AE40,AA40:AD49,4,FALSE)</f>
        <v>0</v>
      </c>
      <c r="AI40" t="str">
        <f ca="1">AE40</f>
        <v>Portugal</v>
      </c>
      <c r="AJ40">
        <f ca="1">VLOOKUP(AI40,AE40:AH49,2,FALSE)</f>
        <v>3</v>
      </c>
      <c r="AK40">
        <f ca="1">VLOOKUP(AI40,AE40:AH49,3,FALSE)</f>
        <v>0</v>
      </c>
      <c r="AL40">
        <f ca="1">VLOOKUP(AI40,AE40:AH49,4,FALSE)</f>
        <v>0</v>
      </c>
    </row>
    <row r="41" spans="6:38">
      <c r="F41" t="str">
        <f ca="1">AI29</f>
        <v>Ghana</v>
      </c>
      <c r="J41">
        <f ca="1">VLOOKUP(F41,$F$16:$M$25,8,FALSE)</f>
        <v>3</v>
      </c>
      <c r="K41">
        <f ca="1">VLOOKUP(F41,$F$16:$M$25,6,FALSE)</f>
        <v>0</v>
      </c>
      <c r="L41">
        <f ca="1">VLOOKUP(F41,$F$16:$M$25,7,FALSE)</f>
        <v>0</v>
      </c>
      <c r="M41">
        <f ca="1">K41-L41</f>
        <v>0</v>
      </c>
      <c r="O41" t="str">
        <f ca="1">IF(AND(J40=J41,M40=M41,K41&gt;K40),F40,F41)</f>
        <v>Ghana</v>
      </c>
      <c r="P41">
        <f ca="1">VLOOKUP(O41,$F$40:$M$49,5,FALSE)</f>
        <v>3</v>
      </c>
      <c r="Q41">
        <f ca="1">VLOOKUP(O41,$F$40:$M$49,8,FALSE)</f>
        <v>0</v>
      </c>
      <c r="R41">
        <f ca="1">VLOOKUP(O41,$F$40:$M$49,6,FALSE)</f>
        <v>0</v>
      </c>
      <c r="S41" t="str">
        <f ca="1">O41</f>
        <v>Ghana</v>
      </c>
      <c r="T41">
        <f ca="1">VLOOKUP(S41,$O$40:$R$49,2,FALSE)</f>
        <v>3</v>
      </c>
      <c r="U41">
        <f ca="1">VLOOKUP(S41,$O$40:$R$49,3,FALSE)</f>
        <v>0</v>
      </c>
      <c r="V41">
        <f ca="1">VLOOKUP(S41,$O$40:$R$49,4,FALSE)</f>
        <v>0</v>
      </c>
      <c r="W41" t="str">
        <f ca="1">S41</f>
        <v>Ghana</v>
      </c>
      <c r="X41">
        <f ca="1">VLOOKUP(W41,$S$40:$V$49,2,FALSE)</f>
        <v>3</v>
      </c>
      <c r="Y41">
        <f ca="1">VLOOKUP(W41,$S$40:$V$49,3,FALSE)</f>
        <v>0</v>
      </c>
      <c r="Z41">
        <f ca="1">VLOOKUP(W41,$S$40:$V$49,4,FALSE)</f>
        <v>0</v>
      </c>
      <c r="AA41" t="str">
        <f ca="1">IF(AND(X41=X42,Y41=Y42,Z42&gt;Z41),W42,W41)</f>
        <v>Ghana</v>
      </c>
      <c r="AB41">
        <f ca="1">VLOOKUP(AA41,W40:Z49,2,FALSE)</f>
        <v>3</v>
      </c>
      <c r="AC41">
        <f ca="1">VLOOKUP(AA41,W40:Z49,3,FALSE)</f>
        <v>0</v>
      </c>
      <c r="AD41">
        <f ca="1">VLOOKUP(AA41,W40:Z49,4,FALSE)</f>
        <v>0</v>
      </c>
      <c r="AE41" t="str">
        <f ca="1">IF(AND(AB41=AB43,AC41=AC43,AD43&gt;AD41),AA43,AA41)</f>
        <v>Ghana</v>
      </c>
      <c r="AF41">
        <f ca="1">VLOOKUP(AE41,AA40:AD49,2,FALSE)</f>
        <v>3</v>
      </c>
      <c r="AG41">
        <f ca="1">VLOOKUP(AE41,AA40:AD49,3,FALSE)</f>
        <v>0</v>
      </c>
      <c r="AH41">
        <f ca="1">VLOOKUP(AE41,AA40:AD49,4,FALSE)</f>
        <v>0</v>
      </c>
      <c r="AI41" t="str">
        <f ca="1">AE41</f>
        <v>Ghana</v>
      </c>
      <c r="AJ41">
        <f ca="1">VLOOKUP(AI41,AE40:AH49,2,FALSE)</f>
        <v>3</v>
      </c>
      <c r="AK41">
        <f ca="1">VLOOKUP(AI41,AE40:AH49,3,FALSE)</f>
        <v>0</v>
      </c>
      <c r="AL41">
        <f ca="1">VLOOKUP(AI41,AE40:AH49,4,FALSE)</f>
        <v>0</v>
      </c>
    </row>
    <row r="42" spans="6:38">
      <c r="F42" t="str">
        <f ca="1">AI30</f>
        <v>Uruguay</v>
      </c>
      <c r="J42">
        <f ca="1">VLOOKUP(F42,$F$16:$M$25,8,FALSE)</f>
        <v>3</v>
      </c>
      <c r="K42">
        <f ca="1">VLOOKUP(F42,$F$16:$M$25,6,FALSE)</f>
        <v>0</v>
      </c>
      <c r="L42">
        <f ca="1">VLOOKUP(F42,$F$16:$M$25,7,FALSE)</f>
        <v>0</v>
      </c>
      <c r="M42">
        <f ca="1">K42-L42</f>
        <v>0</v>
      </c>
      <c r="O42" t="str">
        <f ca="1">F42</f>
        <v>Uruguay</v>
      </c>
      <c r="P42">
        <f ca="1">VLOOKUP(O42,$F$40:$M$49,5,FALSE)</f>
        <v>3</v>
      </c>
      <c r="Q42">
        <f ca="1">VLOOKUP(O42,$F$40:$M$49,8,FALSE)</f>
        <v>0</v>
      </c>
      <c r="R42">
        <f ca="1">VLOOKUP(O42,$F$40:$M$49,6,FALSE)</f>
        <v>0</v>
      </c>
      <c r="S42" t="str">
        <f ca="1">IF(AND(P40=P42,Q40=Q42,R42&gt;R40),O40,O42)</f>
        <v>Uruguay</v>
      </c>
      <c r="T42">
        <f ca="1">VLOOKUP(S42,$O$40:$R$49,2,FALSE)</f>
        <v>3</v>
      </c>
      <c r="U42">
        <f ca="1">VLOOKUP(S42,$O$40:$R$49,3,FALSE)</f>
        <v>0</v>
      </c>
      <c r="V42">
        <f ca="1">VLOOKUP(S42,$O$40:$R$49,4,FALSE)</f>
        <v>0</v>
      </c>
      <c r="W42" t="str">
        <f ca="1">S42</f>
        <v>Uruguay</v>
      </c>
      <c r="X42">
        <f ca="1">VLOOKUP(W42,$S$40:$V$49,2,FALSE)</f>
        <v>3</v>
      </c>
      <c r="Y42">
        <f ca="1">VLOOKUP(W42,$S$40:$V$49,3,FALSE)</f>
        <v>0</v>
      </c>
      <c r="Z42">
        <f ca="1">VLOOKUP(W42,$S$40:$V$49,4,FALSE)</f>
        <v>0</v>
      </c>
      <c r="AA42" t="str">
        <f ca="1">IF(AND(X41=X42,Y41=Y42,Z42&gt;Z41),W41,W42)</f>
        <v>Uruguay</v>
      </c>
      <c r="AB42">
        <f ca="1">VLOOKUP(AA42,W40:Z49,2,FALSE)</f>
        <v>3</v>
      </c>
      <c r="AC42">
        <f ca="1">VLOOKUP(AA42,W40:Z49,3,FALSE)</f>
        <v>0</v>
      </c>
      <c r="AD42">
        <f ca="1">VLOOKUP(AA42,W40:Z49,4,FALSE)</f>
        <v>0</v>
      </c>
      <c r="AE42" t="str">
        <f ca="1">AA42</f>
        <v>Uruguay</v>
      </c>
      <c r="AF42">
        <f ca="1">VLOOKUP(AE42,AA40:AD49,2,FALSE)</f>
        <v>3</v>
      </c>
      <c r="AG42">
        <f ca="1">VLOOKUP(AE42,AA40:AD49,3,FALSE)</f>
        <v>0</v>
      </c>
      <c r="AH42">
        <f ca="1">VLOOKUP(AE42,AA40:AD49,4,FALSE)</f>
        <v>0</v>
      </c>
      <c r="AI42" t="str">
        <f ca="1">IF(AND(AF42=AF43,AG42=AG43,AH43&gt;AH42),AE43,AE42)</f>
        <v>Uruguay</v>
      </c>
      <c r="AJ42">
        <f ca="1">VLOOKUP(AI42,AE40:AH49,2,FALSE)</f>
        <v>3</v>
      </c>
      <c r="AK42">
        <f ca="1">VLOOKUP(AI42,AE40:AH49,3,FALSE)</f>
        <v>0</v>
      </c>
      <c r="AL42">
        <f ca="1">VLOOKUP(AI42,AE40:AH49,4,FALSE)</f>
        <v>0</v>
      </c>
    </row>
    <row r="43" spans="6:38">
      <c r="F43" t="str">
        <f ca="1">AI31</f>
        <v>Corea del Sur</v>
      </c>
      <c r="J43">
        <f ca="1">VLOOKUP(F43,$F$16:$M$25,8,FALSE)</f>
        <v>3</v>
      </c>
      <c r="K43">
        <f ca="1">VLOOKUP(F43,$F$16:$M$25,6,FALSE)</f>
        <v>0</v>
      </c>
      <c r="L43">
        <f ca="1">VLOOKUP(F43,$F$16:$M$25,7,FALSE)</f>
        <v>0</v>
      </c>
      <c r="M43">
        <f ca="1">K43-L43</f>
        <v>0</v>
      </c>
      <c r="O43" t="str">
        <f ca="1">F43</f>
        <v>Corea del Sur</v>
      </c>
      <c r="P43">
        <f ca="1">VLOOKUP(O43,$F$40:$M$49,5,FALSE)</f>
        <v>3</v>
      </c>
      <c r="Q43">
        <f ca="1">VLOOKUP(O43,$F$40:$M$49,8,FALSE)</f>
        <v>0</v>
      </c>
      <c r="R43">
        <f ca="1">VLOOKUP(O43,$F$40:$M$49,6,FALSE)</f>
        <v>0</v>
      </c>
      <c r="S43" t="str">
        <f ca="1">O43</f>
        <v>Corea del Sur</v>
      </c>
      <c r="T43">
        <f ca="1">VLOOKUP(S43,$O$40:$R$49,2,FALSE)</f>
        <v>3</v>
      </c>
      <c r="U43">
        <f ca="1">VLOOKUP(S43,$O$40:$R$49,3,FALSE)</f>
        <v>0</v>
      </c>
      <c r="V43">
        <f ca="1">VLOOKUP(S43,$O$40:$R$49,4,FALSE)</f>
        <v>0</v>
      </c>
      <c r="W43" t="str">
        <f ca="1">IF(AND(T40=T43,U40=U43,V43&gt;V40),S40,S43)</f>
        <v>Corea del Sur</v>
      </c>
      <c r="X43">
        <f ca="1">VLOOKUP(W43,$S$40:$V$49,2,FALSE)</f>
        <v>3</v>
      </c>
      <c r="Y43">
        <f ca="1">VLOOKUP(W43,$S$40:$V$49,3,FALSE)</f>
        <v>0</v>
      </c>
      <c r="Z43">
        <f ca="1">VLOOKUP(W43,$S$40:$V$49,4,FALSE)</f>
        <v>0</v>
      </c>
      <c r="AA43" t="str">
        <f ca="1">W43</f>
        <v>Corea del Sur</v>
      </c>
      <c r="AB43">
        <f ca="1">VLOOKUP(AA43,W40:Z49,2,FALSE)</f>
        <v>3</v>
      </c>
      <c r="AC43">
        <f ca="1">VLOOKUP(AA43,W40:Z49,3,FALSE)</f>
        <v>0</v>
      </c>
      <c r="AD43">
        <f ca="1">VLOOKUP(AA43,W40:Z49,4,FALSE)</f>
        <v>0</v>
      </c>
      <c r="AE43" t="str">
        <f ca="1">IF(AND(AB41=AB43,AC41=AC43,AD43&gt;AD41),AA41,AA43)</f>
        <v>Corea del Sur</v>
      </c>
      <c r="AF43">
        <f ca="1">VLOOKUP(AE43,AA40:AD49,2,FALSE)</f>
        <v>3</v>
      </c>
      <c r="AG43">
        <f ca="1">VLOOKUP(AE43,AA40:AD49,3,FALSE)</f>
        <v>0</v>
      </c>
      <c r="AH43">
        <f ca="1">VLOOKUP(AE43,AA40:AD49,4,FALSE)</f>
        <v>0</v>
      </c>
      <c r="AI43" t="str">
        <f ca="1">IF(AND(AF42=AF43,AG42=AG43,AH43&gt;AH42),AE42,AE43)</f>
        <v>Corea del Sur</v>
      </c>
      <c r="AJ43">
        <f ca="1">VLOOKUP(AI43,AE40:AH49,2,FALSE)</f>
        <v>3</v>
      </c>
      <c r="AK43">
        <f ca="1">VLOOKUP(AI43,AE40:AH49,3,FALSE)</f>
        <v>0</v>
      </c>
      <c r="AL43">
        <f ca="1">VLOOKUP(AI43,AE40:AH49,4,FALSE)</f>
        <v>0</v>
      </c>
    </row>
    <row r="51" spans="6:13">
      <c r="F51" t="s">
        <v>334</v>
      </c>
    </row>
    <row r="52" spans="6:13">
      <c r="F52" t="str">
        <f ca="1">AI40</f>
        <v>Portugal</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Ghana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Uruguay</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Corea del Sur</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9Ah+dqkckKzc0EmQ0zNAhH9AdfZxHFtBM/QpFmuVT7IGiEBrRmSMTrMk32S5sYPugokMGlxKWVkKO+0LckxEZQ==" saltValue="zrCC6sWK7H9CvCyq0RBCoQ==" spinCount="100000" sheet="1" selectLockedCells="1" selectUnlockedCells="1"/>
  <customSheetViews>
    <customSheetView guid="{387210E2-BDFB-42E5-A6C7-A37C9701EAB6}" showRowCol="0" state="hidden" topLeftCell="A34">
      <selection activeCell="R46" sqref="R46"/>
      <pageMargins left="0" right="0" top="0" bottom="0" header="0" footer="0"/>
      <headerFooter alignWithMargins="0"/>
    </customSheetView>
    <customSheetView guid="{E2621C8A-2AE3-484D-B751-B92E60BB88F8}" showRowCol="0" state="hidden" topLeftCell="A34">
      <selection activeCell="R46" sqref="R46"/>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6"/>
  <dimension ref="A2:AL55"/>
  <sheetViews>
    <sheetView showRowColHeaders="0" workbookViewId="0">
      <selection activeCell="I24" sqref="I24:I30"/>
    </sheetView>
  </sheetViews>
  <sheetFormatPr defaultRowHeight="12.6"/>
  <cols>
    <col min="1" max="1" width="13.42578125" bestFit="1" customWidth="1"/>
    <col min="2" max="2" width="3.140625" customWidth="1"/>
    <col min="3" max="3" width="1.5703125" customWidth="1"/>
    <col min="4" max="4" width="2.42578125" customWidth="1"/>
    <col min="5" max="5" width="13.42578125" bestFit="1" customWidth="1"/>
    <col min="6" max="6" width="13.5703125" bestFit="1" customWidth="1"/>
    <col min="7" max="7" width="5.7109375" bestFit="1" customWidth="1"/>
    <col min="8" max="8" width="2.28515625" bestFit="1" customWidth="1"/>
    <col min="9" max="12" width="2" bestFit="1" customWidth="1"/>
    <col min="13" max="13" width="3.5703125" bestFit="1" customWidth="1"/>
    <col min="14" max="14" width="12.85546875" bestFit="1" customWidth="1"/>
    <col min="15" max="15" width="13.42578125" bestFit="1" customWidth="1"/>
    <col min="16" max="18" width="2" bestFit="1" customWidth="1"/>
    <col min="19" max="19" width="13.42578125" bestFit="1" customWidth="1"/>
    <col min="20" max="20" width="2" bestFit="1" customWidth="1"/>
    <col min="21" max="21" width="13.42578125" bestFit="1" customWidth="1"/>
    <col min="22" max="22" width="2.28515625" bestFit="1" customWidth="1"/>
    <col min="23" max="23" width="13.42578125" bestFit="1" customWidth="1"/>
    <col min="24" max="26" width="2" bestFit="1" customWidth="1"/>
    <col min="27" max="27" width="13.42578125" bestFit="1" customWidth="1"/>
    <col min="28" max="28" width="7.85546875" bestFit="1" customWidth="1"/>
    <col min="29" max="29" width="2.28515625" bestFit="1" customWidth="1"/>
    <col min="30" max="30" width="2" bestFit="1" customWidth="1"/>
    <col min="31" max="31" width="13.42578125" bestFit="1" customWidth="1"/>
    <col min="32" max="34" width="2" bestFit="1" customWidth="1"/>
    <col min="35" max="35" width="13.42578125" bestFit="1" customWidth="1"/>
    <col min="36" max="38" width="2" bestFit="1" customWidth="1"/>
    <col min="39" max="256" width="11.42578125" customWidth="1"/>
  </cols>
  <sheetData>
    <row r="2" spans="1:36">
      <c r="A2" s="397" t="s">
        <v>318</v>
      </c>
      <c r="B2" s="397"/>
      <c r="C2" s="397"/>
      <c r="D2" s="397"/>
      <c r="E2" s="397"/>
      <c r="G2" t="str">
        <f>IF('- G -'!U7&lt;&gt;"",'- G -'!U7,"")</f>
        <v>Brasil</v>
      </c>
      <c r="N2" t="str">
        <f>IF('- G -'!U9&lt;&gt;"",'- G -'!U9,"")</f>
        <v>Serbia</v>
      </c>
      <c r="U2" t="str">
        <f>IF('- G -'!U11&lt;&gt;"",'- G -'!U11,"")</f>
        <v>Suiza</v>
      </c>
      <c r="AB2" t="str">
        <f>IF('- G -'!U13&lt;&gt;"",'- G -'!U13,"")</f>
        <v>Camerun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G -'!B6</f>
        <v>Suiza</v>
      </c>
      <c r="B4" s="127">
        <f>+'resultados oficiales'!Q18</f>
        <v>0</v>
      </c>
      <c r="C4" s="1" t="str">
        <f>'- A -'!D6</f>
        <v>-</v>
      </c>
      <c r="D4" s="127">
        <f>+'resultados oficiales'!S18</f>
        <v>0</v>
      </c>
      <c r="E4" s="3" t="str">
        <f>'- G -'!F6</f>
        <v>Camerun</v>
      </c>
      <c r="F4" s="1">
        <f ca="1">COUNTBLANK('- G -'!C6:'- G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0</v>
      </c>
      <c r="Z4">
        <f t="shared" ref="Z4:Z9" ca="1" si="17">IF(F4&gt;0,0,IF($A4=$U$2,$D4,IF($E4=$U$2,$B4,0)))</f>
        <v>0</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0</v>
      </c>
      <c r="AG4">
        <f t="shared" ref="AG4:AG9" ca="1" si="23">IF(F4&gt;0,0,IF($A4=$AB$2,$D4,IF($E4=$AB$2,$B4,0)))</f>
        <v>0</v>
      </c>
    </row>
    <row r="5" spans="1:36">
      <c r="A5" s="2" t="str">
        <f>'- G -'!B7</f>
        <v>Brasil</v>
      </c>
      <c r="B5" s="127">
        <f>+'resultados oficiales'!Q20</f>
        <v>0</v>
      </c>
      <c r="C5" s="1" t="str">
        <f>'- A -'!D7</f>
        <v>-</v>
      </c>
      <c r="D5" s="127">
        <f>+'resultados oficiales'!S20</f>
        <v>0</v>
      </c>
      <c r="E5" s="3" t="str">
        <f>'- G -'!F7</f>
        <v>Serbia</v>
      </c>
      <c r="F5" s="1">
        <f ca="1">COUNTBLANK('- G -'!C7:'- G -'!E7)</f>
        <v>0</v>
      </c>
      <c r="G5">
        <f t="shared" ca="1" si="0"/>
        <v>1</v>
      </c>
      <c r="H5">
        <f t="shared" ca="1" si="1"/>
        <v>0</v>
      </c>
      <c r="I5">
        <f t="shared" ca="1" si="2"/>
        <v>1</v>
      </c>
      <c r="J5">
        <f t="shared" ca="1" si="3"/>
        <v>0</v>
      </c>
      <c r="K5">
        <f t="shared" ca="1" si="4"/>
        <v>0</v>
      </c>
      <c r="L5">
        <f t="shared" ca="1" si="5"/>
        <v>0</v>
      </c>
      <c r="N5">
        <f t="shared" ca="1" si="6"/>
        <v>1</v>
      </c>
      <c r="O5">
        <f t="shared" ca="1" si="7"/>
        <v>0</v>
      </c>
      <c r="P5">
        <f t="shared" ca="1" si="8"/>
        <v>1</v>
      </c>
      <c r="Q5">
        <f t="shared" ca="1" si="9"/>
        <v>0</v>
      </c>
      <c r="R5">
        <f t="shared" ca="1" si="10"/>
        <v>0</v>
      </c>
      <c r="S5">
        <f t="shared" ca="1" si="11"/>
        <v>0</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G -'!B8</f>
        <v>Brasil</v>
      </c>
      <c r="B6" s="127">
        <f>+'resultados oficiales'!Q22</f>
        <v>0</v>
      </c>
      <c r="C6" s="1" t="str">
        <f>'- A -'!D8</f>
        <v>-</v>
      </c>
      <c r="D6" s="127">
        <f>+'resultados oficiales'!S22</f>
        <v>0</v>
      </c>
      <c r="E6" s="3" t="str">
        <f>'- G -'!F8</f>
        <v>Suiza</v>
      </c>
      <c r="F6" s="1">
        <f ca="1">COUNTBLANK('- G -'!C8:'- G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G -'!B9</f>
        <v>Camerun</v>
      </c>
      <c r="B7" s="127">
        <f>+'resultados oficiales'!Q24</f>
        <v>0</v>
      </c>
      <c r="C7" s="1" t="str">
        <f>'- A -'!D9</f>
        <v>-</v>
      </c>
      <c r="D7" s="127">
        <f>+'resultados oficiales'!S24</f>
        <v>0</v>
      </c>
      <c r="E7" s="3" t="str">
        <f>'- G -'!F9</f>
        <v>Serbia</v>
      </c>
      <c r="F7" s="1">
        <f ca="1">COUNTBLANK('- G -'!C9:'- G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G -'!B10</f>
        <v>Camerun</v>
      </c>
      <c r="B8" s="127">
        <f>+'resultados oficiales'!Q26</f>
        <v>0</v>
      </c>
      <c r="C8" s="1" t="str">
        <f>'- A -'!D10</f>
        <v>-</v>
      </c>
      <c r="D8" s="127">
        <f>+'resultados oficiales'!S26</f>
        <v>0</v>
      </c>
      <c r="E8" s="3" t="str">
        <f>'- G -'!F10</f>
        <v>Brasil</v>
      </c>
      <c r="F8" s="1">
        <f ca="1">COUNTBLANK('- G -'!C10:'- G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G -'!B11</f>
        <v>Serbia</v>
      </c>
      <c r="B9" s="127">
        <f>+'resultados oficiales'!Q28</f>
        <v>0</v>
      </c>
      <c r="C9" s="1" t="str">
        <f>'- A -'!D11</f>
        <v>-</v>
      </c>
      <c r="D9" s="127">
        <f>+'resultados oficiales'!S28</f>
        <v>0</v>
      </c>
      <c r="E9" s="3" t="str">
        <f>'- G -'!F11</f>
        <v>Suiza</v>
      </c>
      <c r="F9" s="1">
        <f ca="1">COUNTBLANK('- G -'!C11:'- G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Brasil</v>
      </c>
      <c r="G16">
        <f t="shared" ref="G16:M16" ca="1" si="28">G10</f>
        <v>3</v>
      </c>
      <c r="H16">
        <f t="shared" ca="1" si="28"/>
        <v>0</v>
      </c>
      <c r="I16">
        <f t="shared" ca="1" si="28"/>
        <v>3</v>
      </c>
      <c r="J16">
        <f t="shared" ca="1" si="28"/>
        <v>0</v>
      </c>
      <c r="K16">
        <f t="shared" ca="1" si="28"/>
        <v>0</v>
      </c>
      <c r="L16">
        <f t="shared" ca="1" si="28"/>
        <v>0</v>
      </c>
      <c r="M16">
        <f t="shared" ca="1" si="28"/>
        <v>3</v>
      </c>
      <c r="O16" t="str">
        <f ca="1">IF($M16&gt;=$M17,$F16,$F17)</f>
        <v>Brasil</v>
      </c>
      <c r="P16">
        <f ca="1">VLOOKUP(O16,$F$16:$M$25,8,FALSE)</f>
        <v>3</v>
      </c>
      <c r="S16" t="str">
        <f ca="1">IF($P16&gt;=$P18,$O16,$O18)</f>
        <v>Brasil</v>
      </c>
      <c r="T16">
        <f ca="1">VLOOKUP(S16,$O$16:$P$25,2,FALSE)</f>
        <v>3</v>
      </c>
      <c r="W16" t="str">
        <f ca="1">IF($T16&gt;=$T19,$S16,$S19)</f>
        <v>Brasil</v>
      </c>
      <c r="X16">
        <f ca="1">VLOOKUP(W16,$S$16:$T$25,2,FALSE)</f>
        <v>3</v>
      </c>
      <c r="AA16" t="str">
        <f ca="1">W16</f>
        <v>Brasil</v>
      </c>
      <c r="AB16">
        <f ca="1">VLOOKUP(AA16,W16:X25,2,FALSE)</f>
        <v>3</v>
      </c>
      <c r="AE16" t="str">
        <f ca="1">AA16</f>
        <v>Brasil</v>
      </c>
      <c r="AF16">
        <f ca="1">VLOOKUP(AE16,AA16:AB25,2,FALSE)</f>
        <v>3</v>
      </c>
      <c r="AI16" t="str">
        <f ca="1">AE16</f>
        <v>Brasil</v>
      </c>
      <c r="AJ16">
        <f ca="1">VLOOKUP(AI16,AE16:AF25,2,FALSE)</f>
        <v>3</v>
      </c>
    </row>
    <row r="17" spans="6:37">
      <c r="F17" t="str">
        <f>N2</f>
        <v>Serbia</v>
      </c>
      <c r="G17">
        <f t="shared" ref="G17:M17" ca="1" si="29">N10</f>
        <v>3</v>
      </c>
      <c r="H17">
        <f t="shared" ca="1" si="29"/>
        <v>0</v>
      </c>
      <c r="I17">
        <f t="shared" ca="1" si="29"/>
        <v>3</v>
      </c>
      <c r="J17">
        <f t="shared" ca="1" si="29"/>
        <v>0</v>
      </c>
      <c r="K17">
        <f t="shared" ca="1" si="29"/>
        <v>0</v>
      </c>
      <c r="L17">
        <f t="shared" ca="1" si="29"/>
        <v>0</v>
      </c>
      <c r="M17">
        <f t="shared" ca="1" si="29"/>
        <v>3</v>
      </c>
      <c r="O17" t="str">
        <f ca="1">IF($M17&lt;=$M16,$F17,$F16)</f>
        <v>Serbia</v>
      </c>
      <c r="P17">
        <f ca="1">VLOOKUP(O17,$F$16:$M$25,8,FALSE)</f>
        <v>3</v>
      </c>
      <c r="S17" t="str">
        <f ca="1">O17</f>
        <v>Serbia</v>
      </c>
      <c r="T17">
        <f ca="1">VLOOKUP(S17,$O$16:$P$25,2,FALSE)</f>
        <v>3</v>
      </c>
      <c r="W17" t="str">
        <f ca="1">S17</f>
        <v>Serbia</v>
      </c>
      <c r="X17">
        <f ca="1">VLOOKUP(W17,$S$16:$T$25,2,FALSE)</f>
        <v>3</v>
      </c>
      <c r="AA17" t="str">
        <f ca="1">IF(X17&gt;=X18,W17,W18)</f>
        <v>Serbia</v>
      </c>
      <c r="AB17">
        <f ca="1">VLOOKUP(AA17,W16:X25,2,FALSE)</f>
        <v>3</v>
      </c>
      <c r="AE17" t="str">
        <f ca="1">IF(AB17&gt;=AB19,AA17,AA19)</f>
        <v>Serbia</v>
      </c>
      <c r="AF17">
        <f ca="1">VLOOKUP(AE17,AA16:AB25,2,FALSE)</f>
        <v>3</v>
      </c>
      <c r="AI17" t="str">
        <f ca="1">AE17</f>
        <v>Serbia</v>
      </c>
      <c r="AJ17">
        <f ca="1">VLOOKUP(AI17,AE16:AF25,2,FALSE)</f>
        <v>3</v>
      </c>
    </row>
    <row r="18" spans="6:37">
      <c r="F18" t="str">
        <f>U2</f>
        <v>Suiza</v>
      </c>
      <c r="G18">
        <f t="shared" ref="G18:M18" ca="1" si="30">U10</f>
        <v>3</v>
      </c>
      <c r="H18">
        <f t="shared" ca="1" si="30"/>
        <v>0</v>
      </c>
      <c r="I18">
        <f t="shared" ca="1" si="30"/>
        <v>3</v>
      </c>
      <c r="J18">
        <f t="shared" ca="1" si="30"/>
        <v>0</v>
      </c>
      <c r="K18">
        <f t="shared" ca="1" si="30"/>
        <v>0</v>
      </c>
      <c r="L18">
        <f t="shared" ca="1" si="30"/>
        <v>0</v>
      </c>
      <c r="M18">
        <f t="shared" ca="1" si="30"/>
        <v>3</v>
      </c>
      <c r="O18" t="str">
        <f>F18</f>
        <v>Suiza</v>
      </c>
      <c r="P18">
        <f ca="1">VLOOKUP(O18,$F$16:$M$25,8,FALSE)</f>
        <v>3</v>
      </c>
      <c r="S18" t="str">
        <f ca="1">IF($P18&lt;=$P16,$O18,$O16)</f>
        <v>Suiza</v>
      </c>
      <c r="T18">
        <f ca="1">VLOOKUP(S18,$O$16:$P$25,2,FALSE)</f>
        <v>3</v>
      </c>
      <c r="W18" t="str">
        <f ca="1">S18</f>
        <v>Suiza</v>
      </c>
      <c r="X18">
        <f ca="1">VLOOKUP(W18,$S$16:$T$25,2,FALSE)</f>
        <v>3</v>
      </c>
      <c r="AA18" t="str">
        <f ca="1">IF(X18&lt;=X17,W18,W17)</f>
        <v>Suiza</v>
      </c>
      <c r="AB18">
        <f ca="1">VLOOKUP(AA18,W16:X25,2,FALSE)</f>
        <v>3</v>
      </c>
      <c r="AE18" t="str">
        <f ca="1">AA18</f>
        <v>Suiza</v>
      </c>
      <c r="AF18">
        <f ca="1">VLOOKUP(AE18,AA16:AB25,2,FALSE)</f>
        <v>3</v>
      </c>
      <c r="AI18" t="str">
        <f ca="1">IF(AF18&gt;=AF19,AE18,AE19)</f>
        <v>Suiza</v>
      </c>
      <c r="AJ18">
        <f ca="1">VLOOKUP(AI18,AE16:AF25,2,FALSE)</f>
        <v>3</v>
      </c>
    </row>
    <row r="19" spans="6:37">
      <c r="F19" t="str">
        <f>AB2</f>
        <v>Camerun</v>
      </c>
      <c r="G19">
        <f t="shared" ref="G19:M19" ca="1" si="31">AB10</f>
        <v>3</v>
      </c>
      <c r="H19">
        <f t="shared" ca="1" si="31"/>
        <v>0</v>
      </c>
      <c r="I19">
        <f t="shared" ca="1" si="31"/>
        <v>3</v>
      </c>
      <c r="J19">
        <f t="shared" ca="1" si="31"/>
        <v>0</v>
      </c>
      <c r="K19">
        <f t="shared" ca="1" si="31"/>
        <v>0</v>
      </c>
      <c r="L19">
        <f t="shared" ca="1" si="31"/>
        <v>0</v>
      </c>
      <c r="M19">
        <f t="shared" ca="1" si="31"/>
        <v>3</v>
      </c>
      <c r="O19" t="str">
        <f>F19</f>
        <v>Camerun</v>
      </c>
      <c r="P19">
        <f ca="1">VLOOKUP(O19,$F$16:$M$25,8,FALSE)</f>
        <v>3</v>
      </c>
      <c r="S19" t="str">
        <f>O19</f>
        <v>Camerun</v>
      </c>
      <c r="T19">
        <f ca="1">VLOOKUP(S19,$O$16:$P$25,2,FALSE)</f>
        <v>3</v>
      </c>
      <c r="W19" t="str">
        <f ca="1">IF($T19&lt;=$T16,$S19,$S16)</f>
        <v>Camerun</v>
      </c>
      <c r="X19">
        <f ca="1">VLOOKUP(W19,$S$16:$T$25,2,FALSE)</f>
        <v>3</v>
      </c>
      <c r="AA19" t="str">
        <f ca="1">W19</f>
        <v>Camerun</v>
      </c>
      <c r="AB19">
        <f ca="1">VLOOKUP(AA19,W16:X25,2,FALSE)</f>
        <v>3</v>
      </c>
      <c r="AE19" t="str">
        <f ca="1">IF(AB19&lt;=AB17,AA19,AA17)</f>
        <v>Camerun</v>
      </c>
      <c r="AF19">
        <f ca="1">VLOOKUP(AE19,AA16:AB25,2,FALSE)</f>
        <v>3</v>
      </c>
      <c r="AI19" t="str">
        <f ca="1">IF(AF19&lt;=AF18,AE19,AE18)</f>
        <v>Camerun</v>
      </c>
      <c r="AJ19">
        <f ca="1">VLOOKUP(AI19,AE16:AF25,2,FALSE)</f>
        <v>3</v>
      </c>
    </row>
    <row r="28" spans="6:37">
      <c r="F28" t="str">
        <f ca="1">AI16</f>
        <v>Brasil</v>
      </c>
      <c r="J28">
        <f ca="1">AJ16</f>
        <v>3</v>
      </c>
      <c r="K28">
        <f ca="1">VLOOKUP(AI16,$F$16:$M$25,6,FALSE)</f>
        <v>0</v>
      </c>
      <c r="L28">
        <f ca="1">VLOOKUP(AI16,$F$16:$M$25,7,FALSE)</f>
        <v>0</v>
      </c>
      <c r="M28">
        <f ca="1">K28-L28</f>
        <v>0</v>
      </c>
      <c r="O28" t="str">
        <f ca="1">IF(AND($J28=$J29,$M29&gt;$M28),$F29,$F28)</f>
        <v>Brasil</v>
      </c>
      <c r="P28">
        <f ca="1">VLOOKUP(O28,$F$28:$M$37,5,FALSE)</f>
        <v>3</v>
      </c>
      <c r="Q28">
        <f ca="1">VLOOKUP(O28,$F$28:$M$37,8,FALSE)</f>
        <v>0</v>
      </c>
      <c r="S28" t="str">
        <f ca="1">IF(AND(P28=P30,Q30&gt;Q28),O30,O28)</f>
        <v>Brasil</v>
      </c>
      <c r="T28">
        <f ca="1">VLOOKUP(S28,$O$28:$Q$37,2,FALSE)</f>
        <v>3</v>
      </c>
      <c r="U28">
        <f ca="1">VLOOKUP(S28,$O$28:$Q$37,3,FALSE)</f>
        <v>0</v>
      </c>
      <c r="W28" t="str">
        <f ca="1">IF(AND(T28=T31,U31&gt;U28),S31,S28)</f>
        <v>Brasil</v>
      </c>
      <c r="X28">
        <f ca="1">VLOOKUP(W28,$S$28:$U$37,2,FALSE)</f>
        <v>3</v>
      </c>
      <c r="Y28">
        <f ca="1">VLOOKUP(W28,$S$28:$U$37,3,FALSE)</f>
        <v>0</v>
      </c>
      <c r="AA28" t="str">
        <f ca="1">W28</f>
        <v>Brasil</v>
      </c>
      <c r="AB28">
        <f ca="1">VLOOKUP(AA28,W28:Y37,2,FALSE)</f>
        <v>3</v>
      </c>
      <c r="AC28">
        <f ca="1">VLOOKUP(AA28,W28:Y37,3,FALSE)</f>
        <v>0</v>
      </c>
      <c r="AE28" t="str">
        <f ca="1">AA28</f>
        <v>Brasil</v>
      </c>
      <c r="AF28">
        <f ca="1">VLOOKUP(AE28,AA28:AC37,2,FALSE)</f>
        <v>3</v>
      </c>
      <c r="AG28">
        <f ca="1">VLOOKUP(AE28,AA28:AC37,3,FALSE)</f>
        <v>0</v>
      </c>
      <c r="AI28" t="str">
        <f ca="1">AE28</f>
        <v>Brasil</v>
      </c>
      <c r="AJ28">
        <f ca="1">VLOOKUP(AI28,AE28:AG37,2,FALSE)</f>
        <v>3</v>
      </c>
      <c r="AK28">
        <f ca="1">VLOOKUP(AI28,AE28:AG37,3,FALSE)</f>
        <v>0</v>
      </c>
    </row>
    <row r="29" spans="6:37">
      <c r="F29" t="str">
        <f ca="1">AI17</f>
        <v>Serbia</v>
      </c>
      <c r="J29">
        <f ca="1">AJ17</f>
        <v>3</v>
      </c>
      <c r="K29">
        <f ca="1">VLOOKUP(AI17,$F$16:$M$25,6,FALSE)</f>
        <v>0</v>
      </c>
      <c r="L29">
        <f ca="1">VLOOKUP(AI17,$F$16:$M$25,7,FALSE)</f>
        <v>0</v>
      </c>
      <c r="M29">
        <f ca="1">K29-L29</f>
        <v>0</v>
      </c>
      <c r="O29" t="str">
        <f ca="1">IF(AND($J28=$J29,$M29&gt;$M28),$F28,$F29)</f>
        <v>Serbia</v>
      </c>
      <c r="P29">
        <f ca="1">VLOOKUP(O29,$F$28:$M$37,5,FALSE)</f>
        <v>3</v>
      </c>
      <c r="Q29">
        <f ca="1">VLOOKUP(O29,$F$28:$M$37,8,FALSE)</f>
        <v>0</v>
      </c>
      <c r="S29" t="str">
        <f ca="1">O29</f>
        <v>Serbia</v>
      </c>
      <c r="T29">
        <f ca="1">VLOOKUP(S29,$O$28:$Q$37,2,FALSE)</f>
        <v>3</v>
      </c>
      <c r="U29">
        <f ca="1">VLOOKUP(S29,$O$28:$Q$37,3,FALSE)</f>
        <v>0</v>
      </c>
      <c r="W29" t="str">
        <f ca="1">S29</f>
        <v>Serbia</v>
      </c>
      <c r="X29">
        <f ca="1">VLOOKUP(W29,$S$28:$U$37,2,FALSE)</f>
        <v>3</v>
      </c>
      <c r="Y29">
        <f ca="1">VLOOKUP(W29,$S$28:$U$37,3,FALSE)</f>
        <v>0</v>
      </c>
      <c r="AA29" t="str">
        <f ca="1">IF(AND(X29=X30,Y30&gt;Y29),W30,W29)</f>
        <v>Serbia</v>
      </c>
      <c r="AB29">
        <f ca="1">VLOOKUP(AA29,W28:Y37,2,FALSE)</f>
        <v>3</v>
      </c>
      <c r="AC29">
        <f ca="1">VLOOKUP(AA29,W28:Y37,3,FALSE)</f>
        <v>0</v>
      </c>
      <c r="AE29" t="str">
        <f ca="1">IF(AND(AB29=AB31,AC31&gt;AC29),AA31,AA29)</f>
        <v>Serbia</v>
      </c>
      <c r="AF29">
        <f ca="1">VLOOKUP(AE29,AA28:AC37,2,FALSE)</f>
        <v>3</v>
      </c>
      <c r="AG29">
        <f ca="1">VLOOKUP(AE29,AA28:AC37,3,FALSE)</f>
        <v>0</v>
      </c>
      <c r="AI29" t="str">
        <f ca="1">AE29</f>
        <v>Serbia</v>
      </c>
      <c r="AJ29">
        <f ca="1">VLOOKUP(AI29,AE28:AG37,2,FALSE)</f>
        <v>3</v>
      </c>
      <c r="AK29">
        <f ca="1">VLOOKUP(AI29,AE28:AG37,3,FALSE)</f>
        <v>0</v>
      </c>
    </row>
    <row r="30" spans="6:37">
      <c r="F30" t="str">
        <f ca="1">AI18</f>
        <v>Suiza</v>
      </c>
      <c r="J30">
        <f ca="1">AJ18</f>
        <v>3</v>
      </c>
      <c r="K30">
        <f ca="1">VLOOKUP(AI18,$F$16:$M$25,6,FALSE)</f>
        <v>0</v>
      </c>
      <c r="L30">
        <f ca="1">VLOOKUP(AI18,$F$16:$M$25,7,FALSE)</f>
        <v>0</v>
      </c>
      <c r="M30">
        <f ca="1">K30-L30</f>
        <v>0</v>
      </c>
      <c r="O30" t="str">
        <f ca="1">F30</f>
        <v>Suiza</v>
      </c>
      <c r="P30">
        <f ca="1">VLOOKUP(O30,$F$28:$M$37,5,FALSE)</f>
        <v>3</v>
      </c>
      <c r="Q30">
        <f ca="1">VLOOKUP(O30,$F$28:$M$37,8,FALSE)</f>
        <v>0</v>
      </c>
      <c r="S30" t="str">
        <f ca="1">IF(AND($P28=P30,Q30&gt;Q28),O28,O30)</f>
        <v>Suiza</v>
      </c>
      <c r="T30">
        <f ca="1">VLOOKUP(S30,$O$28:$Q$37,2,FALSE)</f>
        <v>3</v>
      </c>
      <c r="U30">
        <f ca="1">VLOOKUP(S30,$O$28:$Q$37,3,FALSE)</f>
        <v>0</v>
      </c>
      <c r="W30" t="str">
        <f ca="1">S30</f>
        <v>Suiza</v>
      </c>
      <c r="X30">
        <f ca="1">VLOOKUP(W30,$S$28:$U$37,2,FALSE)</f>
        <v>3</v>
      </c>
      <c r="Y30">
        <f ca="1">VLOOKUP(W30,$S$28:$U$37,3,FALSE)</f>
        <v>0</v>
      </c>
      <c r="AA30" t="str">
        <f ca="1">IF(AND(X29=X30,Y30&gt;Y29),W29,W30)</f>
        <v>Suiza</v>
      </c>
      <c r="AB30">
        <f ca="1">VLOOKUP(AA30,W28:Y37,2,FALSE)</f>
        <v>3</v>
      </c>
      <c r="AC30">
        <f ca="1">VLOOKUP(AA30,W28:Y37,3,FALSE)</f>
        <v>0</v>
      </c>
      <c r="AE30" t="str">
        <f ca="1">AA30</f>
        <v>Suiza</v>
      </c>
      <c r="AF30">
        <f ca="1">VLOOKUP(AE30,AA28:AC37,2,FALSE)</f>
        <v>3</v>
      </c>
      <c r="AG30">
        <f ca="1">VLOOKUP(AE30,AA28:AC37,3,FALSE)</f>
        <v>0</v>
      </c>
      <c r="AI30" t="str">
        <f ca="1">IF(AND(AF30=AF31,AG31&gt;AG30),AE31,AE30)</f>
        <v>Suiza</v>
      </c>
      <c r="AJ30">
        <f ca="1">VLOOKUP(AI30,AE28:AG37,2,FALSE)</f>
        <v>3</v>
      </c>
      <c r="AK30">
        <f ca="1">VLOOKUP(AI30,AE28:AG37,3,FALSE)</f>
        <v>0</v>
      </c>
    </row>
    <row r="31" spans="6:37">
      <c r="F31" t="str">
        <f ca="1">AI19</f>
        <v>Camerun</v>
      </c>
      <c r="J31">
        <f ca="1">AJ19</f>
        <v>3</v>
      </c>
      <c r="K31">
        <f ca="1">VLOOKUP(AI19,$F$16:$M$25,6,FALSE)</f>
        <v>0</v>
      </c>
      <c r="L31">
        <f ca="1">VLOOKUP(AI19,$F$16:$M$25,7,FALSE)</f>
        <v>0</v>
      </c>
      <c r="M31">
        <f ca="1">K31-L31</f>
        <v>0</v>
      </c>
      <c r="O31" t="str">
        <f ca="1">F31</f>
        <v>Camerun</v>
      </c>
      <c r="P31">
        <f ca="1">VLOOKUP(O31,$F$28:$M$37,5,FALSE)</f>
        <v>3</v>
      </c>
      <c r="Q31">
        <f ca="1">VLOOKUP(O31,$F$28:$M$37,8,FALSE)</f>
        <v>0</v>
      </c>
      <c r="S31" t="str">
        <f ca="1">O31</f>
        <v>Camerun</v>
      </c>
      <c r="T31">
        <f ca="1">VLOOKUP(S31,$O$28:$Q$37,2,FALSE)</f>
        <v>3</v>
      </c>
      <c r="U31">
        <f ca="1">VLOOKUP(S31,$O$28:$Q$37,3,FALSE)</f>
        <v>0</v>
      </c>
      <c r="W31" t="str">
        <f ca="1">IF(AND(T28=T31,U31&gt;U28),S28,S31)</f>
        <v>Camerun</v>
      </c>
      <c r="X31">
        <f ca="1">VLOOKUP(W31,$S$28:$U$37,2,FALSE)</f>
        <v>3</v>
      </c>
      <c r="Y31">
        <f ca="1">VLOOKUP(W31,$S$28:$U$37,3,FALSE)</f>
        <v>0</v>
      </c>
      <c r="AA31" t="str">
        <f ca="1">W31</f>
        <v>Camerun</v>
      </c>
      <c r="AB31">
        <f ca="1">VLOOKUP(AA31,W28:Y37,2,FALSE)</f>
        <v>3</v>
      </c>
      <c r="AC31">
        <f ca="1">VLOOKUP(AA31,W28:Y37,3,FALSE)</f>
        <v>0</v>
      </c>
      <c r="AE31" t="str">
        <f ca="1">IF(AND(AB29=AB31,AC31&gt;AC29),AA29,AA31)</f>
        <v>Camerun</v>
      </c>
      <c r="AF31">
        <f ca="1">VLOOKUP(AE31,AA28:AC37,2,FALSE)</f>
        <v>3</v>
      </c>
      <c r="AG31">
        <f ca="1">VLOOKUP(AE31,AA28:AC37,3,FALSE)</f>
        <v>0</v>
      </c>
      <c r="AI31" t="str">
        <f ca="1">IF(AND(AF30=AF31,AG31&gt;AG30),AE30,AE31)</f>
        <v>Camerun</v>
      </c>
      <c r="AJ31">
        <f ca="1">VLOOKUP(AI31,AE28:AG37,2,FALSE)</f>
        <v>3</v>
      </c>
      <c r="AK31">
        <f ca="1">VLOOKUP(AI31,AE28:AG37,3,FALSE)</f>
        <v>0</v>
      </c>
    </row>
    <row r="40" spans="6:38">
      <c r="F40" t="str">
        <f ca="1">AI28</f>
        <v>Brasil</v>
      </c>
      <c r="J40">
        <f ca="1">VLOOKUP(F40,$F$16:$M$25,8,FALSE)</f>
        <v>3</v>
      </c>
      <c r="K40">
        <f ca="1">VLOOKUP(F40,$F$16:$M$25,6,FALSE)</f>
        <v>0</v>
      </c>
      <c r="L40">
        <f ca="1">VLOOKUP(F40,$F$16:$M$25,7,FALSE)</f>
        <v>0</v>
      </c>
      <c r="M40">
        <f ca="1">K40-L40</f>
        <v>0</v>
      </c>
      <c r="O40" t="str">
        <f ca="1">IF(AND(J40=J41,M40=M41,K41&gt;K40),F41,F40)</f>
        <v>Brasil</v>
      </c>
      <c r="P40">
        <f ca="1">VLOOKUP(O40,$F$40:$M$49,5,FALSE)</f>
        <v>3</v>
      </c>
      <c r="Q40">
        <f ca="1">VLOOKUP(O40,$F$40:$M$49,8,FALSE)</f>
        <v>0</v>
      </c>
      <c r="R40">
        <f ca="1">VLOOKUP(O40,$F$40:$M$49,6,FALSE)</f>
        <v>0</v>
      </c>
      <c r="S40" t="str">
        <f ca="1">IF(AND(P40=P42,Q40=Q42,R42&gt;R40),O42,O40)</f>
        <v>Brasil</v>
      </c>
      <c r="T40">
        <f ca="1">VLOOKUP(S40,$O$40:$R$49,2,FALSE)</f>
        <v>3</v>
      </c>
      <c r="U40">
        <f ca="1">VLOOKUP(S40,$O$40:$R$49,3,FALSE)</f>
        <v>0</v>
      </c>
      <c r="V40">
        <f ca="1">VLOOKUP(S40,$O$40:$R$49,4,FALSE)</f>
        <v>0</v>
      </c>
      <c r="W40" t="str">
        <f ca="1">IF(AND(T40=T43,U40=U43,V43&gt;V40),S43,S40)</f>
        <v>Brasil</v>
      </c>
      <c r="X40">
        <f ca="1">VLOOKUP(W40,$S$40:$V$49,2,FALSE)</f>
        <v>3</v>
      </c>
      <c r="Y40">
        <f ca="1">VLOOKUP(W40,$S$40:$V$49,3,FALSE)</f>
        <v>0</v>
      </c>
      <c r="Z40">
        <f ca="1">VLOOKUP(W40,$S$40:$V$49,4,FALSE)</f>
        <v>0</v>
      </c>
      <c r="AA40" t="str">
        <f ca="1">W40</f>
        <v>Brasil</v>
      </c>
      <c r="AB40">
        <f ca="1">VLOOKUP(AA40,W40:Z49,2,FALSE)</f>
        <v>3</v>
      </c>
      <c r="AC40">
        <f ca="1">VLOOKUP(AA40,W40:Z49,3,FALSE)</f>
        <v>0</v>
      </c>
      <c r="AD40">
        <f ca="1">VLOOKUP(AA40,W40:Z49,4,FALSE)</f>
        <v>0</v>
      </c>
      <c r="AE40" t="str">
        <f ca="1">AA40</f>
        <v>Brasil</v>
      </c>
      <c r="AF40">
        <f ca="1">VLOOKUP(AE40,AA40:AD49,2,FALSE)</f>
        <v>3</v>
      </c>
      <c r="AG40">
        <f ca="1">VLOOKUP(AE40,AA40:AD49,3,FALSE)</f>
        <v>0</v>
      </c>
      <c r="AH40">
        <f ca="1">VLOOKUP(AE40,AA40:AD49,4,FALSE)</f>
        <v>0</v>
      </c>
      <c r="AI40" t="str">
        <f ca="1">AE40</f>
        <v>Brasil</v>
      </c>
      <c r="AJ40">
        <f ca="1">VLOOKUP(AI40,AE40:AH49,2,FALSE)</f>
        <v>3</v>
      </c>
      <c r="AK40">
        <f ca="1">VLOOKUP(AI40,AE40:AH49,3,FALSE)</f>
        <v>0</v>
      </c>
      <c r="AL40">
        <f ca="1">VLOOKUP(AI40,AE40:AH49,4,FALSE)</f>
        <v>0</v>
      </c>
    </row>
    <row r="41" spans="6:38">
      <c r="F41" t="str">
        <f ca="1">AI29</f>
        <v>Serbia</v>
      </c>
      <c r="J41">
        <f ca="1">VLOOKUP(F41,$F$16:$M$25,8,FALSE)</f>
        <v>3</v>
      </c>
      <c r="K41">
        <f ca="1">VLOOKUP(F41,$F$16:$M$25,6,FALSE)</f>
        <v>0</v>
      </c>
      <c r="L41">
        <f ca="1">VLOOKUP(F41,$F$16:$M$25,7,FALSE)</f>
        <v>0</v>
      </c>
      <c r="M41">
        <f ca="1">K41-L41</f>
        <v>0</v>
      </c>
      <c r="O41" t="str">
        <f ca="1">IF(AND(J40=J41,M40=M41,K41&gt;K40),F40,F41)</f>
        <v>Serbia</v>
      </c>
      <c r="P41">
        <f ca="1">VLOOKUP(O41,$F$40:$M$49,5,FALSE)</f>
        <v>3</v>
      </c>
      <c r="Q41">
        <f ca="1">VLOOKUP(O41,$F$40:$M$49,8,FALSE)</f>
        <v>0</v>
      </c>
      <c r="R41">
        <f ca="1">VLOOKUP(O41,$F$40:$M$49,6,FALSE)</f>
        <v>0</v>
      </c>
      <c r="S41" t="str">
        <f ca="1">O41</f>
        <v>Serbia</v>
      </c>
      <c r="T41">
        <f ca="1">VLOOKUP(S41,$O$40:$R$49,2,FALSE)</f>
        <v>3</v>
      </c>
      <c r="U41">
        <f ca="1">VLOOKUP(S41,$O$40:$R$49,3,FALSE)</f>
        <v>0</v>
      </c>
      <c r="V41">
        <f ca="1">VLOOKUP(S41,$O$40:$R$49,4,FALSE)</f>
        <v>0</v>
      </c>
      <c r="W41" t="str">
        <f ca="1">S41</f>
        <v>Serbia</v>
      </c>
      <c r="X41">
        <f ca="1">VLOOKUP(W41,$S$40:$V$49,2,FALSE)</f>
        <v>3</v>
      </c>
      <c r="Y41">
        <f ca="1">VLOOKUP(W41,$S$40:$V$49,3,FALSE)</f>
        <v>0</v>
      </c>
      <c r="Z41">
        <f ca="1">VLOOKUP(W41,$S$40:$V$49,4,FALSE)</f>
        <v>0</v>
      </c>
      <c r="AA41" t="str">
        <f ca="1">IF(AND(X41=X42,Y41=Y42,Z42&gt;Z41),W42,W41)</f>
        <v>Serbia</v>
      </c>
      <c r="AB41">
        <f ca="1">VLOOKUP(AA41,W40:Z49,2,FALSE)</f>
        <v>3</v>
      </c>
      <c r="AC41">
        <f ca="1">VLOOKUP(AA41,W40:Z49,3,FALSE)</f>
        <v>0</v>
      </c>
      <c r="AD41">
        <f ca="1">VLOOKUP(AA41,W40:Z49,4,FALSE)</f>
        <v>0</v>
      </c>
      <c r="AE41" t="str">
        <f ca="1">IF(AND(AB41=AB43,AC41=AC43,AD43&gt;AD41),AA43,AA41)</f>
        <v>Serbia</v>
      </c>
      <c r="AF41">
        <f ca="1">VLOOKUP(AE41,AA40:AD49,2,FALSE)</f>
        <v>3</v>
      </c>
      <c r="AG41">
        <f ca="1">VLOOKUP(AE41,AA40:AD49,3,FALSE)</f>
        <v>0</v>
      </c>
      <c r="AH41">
        <f ca="1">VLOOKUP(AE41,AA40:AD49,4,FALSE)</f>
        <v>0</v>
      </c>
      <c r="AI41" t="str">
        <f ca="1">AE41</f>
        <v>Serbia</v>
      </c>
      <c r="AJ41">
        <f ca="1">VLOOKUP(AI41,AE40:AH49,2,FALSE)</f>
        <v>3</v>
      </c>
      <c r="AK41">
        <f ca="1">VLOOKUP(AI41,AE40:AH49,3,FALSE)</f>
        <v>0</v>
      </c>
      <c r="AL41">
        <f ca="1">VLOOKUP(AI41,AE40:AH49,4,FALSE)</f>
        <v>0</v>
      </c>
    </row>
    <row r="42" spans="6:38">
      <c r="F42" t="str">
        <f ca="1">AI30</f>
        <v>Suiza</v>
      </c>
      <c r="J42">
        <f ca="1">VLOOKUP(F42,$F$16:$M$25,8,FALSE)</f>
        <v>3</v>
      </c>
      <c r="K42">
        <f ca="1">VLOOKUP(F42,$F$16:$M$25,6,FALSE)</f>
        <v>0</v>
      </c>
      <c r="L42">
        <f ca="1">VLOOKUP(F42,$F$16:$M$25,7,FALSE)</f>
        <v>0</v>
      </c>
      <c r="M42">
        <f ca="1">K42-L42</f>
        <v>0</v>
      </c>
      <c r="O42" t="str">
        <f ca="1">F42</f>
        <v>Suiza</v>
      </c>
      <c r="P42">
        <f ca="1">VLOOKUP(O42,$F$40:$M$49,5,FALSE)</f>
        <v>3</v>
      </c>
      <c r="Q42">
        <f ca="1">VLOOKUP(O42,$F$40:$M$49,8,FALSE)</f>
        <v>0</v>
      </c>
      <c r="R42">
        <f ca="1">VLOOKUP(O42,$F$40:$M$49,6,FALSE)</f>
        <v>0</v>
      </c>
      <c r="S42" t="str">
        <f ca="1">IF(AND(P40=P42,Q40=Q42,R42&gt;R40),O40,O42)</f>
        <v>Suiza</v>
      </c>
      <c r="T42">
        <f ca="1">VLOOKUP(S42,$O$40:$R$49,2,FALSE)</f>
        <v>3</v>
      </c>
      <c r="U42">
        <f ca="1">VLOOKUP(S42,$O$40:$R$49,3,FALSE)</f>
        <v>0</v>
      </c>
      <c r="V42">
        <f ca="1">VLOOKUP(S42,$O$40:$R$49,4,FALSE)</f>
        <v>0</v>
      </c>
      <c r="W42" t="str">
        <f ca="1">S42</f>
        <v>Suiza</v>
      </c>
      <c r="X42">
        <f ca="1">VLOOKUP(W42,$S$40:$V$49,2,FALSE)</f>
        <v>3</v>
      </c>
      <c r="Y42">
        <f ca="1">VLOOKUP(W42,$S$40:$V$49,3,FALSE)</f>
        <v>0</v>
      </c>
      <c r="Z42">
        <f ca="1">VLOOKUP(W42,$S$40:$V$49,4,FALSE)</f>
        <v>0</v>
      </c>
      <c r="AA42" t="str">
        <f ca="1">IF(AND(X41=X42,Y41=Y42,Z42&gt;Z41),W41,W42)</f>
        <v>Suiza</v>
      </c>
      <c r="AB42">
        <f ca="1">VLOOKUP(AA42,W40:Z49,2,FALSE)</f>
        <v>3</v>
      </c>
      <c r="AC42">
        <f ca="1">VLOOKUP(AA42,W40:Z49,3,FALSE)</f>
        <v>0</v>
      </c>
      <c r="AD42">
        <f ca="1">VLOOKUP(AA42,W40:Z49,4,FALSE)</f>
        <v>0</v>
      </c>
      <c r="AE42" t="str">
        <f ca="1">AA42</f>
        <v>Suiza</v>
      </c>
      <c r="AF42">
        <f ca="1">VLOOKUP(AE42,AA40:AD49,2,FALSE)</f>
        <v>3</v>
      </c>
      <c r="AG42">
        <f ca="1">VLOOKUP(AE42,AA40:AD49,3,FALSE)</f>
        <v>0</v>
      </c>
      <c r="AH42">
        <f ca="1">VLOOKUP(AE42,AA40:AD49,4,FALSE)</f>
        <v>0</v>
      </c>
      <c r="AI42" t="str">
        <f ca="1">IF(AND(AF42=AF43,AG42=AG43,AH43&gt;AH42),AE43,AE42)</f>
        <v>Suiza</v>
      </c>
      <c r="AJ42">
        <f ca="1">VLOOKUP(AI42,AE40:AH49,2,FALSE)</f>
        <v>3</v>
      </c>
      <c r="AK42">
        <f ca="1">VLOOKUP(AI42,AE40:AH49,3,FALSE)</f>
        <v>0</v>
      </c>
      <c r="AL42">
        <f ca="1">VLOOKUP(AI42,AE40:AH49,4,FALSE)</f>
        <v>0</v>
      </c>
    </row>
    <row r="43" spans="6:38">
      <c r="F43" t="str">
        <f ca="1">AI31</f>
        <v>Camerun</v>
      </c>
      <c r="J43">
        <f ca="1">VLOOKUP(F43,$F$16:$M$25,8,FALSE)</f>
        <v>3</v>
      </c>
      <c r="K43">
        <f ca="1">VLOOKUP(F43,$F$16:$M$25,6,FALSE)</f>
        <v>0</v>
      </c>
      <c r="L43">
        <f ca="1">VLOOKUP(F43,$F$16:$M$25,7,FALSE)</f>
        <v>0</v>
      </c>
      <c r="M43">
        <f ca="1">K43-L43</f>
        <v>0</v>
      </c>
      <c r="O43" t="str">
        <f ca="1">F43</f>
        <v>Camerun</v>
      </c>
      <c r="P43">
        <f ca="1">VLOOKUP(O43,$F$40:$M$49,5,FALSE)</f>
        <v>3</v>
      </c>
      <c r="Q43">
        <f ca="1">VLOOKUP(O43,$F$40:$M$49,8,FALSE)</f>
        <v>0</v>
      </c>
      <c r="R43">
        <f ca="1">VLOOKUP(O43,$F$40:$M$49,6,FALSE)</f>
        <v>0</v>
      </c>
      <c r="S43" t="str">
        <f ca="1">O43</f>
        <v>Camerun</v>
      </c>
      <c r="T43">
        <f ca="1">VLOOKUP(S43,$O$40:$R$49,2,FALSE)</f>
        <v>3</v>
      </c>
      <c r="U43">
        <f ca="1">VLOOKUP(S43,$O$40:$R$49,3,FALSE)</f>
        <v>0</v>
      </c>
      <c r="V43">
        <f ca="1">VLOOKUP(S43,$O$40:$R$49,4,FALSE)</f>
        <v>0</v>
      </c>
      <c r="W43" t="str">
        <f ca="1">IF(AND(T40=T43,U40=U43,V43&gt;V40),S40,S43)</f>
        <v>Camerun</v>
      </c>
      <c r="X43">
        <f ca="1">VLOOKUP(W43,$S$40:$V$49,2,FALSE)</f>
        <v>3</v>
      </c>
      <c r="Y43">
        <f ca="1">VLOOKUP(W43,$S$40:$V$49,3,FALSE)</f>
        <v>0</v>
      </c>
      <c r="Z43">
        <f ca="1">VLOOKUP(W43,$S$40:$V$49,4,FALSE)</f>
        <v>0</v>
      </c>
      <c r="AA43" t="str">
        <f ca="1">W43</f>
        <v>Camerun</v>
      </c>
      <c r="AB43">
        <f ca="1">VLOOKUP(AA43,W40:Z49,2,FALSE)</f>
        <v>3</v>
      </c>
      <c r="AC43">
        <f ca="1">VLOOKUP(AA43,W40:Z49,3,FALSE)</f>
        <v>0</v>
      </c>
      <c r="AD43">
        <f ca="1">VLOOKUP(AA43,W40:Z49,4,FALSE)</f>
        <v>0</v>
      </c>
      <c r="AE43" t="str">
        <f ca="1">IF(AND(AB41=AB43,AC41=AC43,AD43&gt;AD41),AA41,AA43)</f>
        <v>Camerun</v>
      </c>
      <c r="AF43">
        <f ca="1">VLOOKUP(AE43,AA40:AD49,2,FALSE)</f>
        <v>3</v>
      </c>
      <c r="AG43">
        <f ca="1">VLOOKUP(AE43,AA40:AD49,3,FALSE)</f>
        <v>0</v>
      </c>
      <c r="AH43">
        <f ca="1">VLOOKUP(AE43,AA40:AD49,4,FALSE)</f>
        <v>0</v>
      </c>
      <c r="AI43" t="str">
        <f ca="1">IF(AND(AF42=AF43,AG42=AG43,AH43&gt;AH42),AE42,AE43)</f>
        <v>Camerun</v>
      </c>
      <c r="AJ43">
        <f ca="1">VLOOKUP(AI43,AE40:AH49,2,FALSE)</f>
        <v>3</v>
      </c>
      <c r="AK43">
        <f ca="1">VLOOKUP(AI43,AE40:AH49,3,FALSE)</f>
        <v>0</v>
      </c>
      <c r="AL43">
        <f ca="1">VLOOKUP(AI43,AE40:AH49,4,FALSE)</f>
        <v>0</v>
      </c>
    </row>
    <row r="51" spans="6:13">
      <c r="F51" t="s">
        <v>334</v>
      </c>
    </row>
    <row r="52" spans="6:13">
      <c r="F52" t="str">
        <f ca="1">AI40</f>
        <v>Brasil</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Serbia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Suiza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Camerun</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86t1VHIFl8ZwGsIvIiIlMQ+eMa+4YFV+xonLNBOHcgT5LnyTDX/Vktlo3l+tsop+eZ8obRRJr5wZMh3eFND1hg==" saltValue="r8lIFZtELRHXl89I7RUbXQ==" spinCount="100000" sheet="1" selectLockedCells="1" selectUnlockedCells="1"/>
  <customSheetViews>
    <customSheetView guid="{387210E2-BDFB-42E5-A6C7-A37C9701EAB6}" showRowCol="0" state="hidden">
      <selection activeCell="B4" sqref="B4"/>
      <pageMargins left="0" right="0" top="0" bottom="0" header="0" footer="0"/>
      <headerFooter alignWithMargins="0"/>
    </customSheetView>
    <customSheetView guid="{E2621C8A-2AE3-484D-B751-B92E60BB88F8}" showRowCol="0" state="hidden">
      <selection activeCell="B4" sqref="B4"/>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7"/>
  <dimension ref="A2:AL55"/>
  <sheetViews>
    <sheetView showRowColHeaders="0" workbookViewId="0">
      <selection activeCell="I24" sqref="I24:I30"/>
    </sheetView>
  </sheetViews>
  <sheetFormatPr defaultRowHeight="12.6"/>
  <cols>
    <col min="1" max="1" width="13" bestFit="1" customWidth="1"/>
    <col min="2" max="2" width="3.140625" customWidth="1"/>
    <col min="3" max="3" width="1.5703125" bestFit="1" customWidth="1"/>
    <col min="4" max="4" width="4" customWidth="1"/>
    <col min="5" max="5" width="13" bestFit="1" customWidth="1"/>
    <col min="6" max="6" width="13.5703125" bestFit="1" customWidth="1"/>
    <col min="7" max="7" width="4.85546875" bestFit="1" customWidth="1"/>
    <col min="8" max="8" width="2.28515625" bestFit="1" customWidth="1"/>
    <col min="9" max="12" width="2" bestFit="1" customWidth="1"/>
    <col min="13" max="13" width="3.5703125" bestFit="1" customWidth="1"/>
    <col min="14" max="14" width="8.85546875" bestFit="1" customWidth="1"/>
    <col min="15" max="15" width="13" bestFit="1" customWidth="1"/>
    <col min="16" max="18" width="2" bestFit="1" customWidth="1"/>
    <col min="19" max="19" width="13" bestFit="1" customWidth="1"/>
    <col min="20" max="20" width="2" bestFit="1" customWidth="1"/>
    <col min="21" max="21" width="13" bestFit="1" customWidth="1"/>
    <col min="22" max="22" width="2.28515625" bestFit="1" customWidth="1"/>
    <col min="23" max="23" width="13" bestFit="1" customWidth="1"/>
    <col min="24" max="26" width="2" bestFit="1" customWidth="1"/>
    <col min="27" max="27" width="13" bestFit="1" customWidth="1"/>
    <col min="28" max="28" width="9.8554687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F -'!U7&lt;&gt;"",'- F -'!U7,"")</f>
        <v>Belgica</v>
      </c>
      <c r="N2" t="str">
        <f>IF('- F -'!U9&lt;&gt;"",'- F -'!U9,"")</f>
        <v>Canada</v>
      </c>
      <c r="U2" t="str">
        <f>IF('- F -'!U11&lt;&gt;"",'- F -'!U11,"")</f>
        <v>Marruecos</v>
      </c>
      <c r="AB2" t="str">
        <f>IF('- F -'!U13&lt;&gt;"",'- F -'!U13,"")</f>
        <v>Croacia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F -'!B6</f>
        <v>Belgica</v>
      </c>
      <c r="B4" s="127">
        <f>+'resultados oficiales'!J18</f>
        <v>0</v>
      </c>
      <c r="C4" s="1" t="str">
        <f>'- A -'!D6</f>
        <v>-</v>
      </c>
      <c r="D4" s="127">
        <f>+'resultados oficiales'!L18</f>
        <v>0</v>
      </c>
      <c r="E4" s="3" t="str">
        <f>'- F -'!F6</f>
        <v>Canada</v>
      </c>
      <c r="F4" s="1">
        <f ca="1">COUNTBLANK('- F -'!C6:'- F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F -'!B7</f>
        <v>Marruecos</v>
      </c>
      <c r="B5" s="127">
        <f>+'resultados oficiales'!J20</f>
        <v>0</v>
      </c>
      <c r="C5" s="1" t="str">
        <f>'- A -'!D7</f>
        <v>-</v>
      </c>
      <c r="D5" s="127">
        <f>+'resultados oficiales'!L20</f>
        <v>0</v>
      </c>
      <c r="E5" s="3" t="str">
        <f>'- F -'!F7</f>
        <v>Croacia</v>
      </c>
      <c r="F5" s="1">
        <f ca="1">COUNTBLANK('- F -'!C7:'- F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F -'!B8</f>
        <v>Croacia</v>
      </c>
      <c r="B6" s="127">
        <f>+'resultados oficiales'!J22</f>
        <v>0</v>
      </c>
      <c r="C6" s="1" t="str">
        <f>'- A -'!D8</f>
        <v>-</v>
      </c>
      <c r="D6" s="127">
        <f>+'resultados oficiales'!L22</f>
        <v>0</v>
      </c>
      <c r="E6" s="3" t="str">
        <f>'- F -'!F8</f>
        <v>Canada</v>
      </c>
      <c r="F6" s="1">
        <f ca="1">COUNTBLANK('- F -'!C8:'- F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F -'!B9</f>
        <v>Belgica</v>
      </c>
      <c r="B7" s="127">
        <f>+'resultados oficiales'!J24</f>
        <v>0</v>
      </c>
      <c r="C7" s="1" t="str">
        <f>'- A -'!D9</f>
        <v>-</v>
      </c>
      <c r="D7" s="127">
        <f>+'resultados oficiales'!L24</f>
        <v>0</v>
      </c>
      <c r="E7" s="3" t="str">
        <f>'- F -'!F9</f>
        <v>Marruecos</v>
      </c>
      <c r="F7" s="1">
        <f ca="1">COUNTBLANK('- F -'!C9:'- F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F -'!B10</f>
        <v>Croacia</v>
      </c>
      <c r="B8" s="127">
        <f>+'resultados oficiales'!J26</f>
        <v>0</v>
      </c>
      <c r="C8" s="1" t="str">
        <f>'- A -'!D10</f>
        <v>-</v>
      </c>
      <c r="D8" s="127">
        <f>+'resultados oficiales'!L26</f>
        <v>0</v>
      </c>
      <c r="E8" s="3" t="str">
        <f>'- F -'!F10</f>
        <v>Belgica</v>
      </c>
      <c r="F8" s="1">
        <f ca="1">COUNTBLANK('- F -'!C10:'- F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F -'!B11</f>
        <v>Canada</v>
      </c>
      <c r="B9" s="127">
        <f>+'resultados oficiales'!J28</f>
        <v>0</v>
      </c>
      <c r="C9" s="1" t="str">
        <f>'- A -'!D11</f>
        <v>-</v>
      </c>
      <c r="D9" s="127">
        <f>+'resultados oficiales'!L28</f>
        <v>0</v>
      </c>
      <c r="E9" s="3" t="str">
        <f>'- F -'!F11</f>
        <v>Marruecos</v>
      </c>
      <c r="F9" s="1">
        <f ca="1">COUNTBLANK('- F -'!C11:'- F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Belgica</v>
      </c>
      <c r="G16">
        <f t="shared" ref="G16:M16" ca="1" si="28">G10</f>
        <v>3</v>
      </c>
      <c r="H16">
        <f t="shared" ca="1" si="28"/>
        <v>0</v>
      </c>
      <c r="I16">
        <f t="shared" ca="1" si="28"/>
        <v>3</v>
      </c>
      <c r="J16">
        <f t="shared" ca="1" si="28"/>
        <v>0</v>
      </c>
      <c r="K16">
        <f t="shared" ca="1" si="28"/>
        <v>0</v>
      </c>
      <c r="L16">
        <f t="shared" ca="1" si="28"/>
        <v>0</v>
      </c>
      <c r="M16">
        <f t="shared" ca="1" si="28"/>
        <v>3</v>
      </c>
      <c r="O16" t="str">
        <f ca="1">IF($M16&gt;=$M17,$F16,$F17)</f>
        <v>Belgica</v>
      </c>
      <c r="P16">
        <f ca="1">VLOOKUP(O16,$F$16:$M$25,8,FALSE)</f>
        <v>3</v>
      </c>
      <c r="S16" t="str">
        <f ca="1">IF($P16&gt;=$P18,$O16,$O18)</f>
        <v>Belgica</v>
      </c>
      <c r="T16">
        <f ca="1">VLOOKUP(S16,$O$16:$P$25,2,FALSE)</f>
        <v>3</v>
      </c>
      <c r="W16" t="str">
        <f ca="1">IF($T16&gt;=$T19,$S16,$S19)</f>
        <v>Belgica</v>
      </c>
      <c r="X16">
        <f ca="1">VLOOKUP(W16,$S$16:$T$25,2,FALSE)</f>
        <v>3</v>
      </c>
      <c r="AA16" t="str">
        <f ca="1">W16</f>
        <v>Belgica</v>
      </c>
      <c r="AB16">
        <f ca="1">VLOOKUP(AA16,W16:X25,2,FALSE)</f>
        <v>3</v>
      </c>
      <c r="AE16" t="str">
        <f ca="1">AA16</f>
        <v>Belgica</v>
      </c>
      <c r="AF16">
        <f ca="1">VLOOKUP(AE16,AA16:AB25,2,FALSE)</f>
        <v>3</v>
      </c>
      <c r="AI16" t="str">
        <f ca="1">AE16</f>
        <v>Belgica</v>
      </c>
      <c r="AJ16">
        <f ca="1">VLOOKUP(AI16,AE16:AF25,2,FALSE)</f>
        <v>3</v>
      </c>
    </row>
    <row r="17" spans="6:37">
      <c r="F17" t="str">
        <f>N2</f>
        <v>Canada</v>
      </c>
      <c r="G17">
        <f t="shared" ref="G17:M17" ca="1" si="29">N10</f>
        <v>3</v>
      </c>
      <c r="H17">
        <f t="shared" ca="1" si="29"/>
        <v>0</v>
      </c>
      <c r="I17">
        <f t="shared" ca="1" si="29"/>
        <v>3</v>
      </c>
      <c r="J17">
        <f t="shared" ca="1" si="29"/>
        <v>0</v>
      </c>
      <c r="K17">
        <f t="shared" ca="1" si="29"/>
        <v>0</v>
      </c>
      <c r="L17">
        <f t="shared" ca="1" si="29"/>
        <v>0</v>
      </c>
      <c r="M17">
        <f t="shared" ca="1" si="29"/>
        <v>3</v>
      </c>
      <c r="O17" t="str">
        <f ca="1">IF($M17&lt;=$M16,$F17,$F16)</f>
        <v>Canada</v>
      </c>
      <c r="P17">
        <f ca="1">VLOOKUP(O17,$F$16:$M$25,8,FALSE)</f>
        <v>3</v>
      </c>
      <c r="S17" t="str">
        <f ca="1">O17</f>
        <v>Canada</v>
      </c>
      <c r="T17">
        <f ca="1">VLOOKUP(S17,$O$16:$P$25,2,FALSE)</f>
        <v>3</v>
      </c>
      <c r="W17" t="str">
        <f ca="1">S17</f>
        <v>Canada</v>
      </c>
      <c r="X17">
        <f ca="1">VLOOKUP(W17,$S$16:$T$25,2,FALSE)</f>
        <v>3</v>
      </c>
      <c r="AA17" t="str">
        <f ca="1">IF(X17&gt;=X18,W17,W18)</f>
        <v>Canada</v>
      </c>
      <c r="AB17">
        <f ca="1">VLOOKUP(AA17,W16:X25,2,FALSE)</f>
        <v>3</v>
      </c>
      <c r="AE17" t="str">
        <f ca="1">IF(AB17&gt;=AB19,AA17,AA19)</f>
        <v>Canada</v>
      </c>
      <c r="AF17">
        <f ca="1">VLOOKUP(AE17,AA16:AB25,2,FALSE)</f>
        <v>3</v>
      </c>
      <c r="AI17" t="str">
        <f ca="1">AE17</f>
        <v>Canada</v>
      </c>
      <c r="AJ17">
        <f ca="1">VLOOKUP(AI17,AE16:AF25,2,FALSE)</f>
        <v>3</v>
      </c>
    </row>
    <row r="18" spans="6:37">
      <c r="F18" t="str">
        <f>U2</f>
        <v>Marruecos</v>
      </c>
      <c r="G18">
        <f t="shared" ref="G18:M18" ca="1" si="30">U10</f>
        <v>3</v>
      </c>
      <c r="H18">
        <f t="shared" ca="1" si="30"/>
        <v>0</v>
      </c>
      <c r="I18">
        <f t="shared" ca="1" si="30"/>
        <v>3</v>
      </c>
      <c r="J18">
        <f t="shared" ca="1" si="30"/>
        <v>0</v>
      </c>
      <c r="K18">
        <f t="shared" ca="1" si="30"/>
        <v>0</v>
      </c>
      <c r="L18">
        <f t="shared" ca="1" si="30"/>
        <v>0</v>
      </c>
      <c r="M18">
        <f t="shared" ca="1" si="30"/>
        <v>3</v>
      </c>
      <c r="O18" t="str">
        <f>F18</f>
        <v>Marruecos</v>
      </c>
      <c r="P18">
        <f ca="1">VLOOKUP(O18,$F$16:$M$25,8,FALSE)</f>
        <v>3</v>
      </c>
      <c r="S18" t="str">
        <f ca="1">IF($P18&lt;=$P16,$O18,$O16)</f>
        <v>Marruecos</v>
      </c>
      <c r="T18">
        <f ca="1">VLOOKUP(S18,$O$16:$P$25,2,FALSE)</f>
        <v>3</v>
      </c>
      <c r="W18" t="str">
        <f ca="1">S18</f>
        <v>Marruecos</v>
      </c>
      <c r="X18">
        <f ca="1">VLOOKUP(W18,$S$16:$T$25,2,FALSE)</f>
        <v>3</v>
      </c>
      <c r="AA18" t="str">
        <f ca="1">IF(X18&lt;=X17,W18,W17)</f>
        <v>Marruecos</v>
      </c>
      <c r="AB18">
        <f ca="1">VLOOKUP(AA18,W16:X25,2,FALSE)</f>
        <v>3</v>
      </c>
      <c r="AE18" t="str">
        <f ca="1">AA18</f>
        <v>Marruecos</v>
      </c>
      <c r="AF18">
        <f ca="1">VLOOKUP(AE18,AA16:AB25,2,FALSE)</f>
        <v>3</v>
      </c>
      <c r="AI18" t="str">
        <f ca="1">IF(AF18&gt;=AF19,AE18,AE19)</f>
        <v>Marruecos</v>
      </c>
      <c r="AJ18">
        <f ca="1">VLOOKUP(AI18,AE16:AF25,2,FALSE)</f>
        <v>3</v>
      </c>
    </row>
    <row r="19" spans="6:37">
      <c r="F19" t="str">
        <f>AB2</f>
        <v>Croacia</v>
      </c>
      <c r="G19">
        <f t="shared" ref="G19:M19" ca="1" si="31">AB10</f>
        <v>3</v>
      </c>
      <c r="H19">
        <f t="shared" ca="1" si="31"/>
        <v>0</v>
      </c>
      <c r="I19">
        <f t="shared" ca="1" si="31"/>
        <v>3</v>
      </c>
      <c r="J19">
        <f t="shared" ca="1" si="31"/>
        <v>0</v>
      </c>
      <c r="K19">
        <f t="shared" ca="1" si="31"/>
        <v>0</v>
      </c>
      <c r="L19">
        <f t="shared" ca="1" si="31"/>
        <v>0</v>
      </c>
      <c r="M19">
        <f t="shared" ca="1" si="31"/>
        <v>3</v>
      </c>
      <c r="O19" t="str">
        <f>F19</f>
        <v>Croacia</v>
      </c>
      <c r="P19">
        <f ca="1">VLOOKUP(O19,$F$16:$M$25,8,FALSE)</f>
        <v>3</v>
      </c>
      <c r="S19" t="str">
        <f>O19</f>
        <v>Croacia</v>
      </c>
      <c r="T19">
        <f ca="1">VLOOKUP(S19,$O$16:$P$25,2,FALSE)</f>
        <v>3</v>
      </c>
      <c r="W19" t="str">
        <f ca="1">IF($T19&lt;=$T16,$S19,$S16)</f>
        <v>Croacia</v>
      </c>
      <c r="X19">
        <f ca="1">VLOOKUP(W19,$S$16:$T$25,2,FALSE)</f>
        <v>3</v>
      </c>
      <c r="AA19" t="str">
        <f ca="1">W19</f>
        <v>Croacia</v>
      </c>
      <c r="AB19">
        <f ca="1">VLOOKUP(AA19,W16:X25,2,FALSE)</f>
        <v>3</v>
      </c>
      <c r="AE19" t="str">
        <f ca="1">IF(AB19&lt;=AB17,AA19,AA17)</f>
        <v>Croacia</v>
      </c>
      <c r="AF19">
        <f ca="1">VLOOKUP(AE19,AA16:AB25,2,FALSE)</f>
        <v>3</v>
      </c>
      <c r="AI19" t="str">
        <f ca="1">IF(AF19&lt;=AF18,AE19,AE18)</f>
        <v>Croacia</v>
      </c>
      <c r="AJ19">
        <f ca="1">VLOOKUP(AI19,AE16:AF25,2,FALSE)</f>
        <v>3</v>
      </c>
    </row>
    <row r="28" spans="6:37">
      <c r="F28" t="str">
        <f ca="1">AI16</f>
        <v>Belgica</v>
      </c>
      <c r="J28">
        <f ca="1">AJ16</f>
        <v>3</v>
      </c>
      <c r="K28">
        <f ca="1">VLOOKUP(AI16,$F$16:$M$25,6,FALSE)</f>
        <v>0</v>
      </c>
      <c r="L28">
        <f ca="1">VLOOKUP(AI16,$F$16:$M$25,7,FALSE)</f>
        <v>0</v>
      </c>
      <c r="M28">
        <f ca="1">K28-L28</f>
        <v>0</v>
      </c>
      <c r="O28" t="str">
        <f ca="1">IF(AND($J28=$J29,$M29&gt;$M28),$F29,$F28)</f>
        <v>Belgica</v>
      </c>
      <c r="P28">
        <f ca="1">VLOOKUP(O28,$F$28:$M$37,5,FALSE)</f>
        <v>3</v>
      </c>
      <c r="Q28">
        <f ca="1">VLOOKUP(O28,$F$28:$M$37,8,FALSE)</f>
        <v>0</v>
      </c>
      <c r="S28" t="str">
        <f ca="1">IF(AND(P28=P30,Q30&gt;Q28),O30,O28)</f>
        <v>Belgica</v>
      </c>
      <c r="T28">
        <f ca="1">VLOOKUP(S28,$O$28:$Q$37,2,FALSE)</f>
        <v>3</v>
      </c>
      <c r="U28">
        <f ca="1">VLOOKUP(S28,$O$28:$Q$37,3,FALSE)</f>
        <v>0</v>
      </c>
      <c r="W28" t="str">
        <f ca="1">IF(AND(T28=T31,U31&gt;U28),S31,S28)</f>
        <v>Belgica</v>
      </c>
      <c r="X28">
        <f ca="1">VLOOKUP(W28,$S$28:$U$37,2,FALSE)</f>
        <v>3</v>
      </c>
      <c r="Y28">
        <f ca="1">VLOOKUP(W28,$S$28:$U$37,3,FALSE)</f>
        <v>0</v>
      </c>
      <c r="AA28" t="str">
        <f ca="1">W28</f>
        <v>Belgica</v>
      </c>
      <c r="AB28">
        <f ca="1">VLOOKUP(AA28,W28:Y37,2,FALSE)</f>
        <v>3</v>
      </c>
      <c r="AC28">
        <f ca="1">VLOOKUP(AA28,W28:Y37,3,FALSE)</f>
        <v>0</v>
      </c>
      <c r="AE28" t="str">
        <f ca="1">AA28</f>
        <v>Belgica</v>
      </c>
      <c r="AF28">
        <f ca="1">VLOOKUP(AE28,AA28:AC37,2,FALSE)</f>
        <v>3</v>
      </c>
      <c r="AG28">
        <f ca="1">VLOOKUP(AE28,AA28:AC37,3,FALSE)</f>
        <v>0</v>
      </c>
      <c r="AI28" t="str">
        <f ca="1">AE28</f>
        <v>Belgica</v>
      </c>
      <c r="AJ28">
        <f ca="1">VLOOKUP(AI28,AE28:AG37,2,FALSE)</f>
        <v>3</v>
      </c>
      <c r="AK28">
        <f ca="1">VLOOKUP(AI28,AE28:AG37,3,FALSE)</f>
        <v>0</v>
      </c>
    </row>
    <row r="29" spans="6:37">
      <c r="F29" t="str">
        <f ca="1">AI17</f>
        <v>Canada</v>
      </c>
      <c r="J29">
        <f ca="1">AJ17</f>
        <v>3</v>
      </c>
      <c r="K29">
        <f ca="1">VLOOKUP(AI17,$F$16:$M$25,6,FALSE)</f>
        <v>0</v>
      </c>
      <c r="L29">
        <f ca="1">VLOOKUP(AI17,$F$16:$M$25,7,FALSE)</f>
        <v>0</v>
      </c>
      <c r="M29">
        <f ca="1">K29-L29</f>
        <v>0</v>
      </c>
      <c r="O29" t="str">
        <f ca="1">IF(AND($J28=$J29,$M29&gt;$M28),$F28,$F29)</f>
        <v>Canada</v>
      </c>
      <c r="P29">
        <f ca="1">VLOOKUP(O29,$F$28:$M$37,5,FALSE)</f>
        <v>3</v>
      </c>
      <c r="Q29">
        <f ca="1">VLOOKUP(O29,$F$28:$M$37,8,FALSE)</f>
        <v>0</v>
      </c>
      <c r="S29" t="str">
        <f ca="1">O29</f>
        <v>Canada</v>
      </c>
      <c r="T29">
        <f ca="1">VLOOKUP(S29,$O$28:$Q$37,2,FALSE)</f>
        <v>3</v>
      </c>
      <c r="U29">
        <f ca="1">VLOOKUP(S29,$O$28:$Q$37,3,FALSE)</f>
        <v>0</v>
      </c>
      <c r="W29" t="str">
        <f ca="1">S29</f>
        <v>Canada</v>
      </c>
      <c r="X29">
        <f ca="1">VLOOKUP(W29,$S$28:$U$37,2,FALSE)</f>
        <v>3</v>
      </c>
      <c r="Y29">
        <f ca="1">VLOOKUP(W29,$S$28:$U$37,3,FALSE)</f>
        <v>0</v>
      </c>
      <c r="AA29" t="str">
        <f ca="1">IF(AND(X29=X30,Y30&gt;Y29),W30,W29)</f>
        <v>Canada</v>
      </c>
      <c r="AB29">
        <f ca="1">VLOOKUP(AA29,W28:Y37,2,FALSE)</f>
        <v>3</v>
      </c>
      <c r="AC29">
        <f ca="1">VLOOKUP(AA29,W28:Y37,3,FALSE)</f>
        <v>0</v>
      </c>
      <c r="AE29" t="str">
        <f ca="1">IF(AND(AB29=AB31,AC31&gt;AC29),AA31,AA29)</f>
        <v>Canada</v>
      </c>
      <c r="AF29">
        <f ca="1">VLOOKUP(AE29,AA28:AC37,2,FALSE)</f>
        <v>3</v>
      </c>
      <c r="AG29">
        <f ca="1">VLOOKUP(AE29,AA28:AC37,3,FALSE)</f>
        <v>0</v>
      </c>
      <c r="AI29" t="str">
        <f ca="1">AE29</f>
        <v>Canada</v>
      </c>
      <c r="AJ29">
        <f ca="1">VLOOKUP(AI29,AE28:AG37,2,FALSE)</f>
        <v>3</v>
      </c>
      <c r="AK29">
        <f ca="1">VLOOKUP(AI29,AE28:AG37,3,FALSE)</f>
        <v>0</v>
      </c>
    </row>
    <row r="30" spans="6:37">
      <c r="F30" t="str">
        <f ca="1">AI18</f>
        <v>Marruecos</v>
      </c>
      <c r="J30">
        <f ca="1">AJ18</f>
        <v>3</v>
      </c>
      <c r="K30">
        <f ca="1">VLOOKUP(AI18,$F$16:$M$25,6,FALSE)</f>
        <v>0</v>
      </c>
      <c r="L30">
        <f ca="1">VLOOKUP(AI18,$F$16:$M$25,7,FALSE)</f>
        <v>0</v>
      </c>
      <c r="M30">
        <f ca="1">K30-L30</f>
        <v>0</v>
      </c>
      <c r="O30" t="str">
        <f ca="1">F30</f>
        <v>Marruecos</v>
      </c>
      <c r="P30">
        <f ca="1">VLOOKUP(O30,$F$28:$M$37,5,FALSE)</f>
        <v>3</v>
      </c>
      <c r="Q30">
        <f ca="1">VLOOKUP(O30,$F$28:$M$37,8,FALSE)</f>
        <v>0</v>
      </c>
      <c r="S30" t="str">
        <f ca="1">IF(AND($P28=P30,Q30&gt;Q28),O28,O30)</f>
        <v>Marruecos</v>
      </c>
      <c r="T30">
        <f ca="1">VLOOKUP(S30,$O$28:$Q$37,2,FALSE)</f>
        <v>3</v>
      </c>
      <c r="U30">
        <f ca="1">VLOOKUP(S30,$O$28:$Q$37,3,FALSE)</f>
        <v>0</v>
      </c>
      <c r="W30" t="str">
        <f ca="1">S30</f>
        <v>Marruecos</v>
      </c>
      <c r="X30">
        <f ca="1">VLOOKUP(W30,$S$28:$U$37,2,FALSE)</f>
        <v>3</v>
      </c>
      <c r="Y30">
        <f ca="1">VLOOKUP(W30,$S$28:$U$37,3,FALSE)</f>
        <v>0</v>
      </c>
      <c r="AA30" t="str">
        <f ca="1">IF(AND(X29=X30,Y30&gt;Y29),W29,W30)</f>
        <v>Marruecos</v>
      </c>
      <c r="AB30">
        <f ca="1">VLOOKUP(AA30,W28:Y37,2,FALSE)</f>
        <v>3</v>
      </c>
      <c r="AC30">
        <f ca="1">VLOOKUP(AA30,W28:Y37,3,FALSE)</f>
        <v>0</v>
      </c>
      <c r="AE30" t="str">
        <f ca="1">AA30</f>
        <v>Marruecos</v>
      </c>
      <c r="AF30">
        <f ca="1">VLOOKUP(AE30,AA28:AC37,2,FALSE)</f>
        <v>3</v>
      </c>
      <c r="AG30">
        <f ca="1">VLOOKUP(AE30,AA28:AC37,3,FALSE)</f>
        <v>0</v>
      </c>
      <c r="AI30" t="str">
        <f ca="1">IF(AND(AF30=AF31,AG31&gt;AG30),AE31,AE30)</f>
        <v>Marruecos</v>
      </c>
      <c r="AJ30">
        <f ca="1">VLOOKUP(AI30,AE28:AG37,2,FALSE)</f>
        <v>3</v>
      </c>
      <c r="AK30">
        <f ca="1">VLOOKUP(AI30,AE28:AG37,3,FALSE)</f>
        <v>0</v>
      </c>
    </row>
    <row r="31" spans="6:37">
      <c r="F31" t="str">
        <f ca="1">AI19</f>
        <v>Croacia</v>
      </c>
      <c r="J31">
        <f ca="1">AJ19</f>
        <v>3</v>
      </c>
      <c r="K31">
        <f ca="1">VLOOKUP(AI19,$F$16:$M$25,6,FALSE)</f>
        <v>0</v>
      </c>
      <c r="L31">
        <f ca="1">VLOOKUP(AI19,$F$16:$M$25,7,FALSE)</f>
        <v>0</v>
      </c>
      <c r="M31">
        <f ca="1">K31-L31</f>
        <v>0</v>
      </c>
      <c r="O31" t="str">
        <f ca="1">F31</f>
        <v>Croacia</v>
      </c>
      <c r="P31">
        <f ca="1">VLOOKUP(O31,$F$28:$M$37,5,FALSE)</f>
        <v>3</v>
      </c>
      <c r="Q31">
        <f ca="1">VLOOKUP(O31,$F$28:$M$37,8,FALSE)</f>
        <v>0</v>
      </c>
      <c r="S31" t="str">
        <f ca="1">O31</f>
        <v>Croacia</v>
      </c>
      <c r="T31">
        <f ca="1">VLOOKUP(S31,$O$28:$Q$37,2,FALSE)</f>
        <v>3</v>
      </c>
      <c r="U31">
        <f ca="1">VLOOKUP(S31,$O$28:$Q$37,3,FALSE)</f>
        <v>0</v>
      </c>
      <c r="W31" t="str">
        <f ca="1">IF(AND(T28=T31,U31&gt;U28),S28,S31)</f>
        <v>Croacia</v>
      </c>
      <c r="X31">
        <f ca="1">VLOOKUP(W31,$S$28:$U$37,2,FALSE)</f>
        <v>3</v>
      </c>
      <c r="Y31">
        <f ca="1">VLOOKUP(W31,$S$28:$U$37,3,FALSE)</f>
        <v>0</v>
      </c>
      <c r="AA31" t="str">
        <f ca="1">W31</f>
        <v>Croacia</v>
      </c>
      <c r="AB31">
        <f ca="1">VLOOKUP(AA31,W28:Y37,2,FALSE)</f>
        <v>3</v>
      </c>
      <c r="AC31">
        <f ca="1">VLOOKUP(AA31,W28:Y37,3,FALSE)</f>
        <v>0</v>
      </c>
      <c r="AE31" t="str">
        <f ca="1">IF(AND(AB29=AB31,AC31&gt;AC29),AA29,AA31)</f>
        <v>Croacia</v>
      </c>
      <c r="AF31">
        <f ca="1">VLOOKUP(AE31,AA28:AC37,2,FALSE)</f>
        <v>3</v>
      </c>
      <c r="AG31">
        <f ca="1">VLOOKUP(AE31,AA28:AC37,3,FALSE)</f>
        <v>0</v>
      </c>
      <c r="AI31" t="str">
        <f ca="1">IF(AND(AF30=AF31,AG31&gt;AG30),AE30,AE31)</f>
        <v>Croacia</v>
      </c>
      <c r="AJ31">
        <f ca="1">VLOOKUP(AI31,AE28:AG37,2,FALSE)</f>
        <v>3</v>
      </c>
      <c r="AK31">
        <f ca="1">VLOOKUP(AI31,AE28:AG37,3,FALSE)</f>
        <v>0</v>
      </c>
    </row>
    <row r="40" spans="6:38">
      <c r="F40" t="str">
        <f ca="1">AI28</f>
        <v>Belgica</v>
      </c>
      <c r="J40">
        <f ca="1">VLOOKUP(F40,$F$16:$M$25,8,FALSE)</f>
        <v>3</v>
      </c>
      <c r="K40">
        <f ca="1">VLOOKUP(F40,$F$16:$M$25,6,FALSE)</f>
        <v>0</v>
      </c>
      <c r="L40">
        <f ca="1">VLOOKUP(F40,$F$16:$M$25,7,FALSE)</f>
        <v>0</v>
      </c>
      <c r="M40">
        <f ca="1">K40-L40</f>
        <v>0</v>
      </c>
      <c r="O40" t="str">
        <f ca="1">IF(AND(J40=J41,M40=M41,K41&gt;K40),F41,F40)</f>
        <v>Belgica</v>
      </c>
      <c r="P40">
        <f ca="1">VLOOKUP(O40,$F$40:$M$49,5,FALSE)</f>
        <v>3</v>
      </c>
      <c r="Q40">
        <f ca="1">VLOOKUP(O40,$F$40:$M$49,8,FALSE)</f>
        <v>0</v>
      </c>
      <c r="R40">
        <f ca="1">VLOOKUP(O40,$F$40:$M$49,6,FALSE)</f>
        <v>0</v>
      </c>
      <c r="S40" t="str">
        <f ca="1">IF(AND(P40=P42,Q40=Q42,R42&gt;R40),O42,O40)</f>
        <v>Belgica</v>
      </c>
      <c r="T40">
        <f ca="1">VLOOKUP(S40,$O$40:$R$49,2,FALSE)</f>
        <v>3</v>
      </c>
      <c r="U40">
        <f ca="1">VLOOKUP(S40,$O$40:$R$49,3,FALSE)</f>
        <v>0</v>
      </c>
      <c r="V40">
        <f ca="1">VLOOKUP(S40,$O$40:$R$49,4,FALSE)</f>
        <v>0</v>
      </c>
      <c r="W40" t="str">
        <f ca="1">IF(AND(T40=T43,U40=U43,V43&gt;V40),S43,S40)</f>
        <v>Belgica</v>
      </c>
      <c r="X40">
        <f ca="1">VLOOKUP(W40,$S$40:$V$49,2,FALSE)</f>
        <v>3</v>
      </c>
      <c r="Y40">
        <f ca="1">VLOOKUP(W40,$S$40:$V$49,3,FALSE)</f>
        <v>0</v>
      </c>
      <c r="Z40">
        <f ca="1">VLOOKUP(W40,$S$40:$V$49,4,FALSE)</f>
        <v>0</v>
      </c>
      <c r="AA40" t="str">
        <f ca="1">W40</f>
        <v>Belgica</v>
      </c>
      <c r="AB40">
        <f ca="1">VLOOKUP(AA40,W40:Z49,2,FALSE)</f>
        <v>3</v>
      </c>
      <c r="AC40">
        <f ca="1">VLOOKUP(AA40,W40:Z49,3,FALSE)</f>
        <v>0</v>
      </c>
      <c r="AD40">
        <f ca="1">VLOOKUP(AA40,W40:Z49,4,FALSE)</f>
        <v>0</v>
      </c>
      <c r="AE40" t="str">
        <f ca="1">AA40</f>
        <v>Belgica</v>
      </c>
      <c r="AF40">
        <f ca="1">VLOOKUP(AE40,AA40:AD49,2,FALSE)</f>
        <v>3</v>
      </c>
      <c r="AG40">
        <f ca="1">VLOOKUP(AE40,AA40:AD49,3,FALSE)</f>
        <v>0</v>
      </c>
      <c r="AH40">
        <f ca="1">VLOOKUP(AE40,AA40:AD49,4,FALSE)</f>
        <v>0</v>
      </c>
      <c r="AI40" t="str">
        <f ca="1">AE40</f>
        <v>Belgica</v>
      </c>
      <c r="AJ40">
        <f ca="1">VLOOKUP(AI40,AE40:AH49,2,FALSE)</f>
        <v>3</v>
      </c>
      <c r="AK40">
        <f ca="1">VLOOKUP(AI40,AE40:AH49,3,FALSE)</f>
        <v>0</v>
      </c>
      <c r="AL40">
        <f ca="1">VLOOKUP(AI40,AE40:AH49,4,FALSE)</f>
        <v>0</v>
      </c>
    </row>
    <row r="41" spans="6:38">
      <c r="F41" t="str">
        <f ca="1">AI29</f>
        <v>Canada</v>
      </c>
      <c r="J41">
        <f ca="1">VLOOKUP(F41,$F$16:$M$25,8,FALSE)</f>
        <v>3</v>
      </c>
      <c r="K41">
        <f ca="1">VLOOKUP(F41,$F$16:$M$25,6,FALSE)</f>
        <v>0</v>
      </c>
      <c r="L41">
        <f ca="1">VLOOKUP(F41,$F$16:$M$25,7,FALSE)</f>
        <v>0</v>
      </c>
      <c r="M41">
        <f ca="1">K41-L41</f>
        <v>0</v>
      </c>
      <c r="O41" t="str">
        <f ca="1">IF(AND(J40=J41,M40=M41,K41&gt;K40),F40,F41)</f>
        <v>Canada</v>
      </c>
      <c r="P41">
        <f ca="1">VLOOKUP(O41,$F$40:$M$49,5,FALSE)</f>
        <v>3</v>
      </c>
      <c r="Q41">
        <f ca="1">VLOOKUP(O41,$F$40:$M$49,8,FALSE)</f>
        <v>0</v>
      </c>
      <c r="R41">
        <f ca="1">VLOOKUP(O41,$F$40:$M$49,6,FALSE)</f>
        <v>0</v>
      </c>
      <c r="S41" t="str">
        <f ca="1">O41</f>
        <v>Canada</v>
      </c>
      <c r="T41">
        <f ca="1">VLOOKUP(S41,$O$40:$R$49,2,FALSE)</f>
        <v>3</v>
      </c>
      <c r="U41">
        <f ca="1">VLOOKUP(S41,$O$40:$R$49,3,FALSE)</f>
        <v>0</v>
      </c>
      <c r="V41">
        <f ca="1">VLOOKUP(S41,$O$40:$R$49,4,FALSE)</f>
        <v>0</v>
      </c>
      <c r="W41" t="str">
        <f ca="1">S41</f>
        <v>Canada</v>
      </c>
      <c r="X41">
        <f ca="1">VLOOKUP(W41,$S$40:$V$49,2,FALSE)</f>
        <v>3</v>
      </c>
      <c r="Y41">
        <f ca="1">VLOOKUP(W41,$S$40:$V$49,3,FALSE)</f>
        <v>0</v>
      </c>
      <c r="Z41">
        <f ca="1">VLOOKUP(W41,$S$40:$V$49,4,FALSE)</f>
        <v>0</v>
      </c>
      <c r="AA41" t="str">
        <f ca="1">IF(AND(X41=X42,Y41=Y42,Z42&gt;Z41),W42,W41)</f>
        <v>Canada</v>
      </c>
      <c r="AB41">
        <f ca="1">VLOOKUP(AA41,W40:Z49,2,FALSE)</f>
        <v>3</v>
      </c>
      <c r="AC41">
        <f ca="1">VLOOKUP(AA41,W40:Z49,3,FALSE)</f>
        <v>0</v>
      </c>
      <c r="AD41">
        <f ca="1">VLOOKUP(AA41,W40:Z49,4,FALSE)</f>
        <v>0</v>
      </c>
      <c r="AE41" t="str">
        <f ca="1">IF(AND(AB41=AB43,AC41=AC43,AD43&gt;AD41),AA43,AA41)</f>
        <v>Canada</v>
      </c>
      <c r="AF41">
        <f ca="1">VLOOKUP(AE41,AA40:AD49,2,FALSE)</f>
        <v>3</v>
      </c>
      <c r="AG41">
        <f ca="1">VLOOKUP(AE41,AA40:AD49,3,FALSE)</f>
        <v>0</v>
      </c>
      <c r="AH41">
        <f ca="1">VLOOKUP(AE41,AA40:AD49,4,FALSE)</f>
        <v>0</v>
      </c>
      <c r="AI41" t="str">
        <f ca="1">AE41</f>
        <v>Canada</v>
      </c>
      <c r="AJ41">
        <f ca="1">VLOOKUP(AI41,AE40:AH49,2,FALSE)</f>
        <v>3</v>
      </c>
      <c r="AK41">
        <f ca="1">VLOOKUP(AI41,AE40:AH49,3,FALSE)</f>
        <v>0</v>
      </c>
      <c r="AL41">
        <f ca="1">VLOOKUP(AI41,AE40:AH49,4,FALSE)</f>
        <v>0</v>
      </c>
    </row>
    <row r="42" spans="6:38">
      <c r="F42" t="str">
        <f ca="1">AI30</f>
        <v>Marruecos</v>
      </c>
      <c r="J42">
        <f ca="1">VLOOKUP(F42,$F$16:$M$25,8,FALSE)</f>
        <v>3</v>
      </c>
      <c r="K42">
        <f ca="1">VLOOKUP(F42,$F$16:$M$25,6,FALSE)</f>
        <v>0</v>
      </c>
      <c r="L42">
        <f ca="1">VLOOKUP(F42,$F$16:$M$25,7,FALSE)</f>
        <v>0</v>
      </c>
      <c r="M42">
        <f ca="1">K42-L42</f>
        <v>0</v>
      </c>
      <c r="O42" t="str">
        <f ca="1">F42</f>
        <v>Marruecos</v>
      </c>
      <c r="P42">
        <f ca="1">VLOOKUP(O42,$F$40:$M$49,5,FALSE)</f>
        <v>3</v>
      </c>
      <c r="Q42">
        <f ca="1">VLOOKUP(O42,$F$40:$M$49,8,FALSE)</f>
        <v>0</v>
      </c>
      <c r="R42">
        <f ca="1">VLOOKUP(O42,$F$40:$M$49,6,FALSE)</f>
        <v>0</v>
      </c>
      <c r="S42" t="str">
        <f ca="1">IF(AND(P40=P42,Q40=Q42,R42&gt;R40),O40,O42)</f>
        <v>Marruecos</v>
      </c>
      <c r="T42">
        <f ca="1">VLOOKUP(S42,$O$40:$R$49,2,FALSE)</f>
        <v>3</v>
      </c>
      <c r="U42">
        <f ca="1">VLOOKUP(S42,$O$40:$R$49,3,FALSE)</f>
        <v>0</v>
      </c>
      <c r="V42">
        <f ca="1">VLOOKUP(S42,$O$40:$R$49,4,FALSE)</f>
        <v>0</v>
      </c>
      <c r="W42" t="str">
        <f ca="1">S42</f>
        <v>Marruecos</v>
      </c>
      <c r="X42">
        <f ca="1">VLOOKUP(W42,$S$40:$V$49,2,FALSE)</f>
        <v>3</v>
      </c>
      <c r="Y42">
        <f ca="1">VLOOKUP(W42,$S$40:$V$49,3,FALSE)</f>
        <v>0</v>
      </c>
      <c r="Z42">
        <f ca="1">VLOOKUP(W42,$S$40:$V$49,4,FALSE)</f>
        <v>0</v>
      </c>
      <c r="AA42" t="str">
        <f ca="1">IF(AND(X41=X42,Y41=Y42,Z42&gt;Z41),W41,W42)</f>
        <v>Marruecos</v>
      </c>
      <c r="AB42">
        <f ca="1">VLOOKUP(AA42,W40:Z49,2,FALSE)</f>
        <v>3</v>
      </c>
      <c r="AC42">
        <f ca="1">VLOOKUP(AA42,W40:Z49,3,FALSE)</f>
        <v>0</v>
      </c>
      <c r="AD42">
        <f ca="1">VLOOKUP(AA42,W40:Z49,4,FALSE)</f>
        <v>0</v>
      </c>
      <c r="AE42" t="str">
        <f ca="1">AA42</f>
        <v>Marruecos</v>
      </c>
      <c r="AF42">
        <f ca="1">VLOOKUP(AE42,AA40:AD49,2,FALSE)</f>
        <v>3</v>
      </c>
      <c r="AG42">
        <f ca="1">VLOOKUP(AE42,AA40:AD49,3,FALSE)</f>
        <v>0</v>
      </c>
      <c r="AH42">
        <f ca="1">VLOOKUP(AE42,AA40:AD49,4,FALSE)</f>
        <v>0</v>
      </c>
      <c r="AI42" t="str">
        <f ca="1">IF(AND(AF42=AF43,AG42=AG43,AH43&gt;AH42),AE43,AE42)</f>
        <v>Marruecos</v>
      </c>
      <c r="AJ42">
        <f ca="1">VLOOKUP(AI42,AE40:AH49,2,FALSE)</f>
        <v>3</v>
      </c>
      <c r="AK42">
        <f ca="1">VLOOKUP(AI42,AE40:AH49,3,FALSE)</f>
        <v>0</v>
      </c>
      <c r="AL42">
        <f ca="1">VLOOKUP(AI42,AE40:AH49,4,FALSE)</f>
        <v>0</v>
      </c>
    </row>
    <row r="43" spans="6:38">
      <c r="F43" t="str">
        <f ca="1">AI31</f>
        <v>Croacia</v>
      </c>
      <c r="J43">
        <f ca="1">VLOOKUP(F43,$F$16:$M$25,8,FALSE)</f>
        <v>3</v>
      </c>
      <c r="K43">
        <f ca="1">VLOOKUP(F43,$F$16:$M$25,6,FALSE)</f>
        <v>0</v>
      </c>
      <c r="L43">
        <f ca="1">VLOOKUP(F43,$F$16:$M$25,7,FALSE)</f>
        <v>0</v>
      </c>
      <c r="M43">
        <f ca="1">K43-L43</f>
        <v>0</v>
      </c>
      <c r="O43" t="str">
        <f ca="1">F43</f>
        <v>Croacia</v>
      </c>
      <c r="P43">
        <f ca="1">VLOOKUP(O43,$F$40:$M$49,5,FALSE)</f>
        <v>3</v>
      </c>
      <c r="Q43">
        <f ca="1">VLOOKUP(O43,$F$40:$M$49,8,FALSE)</f>
        <v>0</v>
      </c>
      <c r="R43">
        <f ca="1">VLOOKUP(O43,$F$40:$M$49,6,FALSE)</f>
        <v>0</v>
      </c>
      <c r="S43" t="str">
        <f ca="1">O43</f>
        <v>Croacia</v>
      </c>
      <c r="T43">
        <f ca="1">VLOOKUP(S43,$O$40:$R$49,2,FALSE)</f>
        <v>3</v>
      </c>
      <c r="U43">
        <f ca="1">VLOOKUP(S43,$O$40:$R$49,3,FALSE)</f>
        <v>0</v>
      </c>
      <c r="V43">
        <f ca="1">VLOOKUP(S43,$O$40:$R$49,4,FALSE)</f>
        <v>0</v>
      </c>
      <c r="W43" t="str">
        <f ca="1">IF(AND(T40=T43,U40=U43,V43&gt;V40),S40,S43)</f>
        <v>Croacia</v>
      </c>
      <c r="X43">
        <f ca="1">VLOOKUP(W43,$S$40:$V$49,2,FALSE)</f>
        <v>3</v>
      </c>
      <c r="Y43">
        <f ca="1">VLOOKUP(W43,$S$40:$V$49,3,FALSE)</f>
        <v>0</v>
      </c>
      <c r="Z43">
        <f ca="1">VLOOKUP(W43,$S$40:$V$49,4,FALSE)</f>
        <v>0</v>
      </c>
      <c r="AA43" t="str">
        <f ca="1">W43</f>
        <v>Croacia</v>
      </c>
      <c r="AB43">
        <f ca="1">VLOOKUP(AA43,W40:Z49,2,FALSE)</f>
        <v>3</v>
      </c>
      <c r="AC43">
        <f ca="1">VLOOKUP(AA43,W40:Z49,3,FALSE)</f>
        <v>0</v>
      </c>
      <c r="AD43">
        <f ca="1">VLOOKUP(AA43,W40:Z49,4,FALSE)</f>
        <v>0</v>
      </c>
      <c r="AE43" t="str">
        <f ca="1">IF(AND(AB41=AB43,AC41=AC43,AD43&gt;AD41),AA41,AA43)</f>
        <v>Croacia</v>
      </c>
      <c r="AF43">
        <f ca="1">VLOOKUP(AE43,AA40:AD49,2,FALSE)</f>
        <v>3</v>
      </c>
      <c r="AG43">
        <f ca="1">VLOOKUP(AE43,AA40:AD49,3,FALSE)</f>
        <v>0</v>
      </c>
      <c r="AH43">
        <f ca="1">VLOOKUP(AE43,AA40:AD49,4,FALSE)</f>
        <v>0</v>
      </c>
      <c r="AI43" t="str">
        <f ca="1">IF(AND(AF42=AF43,AG42=AG43,AH43&gt;AH42),AE42,AE43)</f>
        <v>Croacia</v>
      </c>
      <c r="AJ43">
        <f ca="1">VLOOKUP(AI43,AE40:AH49,2,FALSE)</f>
        <v>3</v>
      </c>
      <c r="AK43">
        <f ca="1">VLOOKUP(AI43,AE40:AH49,3,FALSE)</f>
        <v>0</v>
      </c>
      <c r="AL43">
        <f ca="1">VLOOKUP(AI43,AE40:AH49,4,FALSE)</f>
        <v>0</v>
      </c>
    </row>
    <row r="51" spans="6:13">
      <c r="F51" t="s">
        <v>334</v>
      </c>
    </row>
    <row r="52" spans="6:13">
      <c r="F52" t="str">
        <f ca="1">AI40</f>
        <v>Belgica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Canada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Marruecos</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Croacia</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r57/NWG8o5r4UWpS4jLqamh/dEckk9l6m4IBlSh+v2o8JnvSCYYURj3yf+hHklKM1OlLvTGDf1buuyxyh8g9+g==" saltValue="V4XmULXm4n0n1fuHv4GLkA=="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8"/>
  <dimension ref="A2:AL55"/>
  <sheetViews>
    <sheetView showRowColHeaders="0" workbookViewId="0">
      <selection activeCell="I24" sqref="I24:I30"/>
    </sheetView>
  </sheetViews>
  <sheetFormatPr defaultRowHeight="12.6"/>
  <cols>
    <col min="1" max="1" width="9.85546875" bestFit="1" customWidth="1"/>
    <col min="2" max="2" width="2.140625" customWidth="1"/>
    <col min="3" max="3" width="1.5703125" bestFit="1" customWidth="1"/>
    <col min="4" max="4" width="2.42578125" customWidth="1"/>
    <col min="5" max="5" width="9.85546875" bestFit="1" customWidth="1"/>
    <col min="6" max="6" width="13.5703125" bestFit="1" customWidth="1"/>
    <col min="7" max="7" width="7.7109375" bestFit="1" customWidth="1"/>
    <col min="8" max="8" width="2.28515625" bestFit="1" customWidth="1"/>
    <col min="9" max="12" width="2" bestFit="1" customWidth="1"/>
    <col min="13" max="13" width="3.5703125" bestFit="1" customWidth="1"/>
    <col min="14" max="14" width="9.85546875" bestFit="1" customWidth="1"/>
    <col min="15" max="15" width="13" bestFit="1" customWidth="1"/>
    <col min="16" max="18" width="2" bestFit="1" customWidth="1"/>
    <col min="19" max="19" width="13" bestFit="1" customWidth="1"/>
    <col min="20" max="20" width="2" bestFit="1" customWidth="1"/>
    <col min="21" max="21" width="5.85546875" bestFit="1" customWidth="1"/>
    <col min="22" max="22" width="2.28515625" bestFit="1" customWidth="1"/>
    <col min="23" max="23" width="13" bestFit="1" customWidth="1"/>
    <col min="24" max="26" width="2" bestFit="1" customWidth="1"/>
    <col min="27" max="27" width="13" bestFit="1" customWidth="1"/>
    <col min="28" max="28" width="8.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E -'!U7&lt;&gt;"",'- E -'!U7,"")</f>
        <v>España</v>
      </c>
      <c r="N2" t="str">
        <f>IF('- E -'!U9&lt;&gt;"",'- E -'!U9,"")</f>
        <v>Costa Rica</v>
      </c>
      <c r="U2" t="str">
        <f>IF('- E -'!U11&lt;&gt;"",'- E -'!U11,"")</f>
        <v>Alemania</v>
      </c>
      <c r="AB2" t="str">
        <f>IF('- E -'!U13&lt;&gt;"",'- E -'!U13,"")</f>
        <v>Japon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E -'!B6</f>
        <v>España</v>
      </c>
      <c r="B4" s="127">
        <f>+'resultados oficiales'!C18</f>
        <v>0</v>
      </c>
      <c r="C4" s="1" t="str">
        <f>'- A -'!D6</f>
        <v>-</v>
      </c>
      <c r="D4" s="127">
        <f>+'resultados oficiales'!E18</f>
        <v>0</v>
      </c>
      <c r="E4" s="3" t="str">
        <f>'- E -'!F6</f>
        <v>Costa Rica</v>
      </c>
      <c r="F4" s="1">
        <f ca="1">COUNTBLANK('- E -'!C6:'- E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E -'!B7</f>
        <v>Alemania</v>
      </c>
      <c r="B5" s="127">
        <f>+'resultados oficiales'!C20</f>
        <v>0</v>
      </c>
      <c r="C5" s="1" t="str">
        <f>'- A -'!D7</f>
        <v>-</v>
      </c>
      <c r="D5" s="127">
        <f>+'resultados oficiales'!E20</f>
        <v>0</v>
      </c>
      <c r="E5" s="3" t="str">
        <f>'- E -'!F7</f>
        <v>Japon</v>
      </c>
      <c r="F5" s="1">
        <f ca="1">COUNTBLANK('- E -'!C7:'- E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E -'!B8</f>
        <v>España</v>
      </c>
      <c r="B6" s="127">
        <f>+'resultados oficiales'!C22</f>
        <v>0</v>
      </c>
      <c r="C6" s="1" t="str">
        <f>'- A -'!D8</f>
        <v>-</v>
      </c>
      <c r="D6" s="127">
        <f>+'resultados oficiales'!E22</f>
        <v>0</v>
      </c>
      <c r="E6" s="3" t="str">
        <f>'- E -'!F8</f>
        <v>Alemania</v>
      </c>
      <c r="F6" s="1">
        <f ca="1">COUNTBLANK('- E -'!C8:'- E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E -'!B9</f>
        <v>Japon</v>
      </c>
      <c r="B7" s="127">
        <f>+'resultados oficiales'!C24</f>
        <v>0</v>
      </c>
      <c r="C7" s="1" t="str">
        <f>'- A -'!D9</f>
        <v>-</v>
      </c>
      <c r="D7" s="127">
        <f>+'resultados oficiales'!E24</f>
        <v>0</v>
      </c>
      <c r="E7" s="3" t="str">
        <f>'- E -'!F9</f>
        <v>Costa Rica</v>
      </c>
      <c r="F7" s="1">
        <f ca="1">COUNTBLANK('- E -'!C9:'- E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E -'!B10</f>
        <v>Costa Rica</v>
      </c>
      <c r="B8" s="127">
        <f>+'resultados oficiales'!C26</f>
        <v>0</v>
      </c>
      <c r="C8" s="1" t="str">
        <f>'- A -'!D10</f>
        <v>-</v>
      </c>
      <c r="D8" s="127">
        <f>+'resultados oficiales'!E26</f>
        <v>0</v>
      </c>
      <c r="E8" s="3" t="str">
        <f>'- E -'!F10</f>
        <v>Alemania</v>
      </c>
      <c r="F8" s="1">
        <f ca="1">COUNTBLANK('- E -'!C10:'- E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E -'!B11</f>
        <v>Japon</v>
      </c>
      <c r="B9" s="127">
        <f>+'resultados oficiales'!C28</f>
        <v>0</v>
      </c>
      <c r="C9" s="1" t="str">
        <f>'- A -'!D11</f>
        <v>-</v>
      </c>
      <c r="D9" s="127">
        <f>+'resultados oficiales'!E28</f>
        <v>0</v>
      </c>
      <c r="E9" s="3" t="str">
        <f>'- E -'!F11</f>
        <v>España</v>
      </c>
      <c r="F9" s="1">
        <f ca="1">COUNTBLANK('- E -'!C11:'- E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España</v>
      </c>
      <c r="G16">
        <f t="shared" ref="G16:M16" ca="1" si="28">G10</f>
        <v>3</v>
      </c>
      <c r="H16">
        <f t="shared" ca="1" si="28"/>
        <v>0</v>
      </c>
      <c r="I16">
        <f t="shared" ca="1" si="28"/>
        <v>3</v>
      </c>
      <c r="J16">
        <f t="shared" ca="1" si="28"/>
        <v>0</v>
      </c>
      <c r="K16">
        <f t="shared" ca="1" si="28"/>
        <v>0</v>
      </c>
      <c r="L16">
        <f t="shared" ca="1" si="28"/>
        <v>0</v>
      </c>
      <c r="M16">
        <f t="shared" ca="1" si="28"/>
        <v>3</v>
      </c>
      <c r="O16" t="str">
        <f ca="1">IF($M16&gt;=$M17,$F16,$F17)</f>
        <v>España</v>
      </c>
      <c r="P16">
        <f ca="1">VLOOKUP(O16,$F$16:$M$25,8,FALSE)</f>
        <v>3</v>
      </c>
      <c r="S16" t="str">
        <f ca="1">IF($P16&gt;=$P18,$O16,$O18)</f>
        <v>España</v>
      </c>
      <c r="T16">
        <f ca="1">VLOOKUP(S16,$O$16:$P$25,2,FALSE)</f>
        <v>3</v>
      </c>
      <c r="W16" t="str">
        <f ca="1">IF($T16&gt;=$T19,$S16,$S19)</f>
        <v>España</v>
      </c>
      <c r="X16">
        <f ca="1">VLOOKUP(W16,$S$16:$T$25,2,FALSE)</f>
        <v>3</v>
      </c>
      <c r="AA16" t="str">
        <f ca="1">W16</f>
        <v>España</v>
      </c>
      <c r="AB16">
        <f ca="1">VLOOKUP(AA16,W16:X25,2,FALSE)</f>
        <v>3</v>
      </c>
      <c r="AE16" t="str">
        <f ca="1">AA16</f>
        <v>España</v>
      </c>
      <c r="AF16">
        <f ca="1">VLOOKUP(AE16,AA16:AB25,2,FALSE)</f>
        <v>3</v>
      </c>
      <c r="AI16" t="str">
        <f ca="1">AE16</f>
        <v>España</v>
      </c>
      <c r="AJ16">
        <f ca="1">VLOOKUP(AI16,AE16:AF25,2,FALSE)</f>
        <v>3</v>
      </c>
    </row>
    <row r="17" spans="6:37">
      <c r="F17" t="str">
        <f>N2</f>
        <v>Costa Rica</v>
      </c>
      <c r="G17">
        <f t="shared" ref="G17:M17" ca="1" si="29">N10</f>
        <v>3</v>
      </c>
      <c r="H17">
        <f t="shared" ca="1" si="29"/>
        <v>0</v>
      </c>
      <c r="I17">
        <f t="shared" ca="1" si="29"/>
        <v>3</v>
      </c>
      <c r="J17">
        <f t="shared" ca="1" si="29"/>
        <v>0</v>
      </c>
      <c r="K17">
        <f t="shared" ca="1" si="29"/>
        <v>0</v>
      </c>
      <c r="L17">
        <f t="shared" ca="1" si="29"/>
        <v>0</v>
      </c>
      <c r="M17">
        <f t="shared" ca="1" si="29"/>
        <v>3</v>
      </c>
      <c r="O17" t="str">
        <f ca="1">IF($M17&lt;=$M16,$F17,$F16)</f>
        <v>Costa Rica</v>
      </c>
      <c r="P17">
        <f ca="1">VLOOKUP(O17,$F$16:$M$25,8,FALSE)</f>
        <v>3</v>
      </c>
      <c r="S17" t="str">
        <f ca="1">O17</f>
        <v>Costa Rica</v>
      </c>
      <c r="T17">
        <f ca="1">VLOOKUP(S17,$O$16:$P$25,2,FALSE)</f>
        <v>3</v>
      </c>
      <c r="W17" t="str">
        <f ca="1">S17</f>
        <v>Costa Rica</v>
      </c>
      <c r="X17">
        <f ca="1">VLOOKUP(W17,$S$16:$T$25,2,FALSE)</f>
        <v>3</v>
      </c>
      <c r="AA17" t="str">
        <f ca="1">IF(X17&gt;=X18,W17,W18)</f>
        <v>Costa Rica</v>
      </c>
      <c r="AB17">
        <f ca="1">VLOOKUP(AA17,W16:X25,2,FALSE)</f>
        <v>3</v>
      </c>
      <c r="AE17" t="str">
        <f ca="1">IF(AB17&gt;=AB19,AA17,AA19)</f>
        <v>Costa Rica</v>
      </c>
      <c r="AF17">
        <f ca="1">VLOOKUP(AE17,AA16:AB25,2,FALSE)</f>
        <v>3</v>
      </c>
      <c r="AI17" t="str">
        <f ca="1">AE17</f>
        <v>Costa Rica</v>
      </c>
      <c r="AJ17">
        <f ca="1">VLOOKUP(AI17,AE16:AF25,2,FALSE)</f>
        <v>3</v>
      </c>
    </row>
    <row r="18" spans="6:37">
      <c r="F18" t="str">
        <f>U2</f>
        <v>Alemania</v>
      </c>
      <c r="G18">
        <f t="shared" ref="G18:M18" ca="1" si="30">U10</f>
        <v>3</v>
      </c>
      <c r="H18">
        <f t="shared" ca="1" si="30"/>
        <v>0</v>
      </c>
      <c r="I18">
        <f t="shared" ca="1" si="30"/>
        <v>3</v>
      </c>
      <c r="J18">
        <f t="shared" ca="1" si="30"/>
        <v>0</v>
      </c>
      <c r="K18">
        <f t="shared" ca="1" si="30"/>
        <v>0</v>
      </c>
      <c r="L18">
        <f t="shared" ca="1" si="30"/>
        <v>0</v>
      </c>
      <c r="M18">
        <f t="shared" ca="1" si="30"/>
        <v>3</v>
      </c>
      <c r="O18" t="str">
        <f>F18</f>
        <v>Alemania</v>
      </c>
      <c r="P18">
        <f ca="1">VLOOKUP(O18,$F$16:$M$25,8,FALSE)</f>
        <v>3</v>
      </c>
      <c r="S18" t="str">
        <f ca="1">IF($P18&lt;=$P16,$O18,$O16)</f>
        <v>Alemania</v>
      </c>
      <c r="T18">
        <f ca="1">VLOOKUP(S18,$O$16:$P$25,2,FALSE)</f>
        <v>3</v>
      </c>
      <c r="W18" t="str">
        <f ca="1">S18</f>
        <v>Alemania</v>
      </c>
      <c r="X18">
        <f ca="1">VLOOKUP(W18,$S$16:$T$25,2,FALSE)</f>
        <v>3</v>
      </c>
      <c r="AA18" t="str">
        <f ca="1">IF(X18&lt;=X17,W18,W17)</f>
        <v>Alemania</v>
      </c>
      <c r="AB18">
        <f ca="1">VLOOKUP(AA18,W16:X25,2,FALSE)</f>
        <v>3</v>
      </c>
      <c r="AE18" t="str">
        <f ca="1">AA18</f>
        <v>Alemania</v>
      </c>
      <c r="AF18">
        <f ca="1">VLOOKUP(AE18,AA16:AB25,2,FALSE)</f>
        <v>3</v>
      </c>
      <c r="AI18" t="str">
        <f ca="1">IF(AF18&gt;=AF19,AE18,AE19)</f>
        <v>Alemania</v>
      </c>
      <c r="AJ18">
        <f ca="1">VLOOKUP(AI18,AE16:AF25,2,FALSE)</f>
        <v>3</v>
      </c>
    </row>
    <row r="19" spans="6:37">
      <c r="F19" t="str">
        <f>AB2</f>
        <v>Japon</v>
      </c>
      <c r="G19">
        <f t="shared" ref="G19:M19" ca="1" si="31">AB10</f>
        <v>3</v>
      </c>
      <c r="H19">
        <f t="shared" ca="1" si="31"/>
        <v>0</v>
      </c>
      <c r="I19">
        <f t="shared" ca="1" si="31"/>
        <v>3</v>
      </c>
      <c r="J19">
        <f t="shared" ca="1" si="31"/>
        <v>0</v>
      </c>
      <c r="K19">
        <f t="shared" ca="1" si="31"/>
        <v>0</v>
      </c>
      <c r="L19">
        <f t="shared" ca="1" si="31"/>
        <v>0</v>
      </c>
      <c r="M19">
        <f t="shared" ca="1" si="31"/>
        <v>3</v>
      </c>
      <c r="O19" t="str">
        <f>F19</f>
        <v>Japon</v>
      </c>
      <c r="P19">
        <f ca="1">VLOOKUP(O19,$F$16:$M$25,8,FALSE)</f>
        <v>3</v>
      </c>
      <c r="S19" t="str">
        <f>O19</f>
        <v>Japon</v>
      </c>
      <c r="T19">
        <f ca="1">VLOOKUP(S19,$O$16:$P$25,2,FALSE)</f>
        <v>3</v>
      </c>
      <c r="W19" t="str">
        <f ca="1">IF($T19&lt;=$T16,$S19,$S16)</f>
        <v>Japon</v>
      </c>
      <c r="X19">
        <f ca="1">VLOOKUP(W19,$S$16:$T$25,2,FALSE)</f>
        <v>3</v>
      </c>
      <c r="AA19" t="str">
        <f ca="1">W19</f>
        <v>Japon</v>
      </c>
      <c r="AB19">
        <f ca="1">VLOOKUP(AA19,W16:X25,2,FALSE)</f>
        <v>3</v>
      </c>
      <c r="AE19" t="str">
        <f ca="1">IF(AB19&lt;=AB17,AA19,AA17)</f>
        <v>Japon</v>
      </c>
      <c r="AF19">
        <f ca="1">VLOOKUP(AE19,AA16:AB25,2,FALSE)</f>
        <v>3</v>
      </c>
      <c r="AI19" t="str">
        <f ca="1">IF(AF19&lt;=AF18,AE19,AE18)</f>
        <v>Japon</v>
      </c>
      <c r="AJ19">
        <f ca="1">VLOOKUP(AI19,AE16:AF25,2,FALSE)</f>
        <v>3</v>
      </c>
    </row>
    <row r="28" spans="6:37">
      <c r="F28" t="str">
        <f ca="1">AI16</f>
        <v>España</v>
      </c>
      <c r="J28">
        <f ca="1">AJ16</f>
        <v>3</v>
      </c>
      <c r="K28">
        <f ca="1">VLOOKUP(AI16,$F$16:$M$25,6,FALSE)</f>
        <v>0</v>
      </c>
      <c r="L28">
        <f ca="1">VLOOKUP(AI16,$F$16:$M$25,7,FALSE)</f>
        <v>0</v>
      </c>
      <c r="M28">
        <f ca="1">K28-L28</f>
        <v>0</v>
      </c>
      <c r="O28" t="str">
        <f ca="1">IF(AND($J28=$J29,$M29&gt;$M28),$F29,$F28)</f>
        <v>España</v>
      </c>
      <c r="P28">
        <f ca="1">VLOOKUP(O28,$F$28:$M$37,5,FALSE)</f>
        <v>3</v>
      </c>
      <c r="Q28">
        <f ca="1">VLOOKUP(O28,$F$28:$M$37,8,FALSE)</f>
        <v>0</v>
      </c>
      <c r="S28" t="str">
        <f ca="1">IF(AND(P28=P30,Q30&gt;Q28),O30,O28)</f>
        <v>España</v>
      </c>
      <c r="T28">
        <f ca="1">VLOOKUP(S28,$O$28:$Q$37,2,FALSE)</f>
        <v>3</v>
      </c>
      <c r="U28">
        <f ca="1">VLOOKUP(S28,$O$28:$Q$37,3,FALSE)</f>
        <v>0</v>
      </c>
      <c r="W28" t="str">
        <f ca="1">IF(AND(T28=T31,U31&gt;U28),S31,S28)</f>
        <v>España</v>
      </c>
      <c r="X28">
        <f ca="1">VLOOKUP(W28,$S$28:$U$37,2,FALSE)</f>
        <v>3</v>
      </c>
      <c r="Y28">
        <f ca="1">VLOOKUP(W28,$S$28:$U$37,3,FALSE)</f>
        <v>0</v>
      </c>
      <c r="AA28" t="str">
        <f ca="1">W28</f>
        <v>España</v>
      </c>
      <c r="AB28">
        <f ca="1">VLOOKUP(AA28,W28:Y37,2,FALSE)</f>
        <v>3</v>
      </c>
      <c r="AC28">
        <f ca="1">VLOOKUP(AA28,W28:Y37,3,FALSE)</f>
        <v>0</v>
      </c>
      <c r="AE28" t="str">
        <f ca="1">AA28</f>
        <v>España</v>
      </c>
      <c r="AF28">
        <f ca="1">VLOOKUP(AE28,AA28:AC37,2,FALSE)</f>
        <v>3</v>
      </c>
      <c r="AG28">
        <f ca="1">VLOOKUP(AE28,AA28:AC37,3,FALSE)</f>
        <v>0</v>
      </c>
      <c r="AI28" t="str">
        <f ca="1">AE28</f>
        <v>España</v>
      </c>
      <c r="AJ28">
        <f ca="1">VLOOKUP(AI28,AE28:AG37,2,FALSE)</f>
        <v>3</v>
      </c>
      <c r="AK28">
        <f ca="1">VLOOKUP(AI28,AE28:AG37,3,FALSE)</f>
        <v>0</v>
      </c>
    </row>
    <row r="29" spans="6:37">
      <c r="F29" t="str">
        <f ca="1">AI17</f>
        <v>Costa Rica</v>
      </c>
      <c r="J29">
        <f ca="1">AJ17</f>
        <v>3</v>
      </c>
      <c r="K29">
        <f ca="1">VLOOKUP(AI17,$F$16:$M$25,6,FALSE)</f>
        <v>0</v>
      </c>
      <c r="L29">
        <f ca="1">VLOOKUP(AI17,$F$16:$M$25,7,FALSE)</f>
        <v>0</v>
      </c>
      <c r="M29">
        <f ca="1">K29-L29</f>
        <v>0</v>
      </c>
      <c r="O29" t="str">
        <f ca="1">IF(AND($J28=$J29,$M29&gt;$M28),$F28,$F29)</f>
        <v>Costa Rica</v>
      </c>
      <c r="P29">
        <f ca="1">VLOOKUP(O29,$F$28:$M$37,5,FALSE)</f>
        <v>3</v>
      </c>
      <c r="Q29">
        <f ca="1">VLOOKUP(O29,$F$28:$M$37,8,FALSE)</f>
        <v>0</v>
      </c>
      <c r="S29" t="str">
        <f ca="1">O29</f>
        <v>Costa Rica</v>
      </c>
      <c r="T29">
        <f ca="1">VLOOKUP(S29,$O$28:$Q$37,2,FALSE)</f>
        <v>3</v>
      </c>
      <c r="U29">
        <f ca="1">VLOOKUP(S29,$O$28:$Q$37,3,FALSE)</f>
        <v>0</v>
      </c>
      <c r="W29" t="str">
        <f ca="1">S29</f>
        <v>Costa Rica</v>
      </c>
      <c r="X29">
        <f ca="1">VLOOKUP(W29,$S$28:$U$37,2,FALSE)</f>
        <v>3</v>
      </c>
      <c r="Y29">
        <f ca="1">VLOOKUP(W29,$S$28:$U$37,3,FALSE)</f>
        <v>0</v>
      </c>
      <c r="AA29" t="str">
        <f ca="1">IF(AND(X29=X30,Y30&gt;Y29),W30,W29)</f>
        <v>Costa Rica</v>
      </c>
      <c r="AB29">
        <f ca="1">VLOOKUP(AA29,W28:Y37,2,FALSE)</f>
        <v>3</v>
      </c>
      <c r="AC29">
        <f ca="1">VLOOKUP(AA29,W28:Y37,3,FALSE)</f>
        <v>0</v>
      </c>
      <c r="AE29" t="str">
        <f ca="1">IF(AND(AB29=AB31,AC31&gt;AC29),AA31,AA29)</f>
        <v>Costa Rica</v>
      </c>
      <c r="AF29">
        <f ca="1">VLOOKUP(AE29,AA28:AC37,2,FALSE)</f>
        <v>3</v>
      </c>
      <c r="AG29">
        <f ca="1">VLOOKUP(AE29,AA28:AC37,3,FALSE)</f>
        <v>0</v>
      </c>
      <c r="AI29" t="str">
        <f ca="1">AE29</f>
        <v>Costa Rica</v>
      </c>
      <c r="AJ29">
        <f ca="1">VLOOKUP(AI29,AE28:AG37,2,FALSE)</f>
        <v>3</v>
      </c>
      <c r="AK29">
        <f ca="1">VLOOKUP(AI29,AE28:AG37,3,FALSE)</f>
        <v>0</v>
      </c>
    </row>
    <row r="30" spans="6:37">
      <c r="F30" t="str">
        <f ca="1">AI18</f>
        <v>Alemania</v>
      </c>
      <c r="J30">
        <f ca="1">AJ18</f>
        <v>3</v>
      </c>
      <c r="K30">
        <f ca="1">VLOOKUP(AI18,$F$16:$M$25,6,FALSE)</f>
        <v>0</v>
      </c>
      <c r="L30">
        <f ca="1">VLOOKUP(AI18,$F$16:$M$25,7,FALSE)</f>
        <v>0</v>
      </c>
      <c r="M30">
        <f ca="1">K30-L30</f>
        <v>0</v>
      </c>
      <c r="O30" t="str">
        <f ca="1">F30</f>
        <v>Alemania</v>
      </c>
      <c r="P30">
        <f ca="1">VLOOKUP(O30,$F$28:$M$37,5,FALSE)</f>
        <v>3</v>
      </c>
      <c r="Q30">
        <f ca="1">VLOOKUP(O30,$F$28:$M$37,8,FALSE)</f>
        <v>0</v>
      </c>
      <c r="S30" t="str">
        <f ca="1">IF(AND($P28=P30,Q30&gt;Q28),O28,O30)</f>
        <v>Alemania</v>
      </c>
      <c r="T30">
        <f ca="1">VLOOKUP(S30,$O$28:$Q$37,2,FALSE)</f>
        <v>3</v>
      </c>
      <c r="U30">
        <f ca="1">VLOOKUP(S30,$O$28:$Q$37,3,FALSE)</f>
        <v>0</v>
      </c>
      <c r="W30" t="str">
        <f ca="1">S30</f>
        <v>Alemania</v>
      </c>
      <c r="X30">
        <f ca="1">VLOOKUP(W30,$S$28:$U$37,2,FALSE)</f>
        <v>3</v>
      </c>
      <c r="Y30">
        <f ca="1">VLOOKUP(W30,$S$28:$U$37,3,FALSE)</f>
        <v>0</v>
      </c>
      <c r="AA30" t="str">
        <f ca="1">IF(AND(X29=X30,Y30&gt;Y29),W29,W30)</f>
        <v>Alemania</v>
      </c>
      <c r="AB30">
        <f ca="1">VLOOKUP(AA30,W28:Y37,2,FALSE)</f>
        <v>3</v>
      </c>
      <c r="AC30">
        <f ca="1">VLOOKUP(AA30,W28:Y37,3,FALSE)</f>
        <v>0</v>
      </c>
      <c r="AE30" t="str">
        <f ca="1">AA30</f>
        <v>Alemania</v>
      </c>
      <c r="AF30">
        <f ca="1">VLOOKUP(AE30,AA28:AC37,2,FALSE)</f>
        <v>3</v>
      </c>
      <c r="AG30">
        <f ca="1">VLOOKUP(AE30,AA28:AC37,3,FALSE)</f>
        <v>0</v>
      </c>
      <c r="AI30" t="str">
        <f ca="1">IF(AND(AF30=AF31,AG31&gt;AG30),AE31,AE30)</f>
        <v>Alemania</v>
      </c>
      <c r="AJ30">
        <f ca="1">VLOOKUP(AI30,AE28:AG37,2,FALSE)</f>
        <v>3</v>
      </c>
      <c r="AK30">
        <f ca="1">VLOOKUP(AI30,AE28:AG37,3,FALSE)</f>
        <v>0</v>
      </c>
    </row>
    <row r="31" spans="6:37">
      <c r="F31" t="str">
        <f ca="1">AI19</f>
        <v>Japon</v>
      </c>
      <c r="J31">
        <f ca="1">AJ19</f>
        <v>3</v>
      </c>
      <c r="K31">
        <f ca="1">VLOOKUP(AI19,$F$16:$M$25,6,FALSE)</f>
        <v>0</v>
      </c>
      <c r="L31">
        <f ca="1">VLOOKUP(AI19,$F$16:$M$25,7,FALSE)</f>
        <v>0</v>
      </c>
      <c r="M31">
        <f ca="1">K31-L31</f>
        <v>0</v>
      </c>
      <c r="O31" t="str">
        <f ca="1">F31</f>
        <v>Japon</v>
      </c>
      <c r="P31">
        <f ca="1">VLOOKUP(O31,$F$28:$M$37,5,FALSE)</f>
        <v>3</v>
      </c>
      <c r="Q31">
        <f ca="1">VLOOKUP(O31,$F$28:$M$37,8,FALSE)</f>
        <v>0</v>
      </c>
      <c r="S31" t="str">
        <f ca="1">O31</f>
        <v>Japon</v>
      </c>
      <c r="T31">
        <f ca="1">VLOOKUP(S31,$O$28:$Q$37,2,FALSE)</f>
        <v>3</v>
      </c>
      <c r="U31">
        <f ca="1">VLOOKUP(S31,$O$28:$Q$37,3,FALSE)</f>
        <v>0</v>
      </c>
      <c r="W31" t="str">
        <f ca="1">IF(AND(T28=T31,U31&gt;U28),S28,S31)</f>
        <v>Japon</v>
      </c>
      <c r="X31">
        <f ca="1">VLOOKUP(W31,$S$28:$U$37,2,FALSE)</f>
        <v>3</v>
      </c>
      <c r="Y31">
        <f ca="1">VLOOKUP(W31,$S$28:$U$37,3,FALSE)</f>
        <v>0</v>
      </c>
      <c r="AA31" t="str">
        <f ca="1">W31</f>
        <v>Japon</v>
      </c>
      <c r="AB31">
        <f ca="1">VLOOKUP(AA31,W28:Y37,2,FALSE)</f>
        <v>3</v>
      </c>
      <c r="AC31">
        <f ca="1">VLOOKUP(AA31,W28:Y37,3,FALSE)</f>
        <v>0</v>
      </c>
      <c r="AE31" t="str">
        <f ca="1">IF(AND(AB29=AB31,AC31&gt;AC29),AA29,AA31)</f>
        <v>Japon</v>
      </c>
      <c r="AF31">
        <f ca="1">VLOOKUP(AE31,AA28:AC37,2,FALSE)</f>
        <v>3</v>
      </c>
      <c r="AG31">
        <f ca="1">VLOOKUP(AE31,AA28:AC37,3,FALSE)</f>
        <v>0</v>
      </c>
      <c r="AI31" t="str">
        <f ca="1">IF(AND(AF30=AF31,AG31&gt;AG30),AE30,AE31)</f>
        <v>Japon</v>
      </c>
      <c r="AJ31">
        <f ca="1">VLOOKUP(AI31,AE28:AG37,2,FALSE)</f>
        <v>3</v>
      </c>
      <c r="AK31">
        <f ca="1">VLOOKUP(AI31,AE28:AG37,3,FALSE)</f>
        <v>0</v>
      </c>
    </row>
    <row r="40" spans="6:38">
      <c r="F40" t="str">
        <f ca="1">AI28</f>
        <v>España</v>
      </c>
      <c r="J40">
        <f ca="1">VLOOKUP(F40,$F$16:$M$25,8,FALSE)</f>
        <v>3</v>
      </c>
      <c r="K40">
        <f ca="1">VLOOKUP(F40,$F$16:$M$25,6,FALSE)</f>
        <v>0</v>
      </c>
      <c r="L40">
        <f ca="1">VLOOKUP(F40,$F$16:$M$25,7,FALSE)</f>
        <v>0</v>
      </c>
      <c r="M40">
        <f ca="1">K40-L40</f>
        <v>0</v>
      </c>
      <c r="O40" t="str">
        <f ca="1">IF(AND(J40=J41,M40=M41,K41&gt;K40),F41,F40)</f>
        <v>España</v>
      </c>
      <c r="P40">
        <f ca="1">VLOOKUP(O40,$F$40:$M$49,5,FALSE)</f>
        <v>3</v>
      </c>
      <c r="Q40">
        <f ca="1">VLOOKUP(O40,$F$40:$M$49,8,FALSE)</f>
        <v>0</v>
      </c>
      <c r="R40">
        <f ca="1">VLOOKUP(O40,$F$40:$M$49,6,FALSE)</f>
        <v>0</v>
      </c>
      <c r="S40" t="str">
        <f ca="1">IF(AND(P40=P42,Q40=Q42,R42&gt;R40),O42,O40)</f>
        <v>España</v>
      </c>
      <c r="T40">
        <f ca="1">VLOOKUP(S40,$O$40:$R$49,2,FALSE)</f>
        <v>3</v>
      </c>
      <c r="U40">
        <f ca="1">VLOOKUP(S40,$O$40:$R$49,3,FALSE)</f>
        <v>0</v>
      </c>
      <c r="V40">
        <f ca="1">VLOOKUP(S40,$O$40:$R$49,4,FALSE)</f>
        <v>0</v>
      </c>
      <c r="W40" t="str">
        <f ca="1">IF(AND(T40=T43,U40=U43,V43&gt;V40),S43,S40)</f>
        <v>España</v>
      </c>
      <c r="X40">
        <f ca="1">VLOOKUP(W40,$S$40:$V$49,2,FALSE)</f>
        <v>3</v>
      </c>
      <c r="Y40">
        <f ca="1">VLOOKUP(W40,$S$40:$V$49,3,FALSE)</f>
        <v>0</v>
      </c>
      <c r="Z40">
        <f ca="1">VLOOKUP(W40,$S$40:$V$49,4,FALSE)</f>
        <v>0</v>
      </c>
      <c r="AA40" t="str">
        <f ca="1">W40</f>
        <v>España</v>
      </c>
      <c r="AB40">
        <f ca="1">VLOOKUP(AA40,W40:Z49,2,FALSE)</f>
        <v>3</v>
      </c>
      <c r="AC40">
        <f ca="1">VLOOKUP(AA40,W40:Z49,3,FALSE)</f>
        <v>0</v>
      </c>
      <c r="AD40">
        <f ca="1">VLOOKUP(AA40,W40:Z49,4,FALSE)</f>
        <v>0</v>
      </c>
      <c r="AE40" t="str">
        <f ca="1">AA40</f>
        <v>España</v>
      </c>
      <c r="AF40">
        <f ca="1">VLOOKUP(AE40,AA40:AD49,2,FALSE)</f>
        <v>3</v>
      </c>
      <c r="AG40">
        <f ca="1">VLOOKUP(AE40,AA40:AD49,3,FALSE)</f>
        <v>0</v>
      </c>
      <c r="AH40">
        <f ca="1">VLOOKUP(AE40,AA40:AD49,4,FALSE)</f>
        <v>0</v>
      </c>
      <c r="AI40" t="str">
        <f ca="1">AE40</f>
        <v>España</v>
      </c>
      <c r="AJ40">
        <f ca="1">VLOOKUP(AI40,AE40:AH49,2,FALSE)</f>
        <v>3</v>
      </c>
      <c r="AK40">
        <f ca="1">VLOOKUP(AI40,AE40:AH49,3,FALSE)</f>
        <v>0</v>
      </c>
      <c r="AL40">
        <f ca="1">VLOOKUP(AI40,AE40:AH49,4,FALSE)</f>
        <v>0</v>
      </c>
    </row>
    <row r="41" spans="6:38">
      <c r="F41" t="str">
        <f ca="1">AI29</f>
        <v>Costa Rica</v>
      </c>
      <c r="J41">
        <f ca="1">VLOOKUP(F41,$F$16:$M$25,8,FALSE)</f>
        <v>3</v>
      </c>
      <c r="K41">
        <f ca="1">VLOOKUP(F41,$F$16:$M$25,6,FALSE)</f>
        <v>0</v>
      </c>
      <c r="L41">
        <f ca="1">VLOOKUP(F41,$F$16:$M$25,7,FALSE)</f>
        <v>0</v>
      </c>
      <c r="M41">
        <f ca="1">K41-L41</f>
        <v>0</v>
      </c>
      <c r="O41" t="str">
        <f ca="1">IF(AND(J40=J41,M40=M41,K41&gt;K40),F40,F41)</f>
        <v>Costa Rica</v>
      </c>
      <c r="P41">
        <f ca="1">VLOOKUP(O41,$F$40:$M$49,5,FALSE)</f>
        <v>3</v>
      </c>
      <c r="Q41">
        <f ca="1">VLOOKUP(O41,$F$40:$M$49,8,FALSE)</f>
        <v>0</v>
      </c>
      <c r="R41">
        <f ca="1">VLOOKUP(O41,$F$40:$M$49,6,FALSE)</f>
        <v>0</v>
      </c>
      <c r="S41" t="str">
        <f ca="1">O41</f>
        <v>Costa Rica</v>
      </c>
      <c r="T41">
        <f ca="1">VLOOKUP(S41,$O$40:$R$49,2,FALSE)</f>
        <v>3</v>
      </c>
      <c r="U41">
        <f ca="1">VLOOKUP(S41,$O$40:$R$49,3,FALSE)</f>
        <v>0</v>
      </c>
      <c r="V41">
        <f ca="1">VLOOKUP(S41,$O$40:$R$49,4,FALSE)</f>
        <v>0</v>
      </c>
      <c r="W41" t="str">
        <f ca="1">S41</f>
        <v>Costa Rica</v>
      </c>
      <c r="X41">
        <f ca="1">VLOOKUP(W41,$S$40:$V$49,2,FALSE)</f>
        <v>3</v>
      </c>
      <c r="Y41">
        <f ca="1">VLOOKUP(W41,$S$40:$V$49,3,FALSE)</f>
        <v>0</v>
      </c>
      <c r="Z41">
        <f ca="1">VLOOKUP(W41,$S$40:$V$49,4,FALSE)</f>
        <v>0</v>
      </c>
      <c r="AA41" t="str">
        <f ca="1">IF(AND(X41=X42,Y41=Y42,Z42&gt;Z41),W42,W41)</f>
        <v>Costa Rica</v>
      </c>
      <c r="AB41">
        <f ca="1">VLOOKUP(AA41,W40:Z49,2,FALSE)</f>
        <v>3</v>
      </c>
      <c r="AC41">
        <f ca="1">VLOOKUP(AA41,W40:Z49,3,FALSE)</f>
        <v>0</v>
      </c>
      <c r="AD41">
        <f ca="1">VLOOKUP(AA41,W40:Z49,4,FALSE)</f>
        <v>0</v>
      </c>
      <c r="AE41" t="str">
        <f ca="1">IF(AND(AB41=AB43,AC41=AC43,AD43&gt;AD41),AA43,AA41)</f>
        <v>Costa Rica</v>
      </c>
      <c r="AF41">
        <f ca="1">VLOOKUP(AE41,AA40:AD49,2,FALSE)</f>
        <v>3</v>
      </c>
      <c r="AG41">
        <f ca="1">VLOOKUP(AE41,AA40:AD49,3,FALSE)</f>
        <v>0</v>
      </c>
      <c r="AH41">
        <f ca="1">VLOOKUP(AE41,AA40:AD49,4,FALSE)</f>
        <v>0</v>
      </c>
      <c r="AI41" t="str">
        <f ca="1">AE41</f>
        <v>Costa Rica</v>
      </c>
      <c r="AJ41">
        <f ca="1">VLOOKUP(AI41,AE40:AH49,2,FALSE)</f>
        <v>3</v>
      </c>
      <c r="AK41">
        <f ca="1">VLOOKUP(AI41,AE40:AH49,3,FALSE)</f>
        <v>0</v>
      </c>
      <c r="AL41">
        <f ca="1">VLOOKUP(AI41,AE40:AH49,4,FALSE)</f>
        <v>0</v>
      </c>
    </row>
    <row r="42" spans="6:38">
      <c r="F42" t="str">
        <f ca="1">AI30</f>
        <v>Alemania</v>
      </c>
      <c r="J42">
        <f ca="1">VLOOKUP(F42,$F$16:$M$25,8,FALSE)</f>
        <v>3</v>
      </c>
      <c r="K42">
        <f ca="1">VLOOKUP(F42,$F$16:$M$25,6,FALSE)</f>
        <v>0</v>
      </c>
      <c r="L42">
        <f ca="1">VLOOKUP(F42,$F$16:$M$25,7,FALSE)</f>
        <v>0</v>
      </c>
      <c r="M42">
        <f ca="1">K42-L42</f>
        <v>0</v>
      </c>
      <c r="O42" t="str">
        <f ca="1">F42</f>
        <v>Alemania</v>
      </c>
      <c r="P42">
        <f ca="1">VLOOKUP(O42,$F$40:$M$49,5,FALSE)</f>
        <v>3</v>
      </c>
      <c r="Q42">
        <f ca="1">VLOOKUP(O42,$F$40:$M$49,8,FALSE)</f>
        <v>0</v>
      </c>
      <c r="R42">
        <f ca="1">VLOOKUP(O42,$F$40:$M$49,6,FALSE)</f>
        <v>0</v>
      </c>
      <c r="S42" t="str">
        <f ca="1">IF(AND(P40=P42,Q40=Q42,R42&gt;R40),O40,O42)</f>
        <v>Alemania</v>
      </c>
      <c r="T42">
        <f ca="1">VLOOKUP(S42,$O$40:$R$49,2,FALSE)</f>
        <v>3</v>
      </c>
      <c r="U42">
        <f ca="1">VLOOKUP(S42,$O$40:$R$49,3,FALSE)</f>
        <v>0</v>
      </c>
      <c r="V42">
        <f ca="1">VLOOKUP(S42,$O$40:$R$49,4,FALSE)</f>
        <v>0</v>
      </c>
      <c r="W42" t="str">
        <f ca="1">S42</f>
        <v>Alemania</v>
      </c>
      <c r="X42">
        <f ca="1">VLOOKUP(W42,$S$40:$V$49,2,FALSE)</f>
        <v>3</v>
      </c>
      <c r="Y42">
        <f ca="1">VLOOKUP(W42,$S$40:$V$49,3,FALSE)</f>
        <v>0</v>
      </c>
      <c r="Z42">
        <f ca="1">VLOOKUP(W42,$S$40:$V$49,4,FALSE)</f>
        <v>0</v>
      </c>
      <c r="AA42" t="str">
        <f ca="1">IF(AND(X41=X42,Y41=Y42,Z42&gt;Z41),W41,W42)</f>
        <v>Alemania</v>
      </c>
      <c r="AB42">
        <f ca="1">VLOOKUP(AA42,W40:Z49,2,FALSE)</f>
        <v>3</v>
      </c>
      <c r="AC42">
        <f ca="1">VLOOKUP(AA42,W40:Z49,3,FALSE)</f>
        <v>0</v>
      </c>
      <c r="AD42">
        <f ca="1">VLOOKUP(AA42,W40:Z49,4,FALSE)</f>
        <v>0</v>
      </c>
      <c r="AE42" t="str">
        <f ca="1">AA42</f>
        <v>Alemania</v>
      </c>
      <c r="AF42">
        <f ca="1">VLOOKUP(AE42,AA40:AD49,2,FALSE)</f>
        <v>3</v>
      </c>
      <c r="AG42">
        <f ca="1">VLOOKUP(AE42,AA40:AD49,3,FALSE)</f>
        <v>0</v>
      </c>
      <c r="AH42">
        <f ca="1">VLOOKUP(AE42,AA40:AD49,4,FALSE)</f>
        <v>0</v>
      </c>
      <c r="AI42" t="str">
        <f ca="1">IF(AND(AF42=AF43,AG42=AG43,AH43&gt;AH42),AE43,AE42)</f>
        <v>Alemania</v>
      </c>
      <c r="AJ42">
        <f ca="1">VLOOKUP(AI42,AE40:AH49,2,FALSE)</f>
        <v>3</v>
      </c>
      <c r="AK42">
        <f ca="1">VLOOKUP(AI42,AE40:AH49,3,FALSE)</f>
        <v>0</v>
      </c>
      <c r="AL42">
        <f ca="1">VLOOKUP(AI42,AE40:AH49,4,FALSE)</f>
        <v>0</v>
      </c>
    </row>
    <row r="43" spans="6:38">
      <c r="F43" t="str">
        <f ca="1">AI31</f>
        <v>Japon</v>
      </c>
      <c r="J43">
        <f ca="1">VLOOKUP(F43,$F$16:$M$25,8,FALSE)</f>
        <v>3</v>
      </c>
      <c r="K43">
        <f ca="1">VLOOKUP(F43,$F$16:$M$25,6,FALSE)</f>
        <v>0</v>
      </c>
      <c r="L43">
        <f ca="1">VLOOKUP(F43,$F$16:$M$25,7,FALSE)</f>
        <v>0</v>
      </c>
      <c r="M43">
        <f ca="1">K43-L43</f>
        <v>0</v>
      </c>
      <c r="O43" t="str">
        <f ca="1">F43</f>
        <v>Japon</v>
      </c>
      <c r="P43">
        <f ca="1">VLOOKUP(O43,$F$40:$M$49,5,FALSE)</f>
        <v>3</v>
      </c>
      <c r="Q43">
        <f ca="1">VLOOKUP(O43,$F$40:$M$49,8,FALSE)</f>
        <v>0</v>
      </c>
      <c r="R43">
        <f ca="1">VLOOKUP(O43,$F$40:$M$49,6,FALSE)</f>
        <v>0</v>
      </c>
      <c r="S43" t="str">
        <f ca="1">O43</f>
        <v>Japon</v>
      </c>
      <c r="T43">
        <f ca="1">VLOOKUP(S43,$O$40:$R$49,2,FALSE)</f>
        <v>3</v>
      </c>
      <c r="U43">
        <f ca="1">VLOOKUP(S43,$O$40:$R$49,3,FALSE)</f>
        <v>0</v>
      </c>
      <c r="V43">
        <f ca="1">VLOOKUP(S43,$O$40:$R$49,4,FALSE)</f>
        <v>0</v>
      </c>
      <c r="W43" t="str">
        <f ca="1">IF(AND(T40=T43,U40=U43,V43&gt;V40),S40,S43)</f>
        <v>Japon</v>
      </c>
      <c r="X43">
        <f ca="1">VLOOKUP(W43,$S$40:$V$49,2,FALSE)</f>
        <v>3</v>
      </c>
      <c r="Y43">
        <f ca="1">VLOOKUP(W43,$S$40:$V$49,3,FALSE)</f>
        <v>0</v>
      </c>
      <c r="Z43">
        <f ca="1">VLOOKUP(W43,$S$40:$V$49,4,FALSE)</f>
        <v>0</v>
      </c>
      <c r="AA43" t="str">
        <f ca="1">W43</f>
        <v>Japon</v>
      </c>
      <c r="AB43">
        <f ca="1">VLOOKUP(AA43,W40:Z49,2,FALSE)</f>
        <v>3</v>
      </c>
      <c r="AC43">
        <f ca="1">VLOOKUP(AA43,W40:Z49,3,FALSE)</f>
        <v>0</v>
      </c>
      <c r="AD43">
        <f ca="1">VLOOKUP(AA43,W40:Z49,4,FALSE)</f>
        <v>0</v>
      </c>
      <c r="AE43" t="str">
        <f ca="1">IF(AND(AB41=AB43,AC41=AC43,AD43&gt;AD41),AA41,AA43)</f>
        <v>Japon</v>
      </c>
      <c r="AF43">
        <f ca="1">VLOOKUP(AE43,AA40:AD49,2,FALSE)</f>
        <v>3</v>
      </c>
      <c r="AG43">
        <f ca="1">VLOOKUP(AE43,AA40:AD49,3,FALSE)</f>
        <v>0</v>
      </c>
      <c r="AH43">
        <f ca="1">VLOOKUP(AE43,AA40:AD49,4,FALSE)</f>
        <v>0</v>
      </c>
      <c r="AI43" t="str">
        <f ca="1">IF(AND(AF42=AF43,AG42=AG43,AH43&gt;AH42),AE42,AE43)</f>
        <v>Japon</v>
      </c>
      <c r="AJ43">
        <f ca="1">VLOOKUP(AI43,AE40:AH49,2,FALSE)</f>
        <v>3</v>
      </c>
      <c r="AK43">
        <f ca="1">VLOOKUP(AI43,AE40:AH49,3,FALSE)</f>
        <v>0</v>
      </c>
      <c r="AL43">
        <f ca="1">VLOOKUP(AI43,AE40:AH49,4,FALSE)</f>
        <v>0</v>
      </c>
    </row>
    <row r="51" spans="6:13">
      <c r="F51" t="s">
        <v>334</v>
      </c>
    </row>
    <row r="52" spans="6:13">
      <c r="F52" t="str">
        <f ca="1">AI40</f>
        <v>España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Costa Rica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Alemania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Japon</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yHqQBEBLAO3dT4uQ53HKyLzVrB0VFVL2d8OsQignPbOLBJOB49SejX1T+Y5N92C5e2aIqyTyt5OM9lIfzQzRsw==" saltValue="DNIQ+m2pF2xda0qmWc1Zvg=="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9"/>
  <dimension ref="A2:AL55"/>
  <sheetViews>
    <sheetView showRowColHeaders="0" workbookViewId="0">
      <selection activeCell="I24" sqref="I24:I30"/>
    </sheetView>
  </sheetViews>
  <sheetFormatPr defaultRowHeight="12.6"/>
  <cols>
    <col min="1" max="1" width="8.7109375" bestFit="1" customWidth="1"/>
    <col min="2" max="2" width="2.42578125" customWidth="1"/>
    <col min="3" max="3" width="1.5703125" bestFit="1" customWidth="1"/>
    <col min="4" max="4" width="3.42578125" customWidth="1"/>
    <col min="5" max="5" width="8.7109375" bestFit="1" customWidth="1"/>
    <col min="6" max="6" width="13.5703125" bestFit="1" customWidth="1"/>
    <col min="7" max="7" width="8.7109375" bestFit="1" customWidth="1"/>
    <col min="8" max="8" width="2.28515625" bestFit="1" customWidth="1"/>
    <col min="9" max="12" width="2" bestFit="1" customWidth="1"/>
    <col min="13" max="13" width="3.5703125" bestFit="1" customWidth="1"/>
    <col min="14" max="14" width="8.28515625" bestFit="1" customWidth="1"/>
    <col min="15" max="15" width="13" bestFit="1" customWidth="1"/>
    <col min="16" max="18" width="2" bestFit="1" customWidth="1"/>
    <col min="19" max="19" width="13" bestFit="1" customWidth="1"/>
    <col min="20" max="20" width="2" bestFit="1" customWidth="1"/>
    <col min="21" max="21" width="6.28515625" bestFit="1" customWidth="1"/>
    <col min="22" max="22" width="2.28515625" bestFit="1" customWidth="1"/>
    <col min="23" max="23" width="13" bestFit="1" customWidth="1"/>
    <col min="24" max="26" width="2" bestFit="1" customWidth="1"/>
    <col min="27" max="27" width="13" bestFit="1" customWidth="1"/>
    <col min="28" max="28" width="6.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D -'!U8&lt;&gt;"",'- D -'!U8,"")</f>
        <v>Francia</v>
      </c>
      <c r="N2" t="str">
        <f>IF('- D -'!U10&lt;&gt;"",'- D -'!U10,"")</f>
        <v>Australia</v>
      </c>
      <c r="U2" t="str">
        <f>IF('- D -'!U12&lt;&gt;"",'- D -'!U12,"")</f>
        <v>Dinamarca</v>
      </c>
      <c r="AB2" t="str">
        <f>IF('- D -'!U14&lt;&gt;"",'- D -'!U14,"")</f>
        <v>Tunez</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D -'!B6</f>
        <v>Francia</v>
      </c>
      <c r="B4" s="127">
        <f>+'resultados oficiales'!X4</f>
        <v>0</v>
      </c>
      <c r="C4" s="1" t="str">
        <f>'- A -'!D6</f>
        <v>-</v>
      </c>
      <c r="D4" s="127">
        <f>+'resultados oficiales'!Z4</f>
        <v>0</v>
      </c>
      <c r="E4" s="3" t="str">
        <f>'- D -'!F6</f>
        <v>Australia</v>
      </c>
      <c r="F4" s="1">
        <f ca="1">COUNTBLANK('- D -'!C6:'- D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D -'!B7</f>
        <v>Dinamarca</v>
      </c>
      <c r="B5" s="127">
        <f>+'resultados oficiales'!X6</f>
        <v>0</v>
      </c>
      <c r="C5" s="1" t="str">
        <f>'- A -'!D7</f>
        <v>-</v>
      </c>
      <c r="D5" s="127">
        <f>+'resultados oficiales'!Z6</f>
        <v>0</v>
      </c>
      <c r="E5" s="3" t="str">
        <f>'- D -'!F7</f>
        <v>Tunez</v>
      </c>
      <c r="F5" s="1">
        <f ca="1">COUNTBLANK('- D -'!C7:'- D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D -'!B8</f>
        <v>Francia</v>
      </c>
      <c r="B6" s="127">
        <f>+'resultados oficiales'!X8</f>
        <v>0</v>
      </c>
      <c r="C6" s="1" t="str">
        <f>'- A -'!D8</f>
        <v>-</v>
      </c>
      <c r="D6" s="127">
        <f>+'resultados oficiales'!Z8</f>
        <v>0</v>
      </c>
      <c r="E6" s="3" t="str">
        <f>'- D -'!F8</f>
        <v>Dinamarca</v>
      </c>
      <c r="F6" s="1">
        <f ca="1">COUNTBLANK('- D -'!C8:'- D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D -'!B9</f>
        <v>Tunez</v>
      </c>
      <c r="B7" s="127">
        <f>+'resultados oficiales'!X10</f>
        <v>0</v>
      </c>
      <c r="C7" s="1" t="str">
        <f>'- A -'!D9</f>
        <v>-</v>
      </c>
      <c r="D7" s="127">
        <f>+'resultados oficiales'!Z10</f>
        <v>0</v>
      </c>
      <c r="E7" s="3" t="str">
        <f>'- D -'!F9</f>
        <v>Australia</v>
      </c>
      <c r="F7" s="1">
        <f ca="1">COUNTBLANK('- D -'!C9:'- D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D -'!B10</f>
        <v>Tunez</v>
      </c>
      <c r="B8" s="127">
        <f>+'resultados oficiales'!X12</f>
        <v>0</v>
      </c>
      <c r="C8" s="1" t="str">
        <f>'- A -'!D10</f>
        <v>-</v>
      </c>
      <c r="D8" s="127">
        <f>+'resultados oficiales'!Z12</f>
        <v>0</v>
      </c>
      <c r="E8" s="3" t="str">
        <f>'- D -'!F10</f>
        <v>Francia</v>
      </c>
      <c r="F8" s="1">
        <f ca="1">COUNTBLANK('- D -'!C10:'- D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D -'!B11</f>
        <v>Australia</v>
      </c>
      <c r="B9" s="127">
        <f>+'resultados oficiales'!X14</f>
        <v>0</v>
      </c>
      <c r="C9" s="1" t="str">
        <f>'- A -'!D11</f>
        <v>-</v>
      </c>
      <c r="D9" s="127">
        <f>+'resultados oficiales'!Z14</f>
        <v>0</v>
      </c>
      <c r="E9" s="3" t="str">
        <f>'- D -'!F11</f>
        <v>Dinamarca</v>
      </c>
      <c r="F9" s="1">
        <f ca="1">COUNTBLANK('- D -'!C11:'- D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Francia</v>
      </c>
      <c r="G16">
        <f t="shared" ref="G16:M16" ca="1" si="28">G10</f>
        <v>3</v>
      </c>
      <c r="H16">
        <f t="shared" ca="1" si="28"/>
        <v>0</v>
      </c>
      <c r="I16">
        <f t="shared" ca="1" si="28"/>
        <v>3</v>
      </c>
      <c r="J16">
        <f t="shared" ca="1" si="28"/>
        <v>0</v>
      </c>
      <c r="K16">
        <f t="shared" ca="1" si="28"/>
        <v>0</v>
      </c>
      <c r="L16">
        <f t="shared" ca="1" si="28"/>
        <v>0</v>
      </c>
      <c r="M16">
        <f t="shared" ca="1" si="28"/>
        <v>3</v>
      </c>
      <c r="O16" t="str">
        <f ca="1">IF($M16&gt;=$M17,$F16,$F17)</f>
        <v>Francia</v>
      </c>
      <c r="P16">
        <f ca="1">VLOOKUP(O16,$F$16:$M$25,8,FALSE)</f>
        <v>3</v>
      </c>
      <c r="S16" t="str">
        <f ca="1">IF($P16&gt;=$P18,$O16,$O18)</f>
        <v>Francia</v>
      </c>
      <c r="T16">
        <f ca="1">VLOOKUP(S16,$O$16:$P$25,2,FALSE)</f>
        <v>3</v>
      </c>
      <c r="W16" t="str">
        <f ca="1">IF($T16&gt;=$T19,$S16,$S19)</f>
        <v>Francia</v>
      </c>
      <c r="X16">
        <f ca="1">VLOOKUP(W16,$S$16:$T$25,2,FALSE)</f>
        <v>3</v>
      </c>
      <c r="AA16" t="str">
        <f ca="1">W16</f>
        <v>Francia</v>
      </c>
      <c r="AB16">
        <f ca="1">VLOOKUP(AA16,W16:X25,2,FALSE)</f>
        <v>3</v>
      </c>
      <c r="AE16" t="str">
        <f ca="1">AA16</f>
        <v>Francia</v>
      </c>
      <c r="AF16">
        <f ca="1">VLOOKUP(AE16,AA16:AB25,2,FALSE)</f>
        <v>3</v>
      </c>
      <c r="AI16" t="str">
        <f ca="1">AE16</f>
        <v>Francia</v>
      </c>
      <c r="AJ16">
        <f ca="1">VLOOKUP(AI16,AE16:AF25,2,FALSE)</f>
        <v>3</v>
      </c>
    </row>
    <row r="17" spans="6:37">
      <c r="F17" t="str">
        <f>N2</f>
        <v>Australia</v>
      </c>
      <c r="G17">
        <f t="shared" ref="G17:M17" ca="1" si="29">N10</f>
        <v>3</v>
      </c>
      <c r="H17">
        <f t="shared" ca="1" si="29"/>
        <v>0</v>
      </c>
      <c r="I17">
        <f t="shared" ca="1" si="29"/>
        <v>3</v>
      </c>
      <c r="J17">
        <f t="shared" ca="1" si="29"/>
        <v>0</v>
      </c>
      <c r="K17">
        <f t="shared" ca="1" si="29"/>
        <v>0</v>
      </c>
      <c r="L17">
        <f t="shared" ca="1" si="29"/>
        <v>0</v>
      </c>
      <c r="M17">
        <f t="shared" ca="1" si="29"/>
        <v>3</v>
      </c>
      <c r="O17" t="str">
        <f ca="1">IF($M17&lt;=$M16,$F17,$F16)</f>
        <v>Australia</v>
      </c>
      <c r="P17">
        <f ca="1">VLOOKUP(O17,$F$16:$M$25,8,FALSE)</f>
        <v>3</v>
      </c>
      <c r="S17" t="str">
        <f ca="1">O17</f>
        <v>Australia</v>
      </c>
      <c r="T17">
        <f ca="1">VLOOKUP(S17,$O$16:$P$25,2,FALSE)</f>
        <v>3</v>
      </c>
      <c r="W17" t="str">
        <f ca="1">S17</f>
        <v>Australia</v>
      </c>
      <c r="X17">
        <f ca="1">VLOOKUP(W17,$S$16:$T$25,2,FALSE)</f>
        <v>3</v>
      </c>
      <c r="AA17" t="str">
        <f ca="1">IF(X17&gt;=X18,W17,W18)</f>
        <v>Australia</v>
      </c>
      <c r="AB17">
        <f ca="1">VLOOKUP(AA17,W16:X25,2,FALSE)</f>
        <v>3</v>
      </c>
      <c r="AE17" t="str">
        <f ca="1">IF(AB17&gt;=AB19,AA17,AA19)</f>
        <v>Australia</v>
      </c>
      <c r="AF17">
        <f ca="1">VLOOKUP(AE17,AA16:AB25,2,FALSE)</f>
        <v>3</v>
      </c>
      <c r="AI17" t="str">
        <f ca="1">AE17</f>
        <v>Australia</v>
      </c>
      <c r="AJ17">
        <f ca="1">VLOOKUP(AI17,AE16:AF25,2,FALSE)</f>
        <v>3</v>
      </c>
    </row>
    <row r="18" spans="6:37">
      <c r="F18" t="str">
        <f>U2</f>
        <v>Dinamarca</v>
      </c>
      <c r="G18">
        <f t="shared" ref="G18:M18" ca="1" si="30">U10</f>
        <v>3</v>
      </c>
      <c r="H18">
        <f t="shared" ca="1" si="30"/>
        <v>0</v>
      </c>
      <c r="I18">
        <f t="shared" ca="1" si="30"/>
        <v>3</v>
      </c>
      <c r="J18">
        <f t="shared" ca="1" si="30"/>
        <v>0</v>
      </c>
      <c r="K18">
        <f t="shared" ca="1" si="30"/>
        <v>0</v>
      </c>
      <c r="L18">
        <f t="shared" ca="1" si="30"/>
        <v>0</v>
      </c>
      <c r="M18">
        <f t="shared" ca="1" si="30"/>
        <v>3</v>
      </c>
      <c r="O18" t="str">
        <f>F18</f>
        <v>Dinamarca</v>
      </c>
      <c r="P18">
        <f ca="1">VLOOKUP(O18,$F$16:$M$25,8,FALSE)</f>
        <v>3</v>
      </c>
      <c r="S18" t="str">
        <f ca="1">IF($P18&lt;=$P16,$O18,$O16)</f>
        <v>Dinamarca</v>
      </c>
      <c r="T18">
        <f ca="1">VLOOKUP(S18,$O$16:$P$25,2,FALSE)</f>
        <v>3</v>
      </c>
      <c r="W18" t="str">
        <f ca="1">S18</f>
        <v>Dinamarca</v>
      </c>
      <c r="X18">
        <f ca="1">VLOOKUP(W18,$S$16:$T$25,2,FALSE)</f>
        <v>3</v>
      </c>
      <c r="AA18" t="str">
        <f ca="1">IF(X18&lt;=X17,W18,W17)</f>
        <v>Dinamarca</v>
      </c>
      <c r="AB18">
        <f ca="1">VLOOKUP(AA18,W16:X25,2,FALSE)</f>
        <v>3</v>
      </c>
      <c r="AE18" t="str">
        <f ca="1">AA18</f>
        <v>Dinamarca</v>
      </c>
      <c r="AF18">
        <f ca="1">VLOOKUP(AE18,AA16:AB25,2,FALSE)</f>
        <v>3</v>
      </c>
      <c r="AI18" t="str">
        <f ca="1">IF(AF18&gt;=AF19,AE18,AE19)</f>
        <v>Dinamarca</v>
      </c>
      <c r="AJ18">
        <f ca="1">VLOOKUP(AI18,AE16:AF25,2,FALSE)</f>
        <v>3</v>
      </c>
    </row>
    <row r="19" spans="6:37">
      <c r="F19" t="str">
        <f>AB2</f>
        <v>Tunez</v>
      </c>
      <c r="G19">
        <f t="shared" ref="G19:M19" ca="1" si="31">AB10</f>
        <v>3</v>
      </c>
      <c r="H19">
        <f t="shared" ca="1" si="31"/>
        <v>0</v>
      </c>
      <c r="I19">
        <f t="shared" ca="1" si="31"/>
        <v>3</v>
      </c>
      <c r="J19">
        <f t="shared" ca="1" si="31"/>
        <v>0</v>
      </c>
      <c r="K19">
        <f t="shared" ca="1" si="31"/>
        <v>0</v>
      </c>
      <c r="L19">
        <f t="shared" ca="1" si="31"/>
        <v>0</v>
      </c>
      <c r="M19">
        <f t="shared" ca="1" si="31"/>
        <v>3</v>
      </c>
      <c r="O19" t="str">
        <f>F19</f>
        <v>Tunez</v>
      </c>
      <c r="P19">
        <f ca="1">VLOOKUP(O19,$F$16:$M$25,8,FALSE)</f>
        <v>3</v>
      </c>
      <c r="S19" t="str">
        <f>O19</f>
        <v>Tunez</v>
      </c>
      <c r="T19">
        <f ca="1">VLOOKUP(S19,$O$16:$P$25,2,FALSE)</f>
        <v>3</v>
      </c>
      <c r="W19" t="str">
        <f ca="1">IF($T19&lt;=$T16,$S19,$S16)</f>
        <v>Tunez</v>
      </c>
      <c r="X19">
        <f ca="1">VLOOKUP(W19,$S$16:$T$25,2,FALSE)</f>
        <v>3</v>
      </c>
      <c r="AA19" t="str">
        <f ca="1">W19</f>
        <v>Tunez</v>
      </c>
      <c r="AB19">
        <f ca="1">VLOOKUP(AA19,W16:X25,2,FALSE)</f>
        <v>3</v>
      </c>
      <c r="AE19" t="str">
        <f ca="1">IF(AB19&lt;=AB17,AA19,AA17)</f>
        <v>Tunez</v>
      </c>
      <c r="AF19">
        <f ca="1">VLOOKUP(AE19,AA16:AB25,2,FALSE)</f>
        <v>3</v>
      </c>
      <c r="AI19" t="str">
        <f ca="1">IF(AF19&lt;=AF18,AE19,AE18)</f>
        <v>Tunez</v>
      </c>
      <c r="AJ19">
        <f ca="1">VLOOKUP(AI19,AE16:AF25,2,FALSE)</f>
        <v>3</v>
      </c>
    </row>
    <row r="28" spans="6:37">
      <c r="F28" t="str">
        <f ca="1">AI16</f>
        <v>Francia</v>
      </c>
      <c r="J28">
        <f ca="1">AJ16</f>
        <v>3</v>
      </c>
      <c r="K28">
        <f ca="1">VLOOKUP(AI16,$F$16:$M$25,6,FALSE)</f>
        <v>0</v>
      </c>
      <c r="L28">
        <f ca="1">VLOOKUP(AI16,$F$16:$M$25,7,FALSE)</f>
        <v>0</v>
      </c>
      <c r="M28">
        <f ca="1">K28-L28</f>
        <v>0</v>
      </c>
      <c r="O28" t="str">
        <f ca="1">IF(AND($J28=$J29,$M29&gt;$M28),$F29,$F28)</f>
        <v>Francia</v>
      </c>
      <c r="P28">
        <f ca="1">VLOOKUP(O28,$F$28:$M$37,5,FALSE)</f>
        <v>3</v>
      </c>
      <c r="Q28">
        <f ca="1">VLOOKUP(O28,$F$28:$M$37,8,FALSE)</f>
        <v>0</v>
      </c>
      <c r="S28" t="str">
        <f ca="1">IF(AND(P28=P30,Q30&gt;Q28),O30,O28)</f>
        <v>Francia</v>
      </c>
      <c r="T28">
        <f ca="1">VLOOKUP(S28,$O$28:$Q$37,2,FALSE)</f>
        <v>3</v>
      </c>
      <c r="U28">
        <f ca="1">VLOOKUP(S28,$O$28:$Q$37,3,FALSE)</f>
        <v>0</v>
      </c>
      <c r="W28" t="str">
        <f ca="1">IF(AND(T28=T31,U31&gt;U28),S31,S28)</f>
        <v>Francia</v>
      </c>
      <c r="X28">
        <f ca="1">VLOOKUP(W28,$S$28:$U$37,2,FALSE)</f>
        <v>3</v>
      </c>
      <c r="Y28">
        <f ca="1">VLOOKUP(W28,$S$28:$U$37,3,FALSE)</f>
        <v>0</v>
      </c>
      <c r="AA28" t="str">
        <f ca="1">W28</f>
        <v>Francia</v>
      </c>
      <c r="AB28">
        <f ca="1">VLOOKUP(AA28,W28:Y37,2,FALSE)</f>
        <v>3</v>
      </c>
      <c r="AC28">
        <f ca="1">VLOOKUP(AA28,W28:Y37,3,FALSE)</f>
        <v>0</v>
      </c>
      <c r="AE28" t="str">
        <f ca="1">AA28</f>
        <v>Francia</v>
      </c>
      <c r="AF28">
        <f ca="1">VLOOKUP(AE28,AA28:AC37,2,FALSE)</f>
        <v>3</v>
      </c>
      <c r="AG28">
        <f ca="1">VLOOKUP(AE28,AA28:AC37,3,FALSE)</f>
        <v>0</v>
      </c>
      <c r="AI28" t="str">
        <f ca="1">AE28</f>
        <v>Francia</v>
      </c>
      <c r="AJ28">
        <f ca="1">VLOOKUP(AI28,AE28:AG37,2,FALSE)</f>
        <v>3</v>
      </c>
      <c r="AK28">
        <f ca="1">VLOOKUP(AI28,AE28:AG37,3,FALSE)</f>
        <v>0</v>
      </c>
    </row>
    <row r="29" spans="6:37">
      <c r="F29" t="str">
        <f ca="1">AI17</f>
        <v>Australia</v>
      </c>
      <c r="J29">
        <f ca="1">AJ17</f>
        <v>3</v>
      </c>
      <c r="K29">
        <f ca="1">VLOOKUP(AI17,$F$16:$M$25,6,FALSE)</f>
        <v>0</v>
      </c>
      <c r="L29">
        <f ca="1">VLOOKUP(AI17,$F$16:$M$25,7,FALSE)</f>
        <v>0</v>
      </c>
      <c r="M29">
        <f ca="1">K29-L29</f>
        <v>0</v>
      </c>
      <c r="O29" t="str">
        <f ca="1">IF(AND($J28=$J29,$M29&gt;$M28),$F28,$F29)</f>
        <v>Australia</v>
      </c>
      <c r="P29">
        <f ca="1">VLOOKUP(O29,$F$28:$M$37,5,FALSE)</f>
        <v>3</v>
      </c>
      <c r="Q29">
        <f ca="1">VLOOKUP(O29,$F$28:$M$37,8,FALSE)</f>
        <v>0</v>
      </c>
      <c r="S29" t="str">
        <f ca="1">O29</f>
        <v>Australia</v>
      </c>
      <c r="T29">
        <f ca="1">VLOOKUP(S29,$O$28:$Q$37,2,FALSE)</f>
        <v>3</v>
      </c>
      <c r="U29">
        <f ca="1">VLOOKUP(S29,$O$28:$Q$37,3,FALSE)</f>
        <v>0</v>
      </c>
      <c r="W29" t="str">
        <f ca="1">S29</f>
        <v>Australia</v>
      </c>
      <c r="X29">
        <f ca="1">VLOOKUP(W29,$S$28:$U$37,2,FALSE)</f>
        <v>3</v>
      </c>
      <c r="Y29">
        <f ca="1">VLOOKUP(W29,$S$28:$U$37,3,FALSE)</f>
        <v>0</v>
      </c>
      <c r="AA29" t="str">
        <f ca="1">IF(AND(X29=X30,Y30&gt;Y29),W30,W29)</f>
        <v>Australia</v>
      </c>
      <c r="AB29">
        <f ca="1">VLOOKUP(AA29,W28:Y37,2,FALSE)</f>
        <v>3</v>
      </c>
      <c r="AC29">
        <f ca="1">VLOOKUP(AA29,W28:Y37,3,FALSE)</f>
        <v>0</v>
      </c>
      <c r="AE29" t="str">
        <f ca="1">IF(AND(AB29=AB31,AC31&gt;AC29),AA31,AA29)</f>
        <v>Australia</v>
      </c>
      <c r="AF29">
        <f ca="1">VLOOKUP(AE29,AA28:AC37,2,FALSE)</f>
        <v>3</v>
      </c>
      <c r="AG29">
        <f ca="1">VLOOKUP(AE29,AA28:AC37,3,FALSE)</f>
        <v>0</v>
      </c>
      <c r="AI29" t="str">
        <f ca="1">AE29</f>
        <v>Australia</v>
      </c>
      <c r="AJ29">
        <f ca="1">VLOOKUP(AI29,AE28:AG37,2,FALSE)</f>
        <v>3</v>
      </c>
      <c r="AK29">
        <f ca="1">VLOOKUP(AI29,AE28:AG37,3,FALSE)</f>
        <v>0</v>
      </c>
    </row>
    <row r="30" spans="6:37">
      <c r="F30" t="str">
        <f ca="1">AI18</f>
        <v>Dinamarca</v>
      </c>
      <c r="J30">
        <f ca="1">AJ18</f>
        <v>3</v>
      </c>
      <c r="K30">
        <f ca="1">VLOOKUP(AI18,$F$16:$M$25,6,FALSE)</f>
        <v>0</v>
      </c>
      <c r="L30">
        <f ca="1">VLOOKUP(AI18,$F$16:$M$25,7,FALSE)</f>
        <v>0</v>
      </c>
      <c r="M30">
        <f ca="1">K30-L30</f>
        <v>0</v>
      </c>
      <c r="O30" t="str">
        <f ca="1">F30</f>
        <v>Dinamarca</v>
      </c>
      <c r="P30">
        <f ca="1">VLOOKUP(O30,$F$28:$M$37,5,FALSE)</f>
        <v>3</v>
      </c>
      <c r="Q30">
        <f ca="1">VLOOKUP(O30,$F$28:$M$37,8,FALSE)</f>
        <v>0</v>
      </c>
      <c r="S30" t="str">
        <f ca="1">IF(AND($P28=P30,Q30&gt;Q28),O28,O30)</f>
        <v>Dinamarca</v>
      </c>
      <c r="T30">
        <f ca="1">VLOOKUP(S30,$O$28:$Q$37,2,FALSE)</f>
        <v>3</v>
      </c>
      <c r="U30">
        <f ca="1">VLOOKUP(S30,$O$28:$Q$37,3,FALSE)</f>
        <v>0</v>
      </c>
      <c r="W30" t="str">
        <f ca="1">S30</f>
        <v>Dinamarca</v>
      </c>
      <c r="X30">
        <f ca="1">VLOOKUP(W30,$S$28:$U$37,2,FALSE)</f>
        <v>3</v>
      </c>
      <c r="Y30">
        <f ca="1">VLOOKUP(W30,$S$28:$U$37,3,FALSE)</f>
        <v>0</v>
      </c>
      <c r="AA30" t="str">
        <f ca="1">IF(AND(X29=X30,Y30&gt;Y29),W29,W30)</f>
        <v>Dinamarca</v>
      </c>
      <c r="AB30">
        <f ca="1">VLOOKUP(AA30,W28:Y37,2,FALSE)</f>
        <v>3</v>
      </c>
      <c r="AC30">
        <f ca="1">VLOOKUP(AA30,W28:Y37,3,FALSE)</f>
        <v>0</v>
      </c>
      <c r="AE30" t="str">
        <f ca="1">AA30</f>
        <v>Dinamarca</v>
      </c>
      <c r="AF30">
        <f ca="1">VLOOKUP(AE30,AA28:AC37,2,FALSE)</f>
        <v>3</v>
      </c>
      <c r="AG30">
        <f ca="1">VLOOKUP(AE30,AA28:AC37,3,FALSE)</f>
        <v>0</v>
      </c>
      <c r="AI30" t="str">
        <f ca="1">IF(AND(AF30=AF31,AG31&gt;AG30),AE31,AE30)</f>
        <v>Dinamarca</v>
      </c>
      <c r="AJ30">
        <f ca="1">VLOOKUP(AI30,AE28:AG37,2,FALSE)</f>
        <v>3</v>
      </c>
      <c r="AK30">
        <f ca="1">VLOOKUP(AI30,AE28:AG37,3,FALSE)</f>
        <v>0</v>
      </c>
    </row>
    <row r="31" spans="6:37">
      <c r="F31" t="str">
        <f ca="1">AI19</f>
        <v>Tunez</v>
      </c>
      <c r="J31">
        <f ca="1">AJ19</f>
        <v>3</v>
      </c>
      <c r="K31">
        <f ca="1">VLOOKUP(AI19,$F$16:$M$25,6,FALSE)</f>
        <v>0</v>
      </c>
      <c r="L31">
        <f ca="1">VLOOKUP(AI19,$F$16:$M$25,7,FALSE)</f>
        <v>0</v>
      </c>
      <c r="M31">
        <f ca="1">K31-L31</f>
        <v>0</v>
      </c>
      <c r="O31" t="str">
        <f ca="1">F31</f>
        <v>Tunez</v>
      </c>
      <c r="P31">
        <f ca="1">VLOOKUP(O31,$F$28:$M$37,5,FALSE)</f>
        <v>3</v>
      </c>
      <c r="Q31">
        <f ca="1">VLOOKUP(O31,$F$28:$M$37,8,FALSE)</f>
        <v>0</v>
      </c>
      <c r="S31" t="str">
        <f ca="1">O31</f>
        <v>Tunez</v>
      </c>
      <c r="T31">
        <f ca="1">VLOOKUP(S31,$O$28:$Q$37,2,FALSE)</f>
        <v>3</v>
      </c>
      <c r="U31">
        <f ca="1">VLOOKUP(S31,$O$28:$Q$37,3,FALSE)</f>
        <v>0</v>
      </c>
      <c r="W31" t="str">
        <f ca="1">IF(AND(T28=T31,U31&gt;U28),S28,S31)</f>
        <v>Tunez</v>
      </c>
      <c r="X31">
        <f ca="1">VLOOKUP(W31,$S$28:$U$37,2,FALSE)</f>
        <v>3</v>
      </c>
      <c r="Y31">
        <f ca="1">VLOOKUP(W31,$S$28:$U$37,3,FALSE)</f>
        <v>0</v>
      </c>
      <c r="AA31" t="str">
        <f ca="1">W31</f>
        <v>Tunez</v>
      </c>
      <c r="AB31">
        <f ca="1">VLOOKUP(AA31,W28:Y37,2,FALSE)</f>
        <v>3</v>
      </c>
      <c r="AC31">
        <f ca="1">VLOOKUP(AA31,W28:Y37,3,FALSE)</f>
        <v>0</v>
      </c>
      <c r="AE31" t="str">
        <f ca="1">IF(AND(AB29=AB31,AC31&gt;AC29),AA29,AA31)</f>
        <v>Tunez</v>
      </c>
      <c r="AF31">
        <f ca="1">VLOOKUP(AE31,AA28:AC37,2,FALSE)</f>
        <v>3</v>
      </c>
      <c r="AG31">
        <f ca="1">VLOOKUP(AE31,AA28:AC37,3,FALSE)</f>
        <v>0</v>
      </c>
      <c r="AI31" t="str">
        <f ca="1">IF(AND(AF30=AF31,AG31&gt;AG30),AE30,AE31)</f>
        <v>Tunez</v>
      </c>
      <c r="AJ31">
        <f ca="1">VLOOKUP(AI31,AE28:AG37,2,FALSE)</f>
        <v>3</v>
      </c>
      <c r="AK31">
        <f ca="1">VLOOKUP(AI31,AE28:AG37,3,FALSE)</f>
        <v>0</v>
      </c>
    </row>
    <row r="40" spans="6:38">
      <c r="F40" t="str">
        <f ca="1">AI28</f>
        <v>Francia</v>
      </c>
      <c r="J40">
        <f ca="1">VLOOKUP(F40,$F$16:$M$25,8,FALSE)</f>
        <v>3</v>
      </c>
      <c r="K40">
        <f ca="1">VLOOKUP(F40,$F$16:$M$25,6,FALSE)</f>
        <v>0</v>
      </c>
      <c r="L40">
        <f ca="1">VLOOKUP(F40,$F$16:$M$25,7,FALSE)</f>
        <v>0</v>
      </c>
      <c r="M40">
        <f ca="1">K40-L40</f>
        <v>0</v>
      </c>
      <c r="O40" t="str">
        <f ca="1">IF(AND(J40=J41,M40=M41,K41&gt;K40),F41,F40)</f>
        <v>Francia</v>
      </c>
      <c r="P40">
        <f ca="1">VLOOKUP(O40,$F$40:$M$49,5,FALSE)</f>
        <v>3</v>
      </c>
      <c r="Q40">
        <f ca="1">VLOOKUP(O40,$F$40:$M$49,8,FALSE)</f>
        <v>0</v>
      </c>
      <c r="R40">
        <f ca="1">VLOOKUP(O40,$F$40:$M$49,6,FALSE)</f>
        <v>0</v>
      </c>
      <c r="S40" t="str">
        <f ca="1">IF(AND(P40=P42,Q40=Q42,R42&gt;R40),O42,O40)</f>
        <v>Francia</v>
      </c>
      <c r="T40">
        <f ca="1">VLOOKUP(S40,$O$40:$R$49,2,FALSE)</f>
        <v>3</v>
      </c>
      <c r="U40">
        <f ca="1">VLOOKUP(S40,$O$40:$R$49,3,FALSE)</f>
        <v>0</v>
      </c>
      <c r="V40">
        <f ca="1">VLOOKUP(S40,$O$40:$R$49,4,FALSE)</f>
        <v>0</v>
      </c>
      <c r="W40" t="str">
        <f ca="1">IF(AND(T40=T43,U40=U43,V43&gt;V40),S43,S40)</f>
        <v>Francia</v>
      </c>
      <c r="X40">
        <f ca="1">VLOOKUP(W40,$S$40:$V$49,2,FALSE)</f>
        <v>3</v>
      </c>
      <c r="Y40">
        <f ca="1">VLOOKUP(W40,$S$40:$V$49,3,FALSE)</f>
        <v>0</v>
      </c>
      <c r="Z40">
        <f ca="1">VLOOKUP(W40,$S$40:$V$49,4,FALSE)</f>
        <v>0</v>
      </c>
      <c r="AA40" t="str">
        <f ca="1">W40</f>
        <v>Francia</v>
      </c>
      <c r="AB40">
        <f ca="1">VLOOKUP(AA40,W40:Z49,2,FALSE)</f>
        <v>3</v>
      </c>
      <c r="AC40">
        <f ca="1">VLOOKUP(AA40,W40:Z49,3,FALSE)</f>
        <v>0</v>
      </c>
      <c r="AD40">
        <f ca="1">VLOOKUP(AA40,W40:Z49,4,FALSE)</f>
        <v>0</v>
      </c>
      <c r="AE40" t="str">
        <f ca="1">AA40</f>
        <v>Francia</v>
      </c>
      <c r="AF40">
        <f ca="1">VLOOKUP(AE40,AA40:AD49,2,FALSE)</f>
        <v>3</v>
      </c>
      <c r="AG40">
        <f ca="1">VLOOKUP(AE40,AA40:AD49,3,FALSE)</f>
        <v>0</v>
      </c>
      <c r="AH40">
        <f ca="1">VLOOKUP(AE40,AA40:AD49,4,FALSE)</f>
        <v>0</v>
      </c>
      <c r="AI40" t="str">
        <f ca="1">AE40</f>
        <v>Francia</v>
      </c>
      <c r="AJ40">
        <f ca="1">VLOOKUP(AI40,AE40:AH49,2,FALSE)</f>
        <v>3</v>
      </c>
      <c r="AK40">
        <f ca="1">VLOOKUP(AI40,AE40:AH49,3,FALSE)</f>
        <v>0</v>
      </c>
      <c r="AL40">
        <f ca="1">VLOOKUP(AI40,AE40:AH49,4,FALSE)</f>
        <v>0</v>
      </c>
    </row>
    <row r="41" spans="6:38">
      <c r="F41" t="str">
        <f ca="1">AI29</f>
        <v>Australia</v>
      </c>
      <c r="J41">
        <f ca="1">VLOOKUP(F41,$F$16:$M$25,8,FALSE)</f>
        <v>3</v>
      </c>
      <c r="K41">
        <f ca="1">VLOOKUP(F41,$F$16:$M$25,6,FALSE)</f>
        <v>0</v>
      </c>
      <c r="L41">
        <f ca="1">VLOOKUP(F41,$F$16:$M$25,7,FALSE)</f>
        <v>0</v>
      </c>
      <c r="M41">
        <f ca="1">K41-L41</f>
        <v>0</v>
      </c>
      <c r="O41" t="str">
        <f ca="1">IF(AND(J40=J41,M40=M41,K41&gt;K40),F40,F41)</f>
        <v>Australia</v>
      </c>
      <c r="P41">
        <f ca="1">VLOOKUP(O41,$F$40:$M$49,5,FALSE)</f>
        <v>3</v>
      </c>
      <c r="Q41">
        <f ca="1">VLOOKUP(O41,$F$40:$M$49,8,FALSE)</f>
        <v>0</v>
      </c>
      <c r="R41">
        <f ca="1">VLOOKUP(O41,$F$40:$M$49,6,FALSE)</f>
        <v>0</v>
      </c>
      <c r="S41" t="str">
        <f ca="1">O41</f>
        <v>Australia</v>
      </c>
      <c r="T41">
        <f ca="1">VLOOKUP(S41,$O$40:$R$49,2,FALSE)</f>
        <v>3</v>
      </c>
      <c r="U41">
        <f ca="1">VLOOKUP(S41,$O$40:$R$49,3,FALSE)</f>
        <v>0</v>
      </c>
      <c r="V41">
        <f ca="1">VLOOKUP(S41,$O$40:$R$49,4,FALSE)</f>
        <v>0</v>
      </c>
      <c r="W41" t="str">
        <f ca="1">S41</f>
        <v>Australia</v>
      </c>
      <c r="X41">
        <f ca="1">VLOOKUP(W41,$S$40:$V$49,2,FALSE)</f>
        <v>3</v>
      </c>
      <c r="Y41">
        <f ca="1">VLOOKUP(W41,$S$40:$V$49,3,FALSE)</f>
        <v>0</v>
      </c>
      <c r="Z41">
        <f ca="1">VLOOKUP(W41,$S$40:$V$49,4,FALSE)</f>
        <v>0</v>
      </c>
      <c r="AA41" t="str">
        <f ca="1">IF(AND(X41=X42,Y41=Y42,Z42&gt;Z41),W42,W41)</f>
        <v>Australia</v>
      </c>
      <c r="AB41">
        <f ca="1">VLOOKUP(AA41,W40:Z49,2,FALSE)</f>
        <v>3</v>
      </c>
      <c r="AC41">
        <f ca="1">VLOOKUP(AA41,W40:Z49,3,FALSE)</f>
        <v>0</v>
      </c>
      <c r="AD41">
        <f ca="1">VLOOKUP(AA41,W40:Z49,4,FALSE)</f>
        <v>0</v>
      </c>
      <c r="AE41" t="str">
        <f ca="1">IF(AND(AB41=AB43,AC41=AC43,AD43&gt;AD41),AA43,AA41)</f>
        <v>Australia</v>
      </c>
      <c r="AF41">
        <f ca="1">VLOOKUP(AE41,AA40:AD49,2,FALSE)</f>
        <v>3</v>
      </c>
      <c r="AG41">
        <f ca="1">VLOOKUP(AE41,AA40:AD49,3,FALSE)</f>
        <v>0</v>
      </c>
      <c r="AH41">
        <f ca="1">VLOOKUP(AE41,AA40:AD49,4,FALSE)</f>
        <v>0</v>
      </c>
      <c r="AI41" t="str">
        <f ca="1">AE41</f>
        <v>Australia</v>
      </c>
      <c r="AJ41">
        <f ca="1">VLOOKUP(AI41,AE40:AH49,2,FALSE)</f>
        <v>3</v>
      </c>
      <c r="AK41">
        <f ca="1">VLOOKUP(AI41,AE40:AH49,3,FALSE)</f>
        <v>0</v>
      </c>
      <c r="AL41">
        <f ca="1">VLOOKUP(AI41,AE40:AH49,4,FALSE)</f>
        <v>0</v>
      </c>
    </row>
    <row r="42" spans="6:38">
      <c r="F42" t="str">
        <f ca="1">AI30</f>
        <v>Dinamarca</v>
      </c>
      <c r="J42">
        <f ca="1">VLOOKUP(F42,$F$16:$M$25,8,FALSE)</f>
        <v>3</v>
      </c>
      <c r="K42">
        <f ca="1">VLOOKUP(F42,$F$16:$M$25,6,FALSE)</f>
        <v>0</v>
      </c>
      <c r="L42">
        <f ca="1">VLOOKUP(F42,$F$16:$M$25,7,FALSE)</f>
        <v>0</v>
      </c>
      <c r="M42">
        <f ca="1">K42-L42</f>
        <v>0</v>
      </c>
      <c r="O42" t="str">
        <f ca="1">F42</f>
        <v>Dinamarca</v>
      </c>
      <c r="P42">
        <f ca="1">VLOOKUP(O42,$F$40:$M$49,5,FALSE)</f>
        <v>3</v>
      </c>
      <c r="Q42">
        <f ca="1">VLOOKUP(O42,$F$40:$M$49,8,FALSE)</f>
        <v>0</v>
      </c>
      <c r="R42">
        <f ca="1">VLOOKUP(O42,$F$40:$M$49,6,FALSE)</f>
        <v>0</v>
      </c>
      <c r="S42" t="str">
        <f ca="1">IF(AND(P40=P42,Q40=Q42,R42&gt;R40),O40,O42)</f>
        <v>Dinamarca</v>
      </c>
      <c r="T42">
        <f ca="1">VLOOKUP(S42,$O$40:$R$49,2,FALSE)</f>
        <v>3</v>
      </c>
      <c r="U42">
        <f ca="1">VLOOKUP(S42,$O$40:$R$49,3,FALSE)</f>
        <v>0</v>
      </c>
      <c r="V42">
        <f ca="1">VLOOKUP(S42,$O$40:$R$49,4,FALSE)</f>
        <v>0</v>
      </c>
      <c r="W42" t="str">
        <f ca="1">S42</f>
        <v>Dinamarca</v>
      </c>
      <c r="X42">
        <f ca="1">VLOOKUP(W42,$S$40:$V$49,2,FALSE)</f>
        <v>3</v>
      </c>
      <c r="Y42">
        <f ca="1">VLOOKUP(W42,$S$40:$V$49,3,FALSE)</f>
        <v>0</v>
      </c>
      <c r="Z42">
        <f ca="1">VLOOKUP(W42,$S$40:$V$49,4,FALSE)</f>
        <v>0</v>
      </c>
      <c r="AA42" t="str">
        <f ca="1">IF(AND(X41=X42,Y41=Y42,Z42&gt;Z41),W41,W42)</f>
        <v>Dinamarca</v>
      </c>
      <c r="AB42">
        <f ca="1">VLOOKUP(AA42,W40:Z49,2,FALSE)</f>
        <v>3</v>
      </c>
      <c r="AC42">
        <f ca="1">VLOOKUP(AA42,W40:Z49,3,FALSE)</f>
        <v>0</v>
      </c>
      <c r="AD42">
        <f ca="1">VLOOKUP(AA42,W40:Z49,4,FALSE)</f>
        <v>0</v>
      </c>
      <c r="AE42" t="str">
        <f ca="1">AA42</f>
        <v>Dinamarca</v>
      </c>
      <c r="AF42">
        <f ca="1">VLOOKUP(AE42,AA40:AD49,2,FALSE)</f>
        <v>3</v>
      </c>
      <c r="AG42">
        <f ca="1">VLOOKUP(AE42,AA40:AD49,3,FALSE)</f>
        <v>0</v>
      </c>
      <c r="AH42">
        <f ca="1">VLOOKUP(AE42,AA40:AD49,4,FALSE)</f>
        <v>0</v>
      </c>
      <c r="AI42" t="str">
        <f ca="1">IF(AND(AF42=AF43,AG42=AG43,AH43&gt;AH42),AE43,AE42)</f>
        <v>Dinamarca</v>
      </c>
      <c r="AJ42">
        <f ca="1">VLOOKUP(AI42,AE40:AH49,2,FALSE)</f>
        <v>3</v>
      </c>
      <c r="AK42">
        <f ca="1">VLOOKUP(AI42,AE40:AH49,3,FALSE)</f>
        <v>0</v>
      </c>
      <c r="AL42">
        <f ca="1">VLOOKUP(AI42,AE40:AH49,4,FALSE)</f>
        <v>0</v>
      </c>
    </row>
    <row r="43" spans="6:38">
      <c r="F43" t="str">
        <f ca="1">AI31</f>
        <v>Tunez</v>
      </c>
      <c r="J43">
        <f ca="1">VLOOKUP(F43,$F$16:$M$25,8,FALSE)</f>
        <v>3</v>
      </c>
      <c r="K43">
        <f ca="1">VLOOKUP(F43,$F$16:$M$25,6,FALSE)</f>
        <v>0</v>
      </c>
      <c r="L43">
        <f ca="1">VLOOKUP(F43,$F$16:$M$25,7,FALSE)</f>
        <v>0</v>
      </c>
      <c r="M43">
        <f ca="1">K43-L43</f>
        <v>0</v>
      </c>
      <c r="O43" t="str">
        <f ca="1">F43</f>
        <v>Tunez</v>
      </c>
      <c r="P43">
        <f ca="1">VLOOKUP(O43,$F$40:$M$49,5,FALSE)</f>
        <v>3</v>
      </c>
      <c r="Q43">
        <f ca="1">VLOOKUP(O43,$F$40:$M$49,8,FALSE)</f>
        <v>0</v>
      </c>
      <c r="R43">
        <f ca="1">VLOOKUP(O43,$F$40:$M$49,6,FALSE)</f>
        <v>0</v>
      </c>
      <c r="S43" t="str">
        <f ca="1">O43</f>
        <v>Tunez</v>
      </c>
      <c r="T43">
        <f ca="1">VLOOKUP(S43,$O$40:$R$49,2,FALSE)</f>
        <v>3</v>
      </c>
      <c r="U43">
        <f ca="1">VLOOKUP(S43,$O$40:$R$49,3,FALSE)</f>
        <v>0</v>
      </c>
      <c r="V43">
        <f ca="1">VLOOKUP(S43,$O$40:$R$49,4,FALSE)</f>
        <v>0</v>
      </c>
      <c r="W43" t="str">
        <f ca="1">IF(AND(T40=T43,U40=U43,V43&gt;V40),S40,S43)</f>
        <v>Tunez</v>
      </c>
      <c r="X43">
        <f ca="1">VLOOKUP(W43,$S$40:$V$49,2,FALSE)</f>
        <v>3</v>
      </c>
      <c r="Y43">
        <f ca="1">VLOOKUP(W43,$S$40:$V$49,3,FALSE)</f>
        <v>0</v>
      </c>
      <c r="Z43">
        <f ca="1">VLOOKUP(W43,$S$40:$V$49,4,FALSE)</f>
        <v>0</v>
      </c>
      <c r="AA43" t="str">
        <f ca="1">W43</f>
        <v>Tunez</v>
      </c>
      <c r="AB43">
        <f ca="1">VLOOKUP(AA43,W40:Z49,2,FALSE)</f>
        <v>3</v>
      </c>
      <c r="AC43">
        <f ca="1">VLOOKUP(AA43,W40:Z49,3,FALSE)</f>
        <v>0</v>
      </c>
      <c r="AD43">
        <f ca="1">VLOOKUP(AA43,W40:Z49,4,FALSE)</f>
        <v>0</v>
      </c>
      <c r="AE43" t="str">
        <f ca="1">IF(AND(AB41=AB43,AC41=AC43,AD43&gt;AD41),AA41,AA43)</f>
        <v>Tunez</v>
      </c>
      <c r="AF43">
        <f ca="1">VLOOKUP(AE43,AA40:AD49,2,FALSE)</f>
        <v>3</v>
      </c>
      <c r="AG43">
        <f ca="1">VLOOKUP(AE43,AA40:AD49,3,FALSE)</f>
        <v>0</v>
      </c>
      <c r="AH43">
        <f ca="1">VLOOKUP(AE43,AA40:AD49,4,FALSE)</f>
        <v>0</v>
      </c>
      <c r="AI43" t="str">
        <f ca="1">IF(AND(AF42=AF43,AG42=AG43,AH43&gt;AH42),AE42,AE43)</f>
        <v>Tunez</v>
      </c>
      <c r="AJ43">
        <f ca="1">VLOOKUP(AI43,AE40:AH49,2,FALSE)</f>
        <v>3</v>
      </c>
      <c r="AK43">
        <f ca="1">VLOOKUP(AI43,AE40:AH49,3,FALSE)</f>
        <v>0</v>
      </c>
      <c r="AL43">
        <f ca="1">VLOOKUP(AI43,AE40:AH49,4,FALSE)</f>
        <v>0</v>
      </c>
    </row>
    <row r="51" spans="6:13">
      <c r="F51" t="s">
        <v>334</v>
      </c>
    </row>
    <row r="52" spans="6:13">
      <c r="F52" t="str">
        <f ca="1">AI40</f>
        <v>Francia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Australia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Dinamarca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Tunez</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zYkPKAlPpv/SlMFvX6cMshK+hlPRoQ4qbMr095mwirnFLK9gBOVbTq8YrtlnqfxhZelq1CxA5ARVndK32etc2w==" saltValue="3T8l6/8/ZmBbPsrXK62HbQ==" spinCount="100000" sheet="1" selectLockedCells="1" selectUnlockedCells="1"/>
  <customSheetViews>
    <customSheetView guid="{387210E2-BDFB-42E5-A6C7-A37C9701EAB6}" showRowCol="0" state="hidden" topLeftCell="A33">
      <selection activeCell="D36" sqref="D36"/>
      <pageMargins left="0" right="0" top="0" bottom="0" header="0" footer="0"/>
      <headerFooter alignWithMargins="0"/>
    </customSheetView>
    <customSheetView guid="{E2621C8A-2AE3-484D-B751-B92E60BB88F8}" showRowCol="0" state="hidden" topLeftCell="A33">
      <selection activeCell="D36" sqref="D36"/>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30"/>
  <dimension ref="A2:AL55"/>
  <sheetViews>
    <sheetView showRowColHeaders="0" workbookViewId="0">
      <selection activeCell="I24" sqref="I24:I30"/>
    </sheetView>
  </sheetViews>
  <sheetFormatPr defaultRowHeight="12.6"/>
  <cols>
    <col min="1" max="1" width="8.85546875" bestFit="1" customWidth="1"/>
    <col min="2" max="2" width="3" customWidth="1"/>
    <col min="3" max="3" width="1.5703125" bestFit="1" customWidth="1"/>
    <col min="4" max="4" width="3.42578125" customWidth="1"/>
    <col min="5" max="5" width="8.85546875" bestFit="1" customWidth="1"/>
    <col min="6" max="6" width="13.5703125" bestFit="1" customWidth="1"/>
    <col min="7" max="7" width="8.5703125" bestFit="1" customWidth="1"/>
    <col min="8" max="8" width="2.28515625" bestFit="1" customWidth="1"/>
    <col min="9" max="12" width="2" bestFit="1" customWidth="1"/>
    <col min="13" max="13" width="3.5703125" bestFit="1" customWidth="1"/>
    <col min="14" max="14" width="6.140625" bestFit="1" customWidth="1"/>
    <col min="15" max="15" width="13" bestFit="1" customWidth="1"/>
    <col min="16" max="18" width="2" bestFit="1" customWidth="1"/>
    <col min="19" max="19" width="13" bestFit="1" customWidth="1"/>
    <col min="20" max="20" width="2" bestFit="1" customWidth="1"/>
    <col min="21" max="21" width="6.7109375" bestFit="1" customWidth="1"/>
    <col min="22" max="22" width="2.28515625" bestFit="1" customWidth="1"/>
    <col min="23" max="23" width="13" bestFit="1" customWidth="1"/>
    <col min="24" max="26" width="2" bestFit="1" customWidth="1"/>
    <col min="27" max="27" width="13" bestFit="1" customWidth="1"/>
    <col min="28" max="28" width="8.8554687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C -'!U8&lt;&gt;"",'- C -'!U8,"")</f>
        <v>Argentina</v>
      </c>
      <c r="N2" t="str">
        <f>IF('- C -'!U10&lt;&gt;"",'- C -'!U10,"")</f>
        <v>Arabia Saudi</v>
      </c>
      <c r="U2" t="str">
        <f>IF('- C -'!U12&lt;&gt;"",'- C -'!U12,"")</f>
        <v>Mexico</v>
      </c>
      <c r="AB2" t="str">
        <f>IF('- C -'!U14&lt;&gt;"",'- C -'!U14,"")</f>
        <v>Polonia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C -'!B6</f>
        <v>Argentina</v>
      </c>
      <c r="B4" s="127">
        <f>+'resultados oficiales'!Q4</f>
        <v>0</v>
      </c>
      <c r="C4" s="1" t="str">
        <f>'- A -'!D6</f>
        <v>-</v>
      </c>
      <c r="D4" s="127">
        <f>+'resultados oficiales'!S4</f>
        <v>0</v>
      </c>
      <c r="E4" s="3" t="str">
        <f>'- C -'!F6</f>
        <v>Arabia Saudi</v>
      </c>
      <c r="F4" s="1">
        <f ca="1">COUNTBLANK('- C -'!C6:'- C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C -'!B7</f>
        <v>Mexico</v>
      </c>
      <c r="B5" s="127">
        <f>+'resultados oficiales'!Q6</f>
        <v>0</v>
      </c>
      <c r="C5" s="1" t="str">
        <f>'- A -'!D7</f>
        <v>-</v>
      </c>
      <c r="D5" s="127">
        <f>+'resultados oficiales'!S6</f>
        <v>0</v>
      </c>
      <c r="E5" s="3" t="str">
        <f>'- C -'!F7</f>
        <v>Polonia</v>
      </c>
      <c r="F5" s="1">
        <f ca="1">COUNTBLANK('- C -'!C7:'- C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C -'!B8</f>
        <v>Polonia</v>
      </c>
      <c r="B6" s="127">
        <f>+'resultados oficiales'!Q8</f>
        <v>0</v>
      </c>
      <c r="C6" s="1" t="str">
        <f>'- A -'!D8</f>
        <v>-</v>
      </c>
      <c r="D6" s="127">
        <f>+'resultados oficiales'!S8</f>
        <v>0</v>
      </c>
      <c r="E6" s="3" t="str">
        <f>'- C -'!F8</f>
        <v>Arabia Saudi</v>
      </c>
      <c r="F6" s="1">
        <f ca="1">COUNTBLANK('- C -'!C8:'- C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C -'!B9</f>
        <v>Argentina</v>
      </c>
      <c r="B7" s="127">
        <f>+'resultados oficiales'!Q10</f>
        <v>0</v>
      </c>
      <c r="C7" s="1" t="str">
        <f>'- A -'!D9</f>
        <v>-</v>
      </c>
      <c r="D7" s="127">
        <f>+'resultados oficiales'!S10</f>
        <v>0</v>
      </c>
      <c r="E7" s="3" t="str">
        <f>'- C -'!F9</f>
        <v>Mexico</v>
      </c>
      <c r="F7" s="1">
        <f ca="1">COUNTBLANK('- C -'!C9:'- C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C -'!B10</f>
        <v>Polonia</v>
      </c>
      <c r="B8" s="127">
        <f>+'resultados oficiales'!Q12</f>
        <v>0</v>
      </c>
      <c r="C8" s="1" t="str">
        <f>'- A -'!D10</f>
        <v>-</v>
      </c>
      <c r="D8" s="127">
        <f>+'resultados oficiales'!S12</f>
        <v>0</v>
      </c>
      <c r="E8" s="3" t="str">
        <f>'- C -'!F10</f>
        <v>Argentina</v>
      </c>
      <c r="F8" s="1">
        <f ca="1">COUNTBLANK('- C -'!C10:'- C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C -'!B11</f>
        <v>Arabia Saudi</v>
      </c>
      <c r="B9" s="127">
        <f>+'resultados oficiales'!Q14</f>
        <v>0</v>
      </c>
      <c r="C9" s="1" t="str">
        <f>'- A -'!D11</f>
        <v>-</v>
      </c>
      <c r="D9" s="127">
        <f>+'resultados oficiales'!S14</f>
        <v>0</v>
      </c>
      <c r="E9" s="3" t="str">
        <f>'- C -'!F11</f>
        <v>Mexico</v>
      </c>
      <c r="F9" s="1">
        <f ca="1">COUNTBLANK('- C -'!C11:'- C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Argentina</v>
      </c>
      <c r="G16">
        <f t="shared" ref="G16:M16" ca="1" si="28">G10</f>
        <v>3</v>
      </c>
      <c r="H16">
        <f t="shared" ca="1" si="28"/>
        <v>0</v>
      </c>
      <c r="I16">
        <f t="shared" ca="1" si="28"/>
        <v>3</v>
      </c>
      <c r="J16">
        <f t="shared" ca="1" si="28"/>
        <v>0</v>
      </c>
      <c r="K16">
        <f t="shared" ca="1" si="28"/>
        <v>0</v>
      </c>
      <c r="L16">
        <f t="shared" ca="1" si="28"/>
        <v>0</v>
      </c>
      <c r="M16">
        <f t="shared" ca="1" si="28"/>
        <v>3</v>
      </c>
      <c r="O16" t="str">
        <f ca="1">IF($M16&gt;=$M17,$F16,$F17)</f>
        <v>Argentina</v>
      </c>
      <c r="P16">
        <f ca="1">VLOOKUP(O16,$F$16:$M$25,8,FALSE)</f>
        <v>3</v>
      </c>
      <c r="S16" t="str">
        <f ca="1">IF($P16&gt;=$P18,$O16,$O18)</f>
        <v>Argentina</v>
      </c>
      <c r="T16">
        <f ca="1">VLOOKUP(S16,$O$16:$P$25,2,FALSE)</f>
        <v>3</v>
      </c>
      <c r="W16" t="str">
        <f ca="1">IF($T16&gt;=$T19,$S16,$S19)</f>
        <v>Argentina</v>
      </c>
      <c r="X16">
        <f ca="1">VLOOKUP(W16,$S$16:$T$25,2,FALSE)</f>
        <v>3</v>
      </c>
      <c r="AA16" t="str">
        <f ca="1">W16</f>
        <v>Argentina</v>
      </c>
      <c r="AB16">
        <f ca="1">VLOOKUP(AA16,W16:X25,2,FALSE)</f>
        <v>3</v>
      </c>
      <c r="AE16" t="str">
        <f ca="1">AA16</f>
        <v>Argentina</v>
      </c>
      <c r="AF16">
        <f ca="1">VLOOKUP(AE16,AA16:AB25,2,FALSE)</f>
        <v>3</v>
      </c>
      <c r="AI16" t="str">
        <f ca="1">AE16</f>
        <v>Argentina</v>
      </c>
      <c r="AJ16">
        <f ca="1">VLOOKUP(AI16,AE16:AF25,2,FALSE)</f>
        <v>3</v>
      </c>
    </row>
    <row r="17" spans="6:37">
      <c r="F17" t="str">
        <f>N2</f>
        <v>Arabia Saudi</v>
      </c>
      <c r="G17">
        <f t="shared" ref="G17:M17" ca="1" si="29">N10</f>
        <v>3</v>
      </c>
      <c r="H17">
        <f t="shared" ca="1" si="29"/>
        <v>0</v>
      </c>
      <c r="I17">
        <f t="shared" ca="1" si="29"/>
        <v>3</v>
      </c>
      <c r="J17">
        <f t="shared" ca="1" si="29"/>
        <v>0</v>
      </c>
      <c r="K17">
        <f t="shared" ca="1" si="29"/>
        <v>0</v>
      </c>
      <c r="L17">
        <f t="shared" ca="1" si="29"/>
        <v>0</v>
      </c>
      <c r="M17">
        <f t="shared" ca="1" si="29"/>
        <v>3</v>
      </c>
      <c r="O17" t="str">
        <f ca="1">IF($M17&lt;=$M16,$F17,$F16)</f>
        <v>Arabia Saudi</v>
      </c>
      <c r="P17">
        <f ca="1">VLOOKUP(O17,$F$16:$M$25,8,FALSE)</f>
        <v>3</v>
      </c>
      <c r="S17" t="str">
        <f ca="1">O17</f>
        <v>Arabia Saudi</v>
      </c>
      <c r="T17">
        <f ca="1">VLOOKUP(S17,$O$16:$P$25,2,FALSE)</f>
        <v>3</v>
      </c>
      <c r="W17" t="str">
        <f ca="1">S17</f>
        <v>Arabia Saudi</v>
      </c>
      <c r="X17">
        <f ca="1">VLOOKUP(W17,$S$16:$T$25,2,FALSE)</f>
        <v>3</v>
      </c>
      <c r="AA17" t="str">
        <f ca="1">IF(X17&gt;=X18,W17,W18)</f>
        <v>Arabia Saudi</v>
      </c>
      <c r="AB17">
        <f ca="1">VLOOKUP(AA17,W16:X25,2,FALSE)</f>
        <v>3</v>
      </c>
      <c r="AE17" t="str">
        <f ca="1">IF(AB17&gt;=AB19,AA17,AA19)</f>
        <v>Arabia Saudi</v>
      </c>
      <c r="AF17">
        <f ca="1">VLOOKUP(AE17,AA16:AB25,2,FALSE)</f>
        <v>3</v>
      </c>
      <c r="AI17" t="str">
        <f ca="1">AE17</f>
        <v>Arabia Saudi</v>
      </c>
      <c r="AJ17">
        <f ca="1">VLOOKUP(AI17,AE16:AF25,2,FALSE)</f>
        <v>3</v>
      </c>
    </row>
    <row r="18" spans="6:37">
      <c r="F18" t="str">
        <f>U2</f>
        <v>Mexico</v>
      </c>
      <c r="G18">
        <f t="shared" ref="G18:M18" ca="1" si="30">U10</f>
        <v>3</v>
      </c>
      <c r="H18">
        <f t="shared" ca="1" si="30"/>
        <v>0</v>
      </c>
      <c r="I18">
        <f t="shared" ca="1" si="30"/>
        <v>3</v>
      </c>
      <c r="J18">
        <f t="shared" ca="1" si="30"/>
        <v>0</v>
      </c>
      <c r="K18">
        <f t="shared" ca="1" si="30"/>
        <v>0</v>
      </c>
      <c r="L18">
        <f t="shared" ca="1" si="30"/>
        <v>0</v>
      </c>
      <c r="M18">
        <f t="shared" ca="1" si="30"/>
        <v>3</v>
      </c>
      <c r="O18" t="str">
        <f>F18</f>
        <v>Mexico</v>
      </c>
      <c r="P18">
        <f ca="1">VLOOKUP(O18,$F$16:$M$25,8,FALSE)</f>
        <v>3</v>
      </c>
      <c r="S18" t="str">
        <f ca="1">IF($P18&lt;=$P16,$O18,$O16)</f>
        <v>Mexico</v>
      </c>
      <c r="T18">
        <f ca="1">VLOOKUP(S18,$O$16:$P$25,2,FALSE)</f>
        <v>3</v>
      </c>
      <c r="W18" t="str">
        <f ca="1">S18</f>
        <v>Mexico</v>
      </c>
      <c r="X18">
        <f ca="1">VLOOKUP(W18,$S$16:$T$25,2,FALSE)</f>
        <v>3</v>
      </c>
      <c r="AA18" t="str">
        <f ca="1">IF(X18&lt;=X17,W18,W17)</f>
        <v>Mexico</v>
      </c>
      <c r="AB18">
        <f ca="1">VLOOKUP(AA18,W16:X25,2,FALSE)</f>
        <v>3</v>
      </c>
      <c r="AE18" t="str">
        <f ca="1">AA18</f>
        <v>Mexico</v>
      </c>
      <c r="AF18">
        <f ca="1">VLOOKUP(AE18,AA16:AB25,2,FALSE)</f>
        <v>3</v>
      </c>
      <c r="AI18" t="str">
        <f ca="1">IF(AF18&gt;=AF19,AE18,AE19)</f>
        <v>Mexico</v>
      </c>
      <c r="AJ18">
        <f ca="1">VLOOKUP(AI18,AE16:AF25,2,FALSE)</f>
        <v>3</v>
      </c>
    </row>
    <row r="19" spans="6:37">
      <c r="F19" t="str">
        <f>AB2</f>
        <v>Polonia</v>
      </c>
      <c r="G19">
        <f t="shared" ref="G19:M19" ca="1" si="31">AB10</f>
        <v>3</v>
      </c>
      <c r="H19">
        <f t="shared" ca="1" si="31"/>
        <v>0</v>
      </c>
      <c r="I19">
        <f t="shared" ca="1" si="31"/>
        <v>3</v>
      </c>
      <c r="J19">
        <f t="shared" ca="1" si="31"/>
        <v>0</v>
      </c>
      <c r="K19">
        <f t="shared" ca="1" si="31"/>
        <v>0</v>
      </c>
      <c r="L19">
        <f t="shared" ca="1" si="31"/>
        <v>0</v>
      </c>
      <c r="M19">
        <f t="shared" ca="1" si="31"/>
        <v>3</v>
      </c>
      <c r="O19" t="str">
        <f>F19</f>
        <v>Polonia</v>
      </c>
      <c r="P19">
        <f ca="1">VLOOKUP(O19,$F$16:$M$25,8,FALSE)</f>
        <v>3</v>
      </c>
      <c r="S19" t="str">
        <f>O19</f>
        <v>Polonia</v>
      </c>
      <c r="T19">
        <f ca="1">VLOOKUP(S19,$O$16:$P$25,2,FALSE)</f>
        <v>3</v>
      </c>
      <c r="W19" t="str">
        <f ca="1">IF($T19&lt;=$T16,$S19,$S16)</f>
        <v>Polonia</v>
      </c>
      <c r="X19">
        <f ca="1">VLOOKUP(W19,$S$16:$T$25,2,FALSE)</f>
        <v>3</v>
      </c>
      <c r="AA19" t="str">
        <f ca="1">W19</f>
        <v>Polonia</v>
      </c>
      <c r="AB19">
        <f ca="1">VLOOKUP(AA19,W16:X25,2,FALSE)</f>
        <v>3</v>
      </c>
      <c r="AE19" t="str">
        <f ca="1">IF(AB19&lt;=AB17,AA19,AA17)</f>
        <v>Polonia</v>
      </c>
      <c r="AF19">
        <f ca="1">VLOOKUP(AE19,AA16:AB25,2,FALSE)</f>
        <v>3</v>
      </c>
      <c r="AI19" t="str">
        <f ca="1">IF(AF19&lt;=AF18,AE19,AE18)</f>
        <v>Polonia</v>
      </c>
      <c r="AJ19">
        <f ca="1">VLOOKUP(AI19,AE16:AF25,2,FALSE)</f>
        <v>3</v>
      </c>
    </row>
    <row r="28" spans="6:37">
      <c r="F28" t="str">
        <f ca="1">AI16</f>
        <v>Argentina</v>
      </c>
      <c r="J28">
        <f ca="1">AJ16</f>
        <v>3</v>
      </c>
      <c r="K28">
        <f ca="1">VLOOKUP(AI16,$F$16:$M$25,6,FALSE)</f>
        <v>0</v>
      </c>
      <c r="L28">
        <f ca="1">VLOOKUP(AI16,$F$16:$M$25,7,FALSE)</f>
        <v>0</v>
      </c>
      <c r="M28">
        <f ca="1">K28-L28</f>
        <v>0</v>
      </c>
      <c r="O28" t="str">
        <f ca="1">IF(AND($J28=$J29,$M29&gt;$M28),$F29,$F28)</f>
        <v>Argentina</v>
      </c>
      <c r="P28">
        <f ca="1">VLOOKUP(O28,$F$28:$M$37,5,FALSE)</f>
        <v>3</v>
      </c>
      <c r="Q28">
        <f ca="1">VLOOKUP(O28,$F$28:$M$37,8,FALSE)</f>
        <v>0</v>
      </c>
      <c r="S28" t="str">
        <f ca="1">IF(AND(P28=P30,Q30&gt;Q28),O30,O28)</f>
        <v>Argentina</v>
      </c>
      <c r="T28">
        <f ca="1">VLOOKUP(S28,$O$28:$Q$37,2,FALSE)</f>
        <v>3</v>
      </c>
      <c r="U28">
        <f ca="1">VLOOKUP(S28,$O$28:$Q$37,3,FALSE)</f>
        <v>0</v>
      </c>
      <c r="W28" t="str">
        <f ca="1">IF(AND(T28=T31,U31&gt;U28),S31,S28)</f>
        <v>Argentina</v>
      </c>
      <c r="X28">
        <f ca="1">VLOOKUP(W28,$S$28:$U$37,2,FALSE)</f>
        <v>3</v>
      </c>
      <c r="Y28">
        <f ca="1">VLOOKUP(W28,$S$28:$U$37,3,FALSE)</f>
        <v>0</v>
      </c>
      <c r="AA28" t="str">
        <f ca="1">W28</f>
        <v>Argentina</v>
      </c>
      <c r="AB28">
        <f ca="1">VLOOKUP(AA28,W28:Y37,2,FALSE)</f>
        <v>3</v>
      </c>
      <c r="AC28">
        <f ca="1">VLOOKUP(AA28,W28:Y37,3,FALSE)</f>
        <v>0</v>
      </c>
      <c r="AE28" t="str">
        <f ca="1">AA28</f>
        <v>Argentina</v>
      </c>
      <c r="AF28">
        <f ca="1">VLOOKUP(AE28,AA28:AC37,2,FALSE)</f>
        <v>3</v>
      </c>
      <c r="AG28">
        <f ca="1">VLOOKUP(AE28,AA28:AC37,3,FALSE)</f>
        <v>0</v>
      </c>
      <c r="AI28" t="str">
        <f ca="1">AE28</f>
        <v>Argentina</v>
      </c>
      <c r="AJ28">
        <f ca="1">VLOOKUP(AI28,AE28:AG37,2,FALSE)</f>
        <v>3</v>
      </c>
      <c r="AK28">
        <f ca="1">VLOOKUP(AI28,AE28:AG37,3,FALSE)</f>
        <v>0</v>
      </c>
    </row>
    <row r="29" spans="6:37">
      <c r="F29" t="str">
        <f ca="1">AI17</f>
        <v>Arabia Saudi</v>
      </c>
      <c r="J29">
        <f ca="1">AJ17</f>
        <v>3</v>
      </c>
      <c r="K29">
        <f ca="1">VLOOKUP(AI17,$F$16:$M$25,6,FALSE)</f>
        <v>0</v>
      </c>
      <c r="L29">
        <f ca="1">VLOOKUP(AI17,$F$16:$M$25,7,FALSE)</f>
        <v>0</v>
      </c>
      <c r="M29">
        <f ca="1">K29-L29</f>
        <v>0</v>
      </c>
      <c r="O29" t="str">
        <f ca="1">IF(AND($J28=$J29,$M29&gt;$M28),$F28,$F29)</f>
        <v>Arabia Saudi</v>
      </c>
      <c r="P29">
        <f ca="1">VLOOKUP(O29,$F$28:$M$37,5,FALSE)</f>
        <v>3</v>
      </c>
      <c r="Q29">
        <f ca="1">VLOOKUP(O29,$F$28:$M$37,8,FALSE)</f>
        <v>0</v>
      </c>
      <c r="S29" t="str">
        <f ca="1">O29</f>
        <v>Arabia Saudi</v>
      </c>
      <c r="T29">
        <f ca="1">VLOOKUP(S29,$O$28:$Q$37,2,FALSE)</f>
        <v>3</v>
      </c>
      <c r="U29">
        <f ca="1">VLOOKUP(S29,$O$28:$Q$37,3,FALSE)</f>
        <v>0</v>
      </c>
      <c r="W29" t="str">
        <f ca="1">S29</f>
        <v>Arabia Saudi</v>
      </c>
      <c r="X29">
        <f ca="1">VLOOKUP(W29,$S$28:$U$37,2,FALSE)</f>
        <v>3</v>
      </c>
      <c r="Y29">
        <f ca="1">VLOOKUP(W29,$S$28:$U$37,3,FALSE)</f>
        <v>0</v>
      </c>
      <c r="AA29" t="str">
        <f ca="1">IF(AND(X29=X30,Y30&gt;Y29),W30,W29)</f>
        <v>Arabia Saudi</v>
      </c>
      <c r="AB29">
        <f ca="1">VLOOKUP(AA29,W28:Y37,2,FALSE)</f>
        <v>3</v>
      </c>
      <c r="AC29">
        <f ca="1">VLOOKUP(AA29,W28:Y37,3,FALSE)</f>
        <v>0</v>
      </c>
      <c r="AE29" t="str">
        <f ca="1">IF(AND(AB29=AB31,AC31&gt;AC29),AA31,AA29)</f>
        <v>Arabia Saudi</v>
      </c>
      <c r="AF29">
        <f ca="1">VLOOKUP(AE29,AA28:AC37,2,FALSE)</f>
        <v>3</v>
      </c>
      <c r="AG29">
        <f ca="1">VLOOKUP(AE29,AA28:AC37,3,FALSE)</f>
        <v>0</v>
      </c>
      <c r="AI29" t="str">
        <f ca="1">AE29</f>
        <v>Arabia Saudi</v>
      </c>
      <c r="AJ29">
        <f ca="1">VLOOKUP(AI29,AE28:AG37,2,FALSE)</f>
        <v>3</v>
      </c>
      <c r="AK29">
        <f ca="1">VLOOKUP(AI29,AE28:AG37,3,FALSE)</f>
        <v>0</v>
      </c>
    </row>
    <row r="30" spans="6:37">
      <c r="F30" t="str">
        <f ca="1">AI18</f>
        <v>Mexico</v>
      </c>
      <c r="J30">
        <f ca="1">AJ18</f>
        <v>3</v>
      </c>
      <c r="K30">
        <f ca="1">VLOOKUP(AI18,$F$16:$M$25,6,FALSE)</f>
        <v>0</v>
      </c>
      <c r="L30">
        <f ca="1">VLOOKUP(AI18,$F$16:$M$25,7,FALSE)</f>
        <v>0</v>
      </c>
      <c r="M30">
        <f ca="1">K30-L30</f>
        <v>0</v>
      </c>
      <c r="O30" t="str">
        <f ca="1">F30</f>
        <v>Mexico</v>
      </c>
      <c r="P30">
        <f ca="1">VLOOKUP(O30,$F$28:$M$37,5,FALSE)</f>
        <v>3</v>
      </c>
      <c r="Q30">
        <f ca="1">VLOOKUP(O30,$F$28:$M$37,8,FALSE)</f>
        <v>0</v>
      </c>
      <c r="S30" t="str">
        <f ca="1">IF(AND($P28=P30,Q30&gt;Q28),O28,O30)</f>
        <v>Mexico</v>
      </c>
      <c r="T30">
        <f ca="1">VLOOKUP(S30,$O$28:$Q$37,2,FALSE)</f>
        <v>3</v>
      </c>
      <c r="U30">
        <f ca="1">VLOOKUP(S30,$O$28:$Q$37,3,FALSE)</f>
        <v>0</v>
      </c>
      <c r="W30" t="str">
        <f ca="1">S30</f>
        <v>Mexico</v>
      </c>
      <c r="X30">
        <f ca="1">VLOOKUP(W30,$S$28:$U$37,2,FALSE)</f>
        <v>3</v>
      </c>
      <c r="Y30">
        <f ca="1">VLOOKUP(W30,$S$28:$U$37,3,FALSE)</f>
        <v>0</v>
      </c>
      <c r="AA30" t="str">
        <f ca="1">IF(AND(X29=X30,Y30&gt;Y29),W29,W30)</f>
        <v>Mexico</v>
      </c>
      <c r="AB30">
        <f ca="1">VLOOKUP(AA30,W28:Y37,2,FALSE)</f>
        <v>3</v>
      </c>
      <c r="AC30">
        <f ca="1">VLOOKUP(AA30,W28:Y37,3,FALSE)</f>
        <v>0</v>
      </c>
      <c r="AE30" t="str">
        <f ca="1">AA30</f>
        <v>Mexico</v>
      </c>
      <c r="AF30">
        <f ca="1">VLOOKUP(AE30,AA28:AC37,2,FALSE)</f>
        <v>3</v>
      </c>
      <c r="AG30">
        <f ca="1">VLOOKUP(AE30,AA28:AC37,3,FALSE)</f>
        <v>0</v>
      </c>
      <c r="AI30" t="str">
        <f ca="1">IF(AND(AF30=AF31,AG31&gt;AG30),AE31,AE30)</f>
        <v>Mexico</v>
      </c>
      <c r="AJ30">
        <f ca="1">VLOOKUP(AI30,AE28:AG37,2,FALSE)</f>
        <v>3</v>
      </c>
      <c r="AK30">
        <f ca="1">VLOOKUP(AI30,AE28:AG37,3,FALSE)</f>
        <v>0</v>
      </c>
    </row>
    <row r="31" spans="6:37">
      <c r="F31" t="str">
        <f ca="1">AI19</f>
        <v>Polonia</v>
      </c>
      <c r="J31">
        <f ca="1">AJ19</f>
        <v>3</v>
      </c>
      <c r="K31">
        <f ca="1">VLOOKUP(AI19,$F$16:$M$25,6,FALSE)</f>
        <v>0</v>
      </c>
      <c r="L31">
        <f ca="1">VLOOKUP(AI19,$F$16:$M$25,7,FALSE)</f>
        <v>0</v>
      </c>
      <c r="M31">
        <f ca="1">K31-L31</f>
        <v>0</v>
      </c>
      <c r="O31" t="str">
        <f ca="1">F31</f>
        <v>Polonia</v>
      </c>
      <c r="P31">
        <f ca="1">VLOOKUP(O31,$F$28:$M$37,5,FALSE)</f>
        <v>3</v>
      </c>
      <c r="Q31">
        <f ca="1">VLOOKUP(O31,$F$28:$M$37,8,FALSE)</f>
        <v>0</v>
      </c>
      <c r="S31" t="str">
        <f ca="1">O31</f>
        <v>Polonia</v>
      </c>
      <c r="T31">
        <f ca="1">VLOOKUP(S31,$O$28:$Q$37,2,FALSE)</f>
        <v>3</v>
      </c>
      <c r="U31">
        <f ca="1">VLOOKUP(S31,$O$28:$Q$37,3,FALSE)</f>
        <v>0</v>
      </c>
      <c r="W31" t="str">
        <f ca="1">IF(AND(T28=T31,U31&gt;U28),S28,S31)</f>
        <v>Polonia</v>
      </c>
      <c r="X31">
        <f ca="1">VLOOKUP(W31,$S$28:$U$37,2,FALSE)</f>
        <v>3</v>
      </c>
      <c r="Y31">
        <f ca="1">VLOOKUP(W31,$S$28:$U$37,3,FALSE)</f>
        <v>0</v>
      </c>
      <c r="AA31" t="str">
        <f ca="1">W31</f>
        <v>Polonia</v>
      </c>
      <c r="AB31">
        <f ca="1">VLOOKUP(AA31,W28:Y37,2,FALSE)</f>
        <v>3</v>
      </c>
      <c r="AC31">
        <f ca="1">VLOOKUP(AA31,W28:Y37,3,FALSE)</f>
        <v>0</v>
      </c>
      <c r="AE31" t="str">
        <f ca="1">IF(AND(AB29=AB31,AC31&gt;AC29),AA29,AA31)</f>
        <v>Polonia</v>
      </c>
      <c r="AF31">
        <f ca="1">VLOOKUP(AE31,AA28:AC37,2,FALSE)</f>
        <v>3</v>
      </c>
      <c r="AG31">
        <f ca="1">VLOOKUP(AE31,AA28:AC37,3,FALSE)</f>
        <v>0</v>
      </c>
      <c r="AI31" t="str">
        <f ca="1">IF(AND(AF30=AF31,AG31&gt;AG30),AE30,AE31)</f>
        <v>Polonia</v>
      </c>
      <c r="AJ31">
        <f ca="1">VLOOKUP(AI31,AE28:AG37,2,FALSE)</f>
        <v>3</v>
      </c>
      <c r="AK31">
        <f ca="1">VLOOKUP(AI31,AE28:AG37,3,FALSE)</f>
        <v>0</v>
      </c>
    </row>
    <row r="40" spans="6:38">
      <c r="F40" t="str">
        <f ca="1">AI28</f>
        <v>Argentina</v>
      </c>
      <c r="J40">
        <f ca="1">VLOOKUP(F40,$F$16:$M$25,8,FALSE)</f>
        <v>3</v>
      </c>
      <c r="K40">
        <f ca="1">VLOOKUP(F40,$F$16:$M$25,6,FALSE)</f>
        <v>0</v>
      </c>
      <c r="L40">
        <f ca="1">VLOOKUP(F40,$F$16:$M$25,7,FALSE)</f>
        <v>0</v>
      </c>
      <c r="M40">
        <f ca="1">K40-L40</f>
        <v>0</v>
      </c>
      <c r="O40" t="str">
        <f ca="1">IF(AND(J40=J41,M40=M41,K41&gt;K40),F41,F40)</f>
        <v>Argentina</v>
      </c>
      <c r="P40">
        <f ca="1">VLOOKUP(O40,$F$40:$M$49,5,FALSE)</f>
        <v>3</v>
      </c>
      <c r="Q40">
        <f ca="1">VLOOKUP(O40,$F$40:$M$49,8,FALSE)</f>
        <v>0</v>
      </c>
      <c r="R40">
        <f ca="1">VLOOKUP(O40,$F$40:$M$49,6,FALSE)</f>
        <v>0</v>
      </c>
      <c r="S40" t="str">
        <f ca="1">IF(AND(P40=P42,Q40=Q42,R42&gt;R40),O42,O40)</f>
        <v>Argentina</v>
      </c>
      <c r="T40">
        <f ca="1">VLOOKUP(S40,$O$40:$R$49,2,FALSE)</f>
        <v>3</v>
      </c>
      <c r="U40">
        <f ca="1">VLOOKUP(S40,$O$40:$R$49,3,FALSE)</f>
        <v>0</v>
      </c>
      <c r="V40">
        <f ca="1">VLOOKUP(S40,$O$40:$R$49,4,FALSE)</f>
        <v>0</v>
      </c>
      <c r="W40" t="str">
        <f ca="1">IF(AND(T40=T43,U40=U43,V43&gt;V40),S43,S40)</f>
        <v>Argentina</v>
      </c>
      <c r="X40">
        <f ca="1">VLOOKUP(W40,$S$40:$V$49,2,FALSE)</f>
        <v>3</v>
      </c>
      <c r="Y40">
        <f ca="1">VLOOKUP(W40,$S$40:$V$49,3,FALSE)</f>
        <v>0</v>
      </c>
      <c r="Z40">
        <f ca="1">VLOOKUP(W40,$S$40:$V$49,4,FALSE)</f>
        <v>0</v>
      </c>
      <c r="AA40" t="str">
        <f ca="1">W40</f>
        <v>Argentina</v>
      </c>
      <c r="AB40">
        <f ca="1">VLOOKUP(AA40,W40:Z49,2,FALSE)</f>
        <v>3</v>
      </c>
      <c r="AC40">
        <f ca="1">VLOOKUP(AA40,W40:Z49,3,FALSE)</f>
        <v>0</v>
      </c>
      <c r="AD40">
        <f ca="1">VLOOKUP(AA40,W40:Z49,4,FALSE)</f>
        <v>0</v>
      </c>
      <c r="AE40" t="str">
        <f ca="1">AA40</f>
        <v>Argentina</v>
      </c>
      <c r="AF40">
        <f ca="1">VLOOKUP(AE40,AA40:AD49,2,FALSE)</f>
        <v>3</v>
      </c>
      <c r="AG40">
        <f ca="1">VLOOKUP(AE40,AA40:AD49,3,FALSE)</f>
        <v>0</v>
      </c>
      <c r="AH40">
        <f ca="1">VLOOKUP(AE40,AA40:AD49,4,FALSE)</f>
        <v>0</v>
      </c>
      <c r="AI40" t="str">
        <f ca="1">AE40</f>
        <v>Argentina</v>
      </c>
      <c r="AJ40">
        <f ca="1">VLOOKUP(AI40,AE40:AH49,2,FALSE)</f>
        <v>3</v>
      </c>
      <c r="AK40">
        <f ca="1">VLOOKUP(AI40,AE40:AH49,3,FALSE)</f>
        <v>0</v>
      </c>
      <c r="AL40">
        <f ca="1">VLOOKUP(AI40,AE40:AH49,4,FALSE)</f>
        <v>0</v>
      </c>
    </row>
    <row r="41" spans="6:38">
      <c r="F41" t="str">
        <f ca="1">AI29</f>
        <v>Arabia Saudi</v>
      </c>
      <c r="J41">
        <f ca="1">VLOOKUP(F41,$F$16:$M$25,8,FALSE)</f>
        <v>3</v>
      </c>
      <c r="K41">
        <f ca="1">VLOOKUP(F41,$F$16:$M$25,6,FALSE)</f>
        <v>0</v>
      </c>
      <c r="L41">
        <f ca="1">VLOOKUP(F41,$F$16:$M$25,7,FALSE)</f>
        <v>0</v>
      </c>
      <c r="M41">
        <f ca="1">K41-L41</f>
        <v>0</v>
      </c>
      <c r="O41" t="str">
        <f ca="1">IF(AND(J40=J41,M40=M41,K41&gt;K40),F40,F41)</f>
        <v>Arabia Saudi</v>
      </c>
      <c r="P41">
        <f ca="1">VLOOKUP(O41,$F$40:$M$49,5,FALSE)</f>
        <v>3</v>
      </c>
      <c r="Q41">
        <f ca="1">VLOOKUP(O41,$F$40:$M$49,8,FALSE)</f>
        <v>0</v>
      </c>
      <c r="R41">
        <f ca="1">VLOOKUP(O41,$F$40:$M$49,6,FALSE)</f>
        <v>0</v>
      </c>
      <c r="S41" t="str">
        <f ca="1">O41</f>
        <v>Arabia Saudi</v>
      </c>
      <c r="T41">
        <f ca="1">VLOOKUP(S41,$O$40:$R$49,2,FALSE)</f>
        <v>3</v>
      </c>
      <c r="U41">
        <f ca="1">VLOOKUP(S41,$O$40:$R$49,3,FALSE)</f>
        <v>0</v>
      </c>
      <c r="V41">
        <f ca="1">VLOOKUP(S41,$O$40:$R$49,4,FALSE)</f>
        <v>0</v>
      </c>
      <c r="W41" t="str">
        <f ca="1">S41</f>
        <v>Arabia Saudi</v>
      </c>
      <c r="X41">
        <f ca="1">VLOOKUP(W41,$S$40:$V$49,2,FALSE)</f>
        <v>3</v>
      </c>
      <c r="Y41">
        <f ca="1">VLOOKUP(W41,$S$40:$V$49,3,FALSE)</f>
        <v>0</v>
      </c>
      <c r="Z41">
        <f ca="1">VLOOKUP(W41,$S$40:$V$49,4,FALSE)</f>
        <v>0</v>
      </c>
      <c r="AA41" t="str">
        <f ca="1">IF(AND(X41=X42,Y41=Y42,Z42&gt;Z41),W42,W41)</f>
        <v>Arabia Saudi</v>
      </c>
      <c r="AB41">
        <f ca="1">VLOOKUP(AA41,W40:Z49,2,FALSE)</f>
        <v>3</v>
      </c>
      <c r="AC41">
        <f ca="1">VLOOKUP(AA41,W40:Z49,3,FALSE)</f>
        <v>0</v>
      </c>
      <c r="AD41">
        <f ca="1">VLOOKUP(AA41,W40:Z49,4,FALSE)</f>
        <v>0</v>
      </c>
      <c r="AE41" t="str">
        <f ca="1">IF(AND(AB41=AB43,AC41=AC43,AD43&gt;AD41),AA43,AA41)</f>
        <v>Arabia Saudi</v>
      </c>
      <c r="AF41">
        <f ca="1">VLOOKUP(AE41,AA40:AD49,2,FALSE)</f>
        <v>3</v>
      </c>
      <c r="AG41">
        <f ca="1">VLOOKUP(AE41,AA40:AD49,3,FALSE)</f>
        <v>0</v>
      </c>
      <c r="AH41">
        <f ca="1">VLOOKUP(AE41,AA40:AD49,4,FALSE)</f>
        <v>0</v>
      </c>
      <c r="AI41" t="str">
        <f ca="1">AE41</f>
        <v>Arabia Saudi</v>
      </c>
      <c r="AJ41">
        <f ca="1">VLOOKUP(AI41,AE40:AH49,2,FALSE)</f>
        <v>3</v>
      </c>
      <c r="AK41">
        <f ca="1">VLOOKUP(AI41,AE40:AH49,3,FALSE)</f>
        <v>0</v>
      </c>
      <c r="AL41">
        <f ca="1">VLOOKUP(AI41,AE40:AH49,4,FALSE)</f>
        <v>0</v>
      </c>
    </row>
    <row r="42" spans="6:38">
      <c r="F42" t="str">
        <f ca="1">AI30</f>
        <v>Mexico</v>
      </c>
      <c r="J42">
        <f ca="1">VLOOKUP(F42,$F$16:$M$25,8,FALSE)</f>
        <v>3</v>
      </c>
      <c r="K42">
        <f ca="1">VLOOKUP(F42,$F$16:$M$25,6,FALSE)</f>
        <v>0</v>
      </c>
      <c r="L42">
        <f ca="1">VLOOKUP(F42,$F$16:$M$25,7,FALSE)</f>
        <v>0</v>
      </c>
      <c r="M42">
        <f ca="1">K42-L42</f>
        <v>0</v>
      </c>
      <c r="O42" t="str">
        <f ca="1">F42</f>
        <v>Mexico</v>
      </c>
      <c r="P42">
        <f ca="1">VLOOKUP(O42,$F$40:$M$49,5,FALSE)</f>
        <v>3</v>
      </c>
      <c r="Q42">
        <f ca="1">VLOOKUP(O42,$F$40:$M$49,8,FALSE)</f>
        <v>0</v>
      </c>
      <c r="R42">
        <f ca="1">VLOOKUP(O42,$F$40:$M$49,6,FALSE)</f>
        <v>0</v>
      </c>
      <c r="S42" t="str">
        <f ca="1">IF(AND(P40=P42,Q40=Q42,R42&gt;R40),O40,O42)</f>
        <v>Mexico</v>
      </c>
      <c r="T42">
        <f ca="1">VLOOKUP(S42,$O$40:$R$49,2,FALSE)</f>
        <v>3</v>
      </c>
      <c r="U42">
        <f ca="1">VLOOKUP(S42,$O$40:$R$49,3,FALSE)</f>
        <v>0</v>
      </c>
      <c r="V42">
        <f ca="1">VLOOKUP(S42,$O$40:$R$49,4,FALSE)</f>
        <v>0</v>
      </c>
      <c r="W42" t="str">
        <f ca="1">S42</f>
        <v>Mexico</v>
      </c>
      <c r="X42">
        <f ca="1">VLOOKUP(W42,$S$40:$V$49,2,FALSE)</f>
        <v>3</v>
      </c>
      <c r="Y42">
        <f ca="1">VLOOKUP(W42,$S$40:$V$49,3,FALSE)</f>
        <v>0</v>
      </c>
      <c r="Z42">
        <f ca="1">VLOOKUP(W42,$S$40:$V$49,4,FALSE)</f>
        <v>0</v>
      </c>
      <c r="AA42" t="str">
        <f ca="1">IF(AND(X41=X42,Y41=Y42,Z42&gt;Z41),W41,W42)</f>
        <v>Mexico</v>
      </c>
      <c r="AB42">
        <f ca="1">VLOOKUP(AA42,W40:Z49,2,FALSE)</f>
        <v>3</v>
      </c>
      <c r="AC42">
        <f ca="1">VLOOKUP(AA42,W40:Z49,3,FALSE)</f>
        <v>0</v>
      </c>
      <c r="AD42">
        <f ca="1">VLOOKUP(AA42,W40:Z49,4,FALSE)</f>
        <v>0</v>
      </c>
      <c r="AE42" t="str">
        <f ca="1">AA42</f>
        <v>Mexico</v>
      </c>
      <c r="AF42">
        <f ca="1">VLOOKUP(AE42,AA40:AD49,2,FALSE)</f>
        <v>3</v>
      </c>
      <c r="AG42">
        <f ca="1">VLOOKUP(AE42,AA40:AD49,3,FALSE)</f>
        <v>0</v>
      </c>
      <c r="AH42">
        <f ca="1">VLOOKUP(AE42,AA40:AD49,4,FALSE)</f>
        <v>0</v>
      </c>
      <c r="AI42" t="str">
        <f ca="1">IF(AND(AF42=AF43,AG42=AG43,AH43&gt;AH42),AE43,AE42)</f>
        <v>Mexico</v>
      </c>
      <c r="AJ42">
        <f ca="1">VLOOKUP(AI42,AE40:AH49,2,FALSE)</f>
        <v>3</v>
      </c>
      <c r="AK42">
        <f ca="1">VLOOKUP(AI42,AE40:AH49,3,FALSE)</f>
        <v>0</v>
      </c>
      <c r="AL42">
        <f ca="1">VLOOKUP(AI42,AE40:AH49,4,FALSE)</f>
        <v>0</v>
      </c>
    </row>
    <row r="43" spans="6:38">
      <c r="F43" t="str">
        <f ca="1">AI31</f>
        <v>Polonia</v>
      </c>
      <c r="J43">
        <f ca="1">VLOOKUP(F43,$F$16:$M$25,8,FALSE)</f>
        <v>3</v>
      </c>
      <c r="K43">
        <f ca="1">VLOOKUP(F43,$F$16:$M$25,6,FALSE)</f>
        <v>0</v>
      </c>
      <c r="L43">
        <f ca="1">VLOOKUP(F43,$F$16:$M$25,7,FALSE)</f>
        <v>0</v>
      </c>
      <c r="M43">
        <f ca="1">K43-L43</f>
        <v>0</v>
      </c>
      <c r="O43" t="str">
        <f ca="1">F43</f>
        <v>Polonia</v>
      </c>
      <c r="P43">
        <f ca="1">VLOOKUP(O43,$F$40:$M$49,5,FALSE)</f>
        <v>3</v>
      </c>
      <c r="Q43">
        <f ca="1">VLOOKUP(O43,$F$40:$M$49,8,FALSE)</f>
        <v>0</v>
      </c>
      <c r="R43">
        <f ca="1">VLOOKUP(O43,$F$40:$M$49,6,FALSE)</f>
        <v>0</v>
      </c>
      <c r="S43" t="str">
        <f ca="1">O43</f>
        <v>Polonia</v>
      </c>
      <c r="T43">
        <f ca="1">VLOOKUP(S43,$O$40:$R$49,2,FALSE)</f>
        <v>3</v>
      </c>
      <c r="U43">
        <f ca="1">VLOOKUP(S43,$O$40:$R$49,3,FALSE)</f>
        <v>0</v>
      </c>
      <c r="V43">
        <f ca="1">VLOOKUP(S43,$O$40:$R$49,4,FALSE)</f>
        <v>0</v>
      </c>
      <c r="W43" t="str">
        <f ca="1">IF(AND(T40=T43,U40=U43,V43&gt;V40),S40,S43)</f>
        <v>Polonia</v>
      </c>
      <c r="X43">
        <f ca="1">VLOOKUP(W43,$S$40:$V$49,2,FALSE)</f>
        <v>3</v>
      </c>
      <c r="Y43">
        <f ca="1">VLOOKUP(W43,$S$40:$V$49,3,FALSE)</f>
        <v>0</v>
      </c>
      <c r="Z43">
        <f ca="1">VLOOKUP(W43,$S$40:$V$49,4,FALSE)</f>
        <v>0</v>
      </c>
      <c r="AA43" t="str">
        <f ca="1">W43</f>
        <v>Polonia</v>
      </c>
      <c r="AB43">
        <f ca="1">VLOOKUP(AA43,W40:Z49,2,FALSE)</f>
        <v>3</v>
      </c>
      <c r="AC43">
        <f ca="1">VLOOKUP(AA43,W40:Z49,3,FALSE)</f>
        <v>0</v>
      </c>
      <c r="AD43">
        <f ca="1">VLOOKUP(AA43,W40:Z49,4,FALSE)</f>
        <v>0</v>
      </c>
      <c r="AE43" t="str">
        <f ca="1">IF(AND(AB41=AB43,AC41=AC43,AD43&gt;AD41),AA41,AA43)</f>
        <v>Polonia</v>
      </c>
      <c r="AF43">
        <f ca="1">VLOOKUP(AE43,AA40:AD49,2,FALSE)</f>
        <v>3</v>
      </c>
      <c r="AG43">
        <f ca="1">VLOOKUP(AE43,AA40:AD49,3,FALSE)</f>
        <v>0</v>
      </c>
      <c r="AH43">
        <f ca="1">VLOOKUP(AE43,AA40:AD49,4,FALSE)</f>
        <v>0</v>
      </c>
      <c r="AI43" t="str">
        <f ca="1">IF(AND(AF42=AF43,AG42=AG43,AH43&gt;AH42),AE42,AE43)</f>
        <v>Polonia</v>
      </c>
      <c r="AJ43">
        <f ca="1">VLOOKUP(AI43,AE40:AH49,2,FALSE)</f>
        <v>3</v>
      </c>
      <c r="AK43">
        <f ca="1">VLOOKUP(AI43,AE40:AH49,3,FALSE)</f>
        <v>0</v>
      </c>
      <c r="AL43">
        <f ca="1">VLOOKUP(AI43,AE40:AH49,4,FALSE)</f>
        <v>0</v>
      </c>
    </row>
    <row r="51" spans="6:13">
      <c r="F51" t="s">
        <v>334</v>
      </c>
    </row>
    <row r="52" spans="6:13">
      <c r="F52" t="str">
        <f ca="1">AI40</f>
        <v>Argentina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Arabia Saudi</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Mexico</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Polonia</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cKhu374EKg5DAKke4ULa0kzEaVUDOYv1nPfIeiR0RA5r9xkn2W6w7L22R+LMSr6z0Ac2/Nvvynnibx0zL9xLGA==" saltValue="2kuju7bxhLaZoLAAYypp/Q=="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31"/>
  <dimension ref="A2:AL55"/>
  <sheetViews>
    <sheetView showRowColHeaders="0" topLeftCell="A10" workbookViewId="0">
      <selection activeCell="I24" sqref="I24:I30"/>
    </sheetView>
  </sheetViews>
  <sheetFormatPr defaultRowHeight="12.6"/>
  <cols>
    <col min="1" max="1" width="10.28515625" bestFit="1" customWidth="1"/>
    <col min="2" max="2" width="3.140625" customWidth="1"/>
    <col min="3" max="3" width="1.5703125" bestFit="1" customWidth="1"/>
    <col min="4" max="4" width="3.28515625" customWidth="1"/>
    <col min="5" max="5" width="10.28515625" bestFit="1" customWidth="1"/>
    <col min="6" max="6" width="13.5703125" bestFit="1" customWidth="1"/>
    <col min="7" max="7" width="8.85546875" bestFit="1" customWidth="1"/>
    <col min="8" max="8" width="2.28515625" bestFit="1" customWidth="1"/>
    <col min="9" max="12" width="2" bestFit="1" customWidth="1"/>
    <col min="13" max="13" width="3.5703125" bestFit="1" customWidth="1"/>
    <col min="14" max="14" width="7.28515625" bestFit="1" customWidth="1"/>
    <col min="15" max="15" width="13" bestFit="1" customWidth="1"/>
    <col min="16" max="18" width="2" bestFit="1" customWidth="1"/>
    <col min="19" max="19" width="13" bestFit="1" customWidth="1"/>
    <col min="20" max="20" width="2" bestFit="1" customWidth="1"/>
    <col min="21" max="21" width="10.28515625" bestFit="1" customWidth="1"/>
    <col min="22" max="22" width="2.28515625" bestFit="1" customWidth="1"/>
    <col min="23" max="23" width="13" bestFit="1" customWidth="1"/>
    <col min="24" max="26" width="2" bestFit="1" customWidth="1"/>
    <col min="27" max="27" width="13" bestFit="1" customWidth="1"/>
    <col min="28" max="28" width="6.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B -'!U7&lt;&gt;"",'- B -'!U7,"")</f>
        <v>Inglaterra</v>
      </c>
      <c r="N2" t="str">
        <f>IF('- B -'!U9&lt;&gt;"",'- B -'!U9,"")</f>
        <v>Iran</v>
      </c>
      <c r="U2" t="str">
        <f>IF('- B -'!U11&lt;&gt;"",'- B -'!U11,"")</f>
        <v>USA</v>
      </c>
      <c r="AB2" t="str">
        <f>IF('- B -'!U13&lt;&gt;"",'- B -'!U13,"")</f>
        <v>Gales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B -'!B6</f>
        <v>Inglaterra</v>
      </c>
      <c r="B4" s="127">
        <f>+'resultados oficiales'!J4</f>
        <v>0</v>
      </c>
      <c r="C4" s="1" t="str">
        <f>'- A -'!D6</f>
        <v>-</v>
      </c>
      <c r="D4" s="127">
        <f>+'resultados oficiales'!L4</f>
        <v>0</v>
      </c>
      <c r="E4" s="3" t="str">
        <f>'- B -'!F6</f>
        <v>Iran</v>
      </c>
      <c r="F4" s="1">
        <f ca="1">COUNTBLANK('- B -'!C6:'- B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B -'!B7</f>
        <v>USA</v>
      </c>
      <c r="B5" s="127">
        <f>+'resultados oficiales'!J6</f>
        <v>0</v>
      </c>
      <c r="C5" s="1" t="str">
        <f>'- A -'!D7</f>
        <v>-</v>
      </c>
      <c r="D5" s="127">
        <f>+'resultados oficiales'!L6</f>
        <v>0</v>
      </c>
      <c r="E5" s="3" t="str">
        <f>'- B -'!F7</f>
        <v>Gales</v>
      </c>
      <c r="F5" s="1">
        <f ca="1">COUNTBLANK('- B -'!C7:'- B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B -'!B8</f>
        <v>Gales</v>
      </c>
      <c r="B6" s="127">
        <f>+'resultados oficiales'!J8</f>
        <v>0</v>
      </c>
      <c r="C6" s="1" t="str">
        <f>'- A -'!D8</f>
        <v>-</v>
      </c>
      <c r="D6" s="127">
        <f>+'resultados oficiales'!L8</f>
        <v>0</v>
      </c>
      <c r="E6" s="3" t="str">
        <f>'- B -'!F8</f>
        <v>Iran</v>
      </c>
      <c r="F6" s="1">
        <f ca="1">COUNTBLANK('- B -'!C8:'- B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B -'!B9</f>
        <v>Inglaterra</v>
      </c>
      <c r="B7" s="127">
        <f>+'resultados oficiales'!J10</f>
        <v>0</v>
      </c>
      <c r="C7" s="1" t="str">
        <f>'- A -'!D9</f>
        <v>-</v>
      </c>
      <c r="D7" s="127">
        <f>+'resultados oficiales'!L10</f>
        <v>0</v>
      </c>
      <c r="E7" s="3" t="str">
        <f>'- B -'!F9</f>
        <v>USA</v>
      </c>
      <c r="F7" s="1">
        <f ca="1">COUNTBLANK('- B -'!C9:'- B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B -'!B10</f>
        <v>Iran</v>
      </c>
      <c r="B8" s="127">
        <f>+'resultados oficiales'!J12</f>
        <v>0</v>
      </c>
      <c r="C8" s="1" t="str">
        <f>'- A -'!D10</f>
        <v>-</v>
      </c>
      <c r="D8" s="127">
        <f>+'resultados oficiales'!L12</f>
        <v>0</v>
      </c>
      <c r="E8" s="3" t="str">
        <f>'- B -'!F10</f>
        <v>USA</v>
      </c>
      <c r="F8" s="1">
        <f ca="1">COUNTBLANK('- B -'!C10:'- B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B -'!B11</f>
        <v>Gales</v>
      </c>
      <c r="B9" s="127">
        <f>+'resultados oficiales'!J14</f>
        <v>0</v>
      </c>
      <c r="C9" s="1" t="str">
        <f>'- A -'!D11</f>
        <v>-</v>
      </c>
      <c r="D9" s="127">
        <f>+'resultados oficiales'!L14</f>
        <v>0</v>
      </c>
      <c r="E9" s="3" t="str">
        <f>'- B -'!F11</f>
        <v>Inglaterra</v>
      </c>
      <c r="F9" s="1">
        <f ca="1">COUNTBLANK('- B -'!C11:'- B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Inglaterra</v>
      </c>
      <c r="G16">
        <f t="shared" ref="G16:M16" ca="1" si="28">G10</f>
        <v>3</v>
      </c>
      <c r="H16">
        <f t="shared" ca="1" si="28"/>
        <v>0</v>
      </c>
      <c r="I16">
        <f t="shared" ca="1" si="28"/>
        <v>3</v>
      </c>
      <c r="J16">
        <f t="shared" ca="1" si="28"/>
        <v>0</v>
      </c>
      <c r="K16">
        <f t="shared" ca="1" si="28"/>
        <v>0</v>
      </c>
      <c r="L16">
        <f t="shared" ca="1" si="28"/>
        <v>0</v>
      </c>
      <c r="M16">
        <f t="shared" ca="1" si="28"/>
        <v>3</v>
      </c>
      <c r="O16" t="str">
        <f ca="1">IF($M16&gt;=$M17,$F16,$F17)</f>
        <v>Inglaterra</v>
      </c>
      <c r="P16">
        <f ca="1">VLOOKUP(O16,$F$16:$M$25,8,FALSE)</f>
        <v>3</v>
      </c>
      <c r="S16" t="str">
        <f ca="1">IF($P16&gt;=$P18,$O16,$O18)</f>
        <v>Inglaterra</v>
      </c>
      <c r="T16">
        <f ca="1">VLOOKUP(S16,$O$16:$P$25,2,FALSE)</f>
        <v>3</v>
      </c>
      <c r="W16" t="str">
        <f ca="1">IF($T16&gt;=$T19,$S16,$S19)</f>
        <v>Inglaterra</v>
      </c>
      <c r="X16">
        <f ca="1">VLOOKUP(W16,$S$16:$T$25,2,FALSE)</f>
        <v>3</v>
      </c>
      <c r="AA16" t="str">
        <f ca="1">W16</f>
        <v>Inglaterra</v>
      </c>
      <c r="AB16">
        <f ca="1">VLOOKUP(AA16,W16:X25,2,FALSE)</f>
        <v>3</v>
      </c>
      <c r="AE16" t="str">
        <f ca="1">AA16</f>
        <v>Inglaterra</v>
      </c>
      <c r="AF16">
        <f ca="1">VLOOKUP(AE16,AA16:AB25,2,FALSE)</f>
        <v>3</v>
      </c>
      <c r="AI16" t="str">
        <f ca="1">AE16</f>
        <v>Inglaterra</v>
      </c>
      <c r="AJ16">
        <f ca="1">VLOOKUP(AI16,AE16:AF25,2,FALSE)</f>
        <v>3</v>
      </c>
    </row>
    <row r="17" spans="6:37">
      <c r="F17" t="str">
        <f>N2</f>
        <v>Iran</v>
      </c>
      <c r="G17">
        <f t="shared" ref="G17:M17" ca="1" si="29">N10</f>
        <v>3</v>
      </c>
      <c r="H17">
        <f t="shared" ca="1" si="29"/>
        <v>0</v>
      </c>
      <c r="I17">
        <f t="shared" ca="1" si="29"/>
        <v>3</v>
      </c>
      <c r="J17">
        <f t="shared" ca="1" si="29"/>
        <v>0</v>
      </c>
      <c r="K17">
        <f t="shared" ca="1" si="29"/>
        <v>0</v>
      </c>
      <c r="L17">
        <f t="shared" ca="1" si="29"/>
        <v>0</v>
      </c>
      <c r="M17">
        <f t="shared" ca="1" si="29"/>
        <v>3</v>
      </c>
      <c r="O17" t="str">
        <f ca="1">IF($M17&lt;=$M16,$F17,$F16)</f>
        <v>Iran</v>
      </c>
      <c r="P17">
        <f ca="1">VLOOKUP(O17,$F$16:$M$25,8,FALSE)</f>
        <v>3</v>
      </c>
      <c r="S17" t="str">
        <f ca="1">O17</f>
        <v>Iran</v>
      </c>
      <c r="T17">
        <f ca="1">VLOOKUP(S17,$O$16:$P$25,2,FALSE)</f>
        <v>3</v>
      </c>
      <c r="W17" t="str">
        <f ca="1">S17</f>
        <v>Iran</v>
      </c>
      <c r="X17">
        <f ca="1">VLOOKUP(W17,$S$16:$T$25,2,FALSE)</f>
        <v>3</v>
      </c>
      <c r="AA17" t="str">
        <f ca="1">IF(X17&gt;=X18,W17,W18)</f>
        <v>Iran</v>
      </c>
      <c r="AB17">
        <f ca="1">VLOOKUP(AA17,W16:X25,2,FALSE)</f>
        <v>3</v>
      </c>
      <c r="AE17" t="str">
        <f ca="1">IF(AB17&gt;=AB19,AA17,AA19)</f>
        <v>Iran</v>
      </c>
      <c r="AF17">
        <f ca="1">VLOOKUP(AE17,AA16:AB25,2,FALSE)</f>
        <v>3</v>
      </c>
      <c r="AI17" t="str">
        <f ca="1">AE17</f>
        <v>Iran</v>
      </c>
      <c r="AJ17">
        <f ca="1">VLOOKUP(AI17,AE16:AF25,2,FALSE)</f>
        <v>3</v>
      </c>
    </row>
    <row r="18" spans="6:37">
      <c r="F18" t="str">
        <f>U2</f>
        <v>USA</v>
      </c>
      <c r="G18">
        <f t="shared" ref="G18:M18" ca="1" si="30">U10</f>
        <v>3</v>
      </c>
      <c r="H18">
        <f t="shared" ca="1" si="30"/>
        <v>0</v>
      </c>
      <c r="I18">
        <f t="shared" ca="1" si="30"/>
        <v>3</v>
      </c>
      <c r="J18">
        <f t="shared" ca="1" si="30"/>
        <v>0</v>
      </c>
      <c r="K18">
        <f t="shared" ca="1" si="30"/>
        <v>0</v>
      </c>
      <c r="L18">
        <f t="shared" ca="1" si="30"/>
        <v>0</v>
      </c>
      <c r="M18">
        <f t="shared" ca="1" si="30"/>
        <v>3</v>
      </c>
      <c r="O18" t="str">
        <f>F18</f>
        <v>USA</v>
      </c>
      <c r="P18">
        <f ca="1">VLOOKUP(O18,$F$16:$M$25,8,FALSE)</f>
        <v>3</v>
      </c>
      <c r="S18" t="str">
        <f ca="1">IF($P18&lt;=$P16,$O18,$O16)</f>
        <v>USA</v>
      </c>
      <c r="T18">
        <f ca="1">VLOOKUP(S18,$O$16:$P$25,2,FALSE)</f>
        <v>3</v>
      </c>
      <c r="W18" t="str">
        <f ca="1">S18</f>
        <v>USA</v>
      </c>
      <c r="X18">
        <f ca="1">VLOOKUP(W18,$S$16:$T$25,2,FALSE)</f>
        <v>3</v>
      </c>
      <c r="AA18" t="str">
        <f ca="1">IF(X18&lt;=X17,W18,W17)</f>
        <v>USA</v>
      </c>
      <c r="AB18">
        <f ca="1">VLOOKUP(AA18,W16:X25,2,FALSE)</f>
        <v>3</v>
      </c>
      <c r="AE18" t="str">
        <f ca="1">AA18</f>
        <v>USA</v>
      </c>
      <c r="AF18">
        <f ca="1">VLOOKUP(AE18,AA16:AB25,2,FALSE)</f>
        <v>3</v>
      </c>
      <c r="AI18" t="str">
        <f ca="1">IF(AF18&gt;=AF19,AE18,AE19)</f>
        <v>USA</v>
      </c>
      <c r="AJ18">
        <f ca="1">VLOOKUP(AI18,AE16:AF25,2,FALSE)</f>
        <v>3</v>
      </c>
    </row>
    <row r="19" spans="6:37">
      <c r="F19" t="str">
        <f>AB2</f>
        <v>Gales</v>
      </c>
      <c r="G19">
        <f t="shared" ref="G19:M19" ca="1" si="31">AB10</f>
        <v>3</v>
      </c>
      <c r="H19">
        <f t="shared" ca="1" si="31"/>
        <v>0</v>
      </c>
      <c r="I19">
        <f t="shared" ca="1" si="31"/>
        <v>3</v>
      </c>
      <c r="J19">
        <f t="shared" ca="1" si="31"/>
        <v>0</v>
      </c>
      <c r="K19">
        <f t="shared" ca="1" si="31"/>
        <v>0</v>
      </c>
      <c r="L19">
        <f t="shared" ca="1" si="31"/>
        <v>0</v>
      </c>
      <c r="M19">
        <f t="shared" ca="1" si="31"/>
        <v>3</v>
      </c>
      <c r="O19" t="str">
        <f>F19</f>
        <v>Gales</v>
      </c>
      <c r="P19">
        <f ca="1">VLOOKUP(O19,$F$16:$M$25,8,FALSE)</f>
        <v>3</v>
      </c>
      <c r="S19" t="str">
        <f>O19</f>
        <v>Gales</v>
      </c>
      <c r="T19">
        <f ca="1">VLOOKUP(S19,$O$16:$P$25,2,FALSE)</f>
        <v>3</v>
      </c>
      <c r="W19" t="str">
        <f ca="1">IF($T19&lt;=$T16,$S19,$S16)</f>
        <v>Gales</v>
      </c>
      <c r="X19">
        <f ca="1">VLOOKUP(W19,$S$16:$T$25,2,FALSE)</f>
        <v>3</v>
      </c>
      <c r="AA19" t="str">
        <f ca="1">W19</f>
        <v>Gales</v>
      </c>
      <c r="AB19">
        <f ca="1">VLOOKUP(AA19,W16:X25,2,FALSE)</f>
        <v>3</v>
      </c>
      <c r="AE19" t="str">
        <f ca="1">IF(AB19&lt;=AB17,AA19,AA17)</f>
        <v>Gales</v>
      </c>
      <c r="AF19">
        <f ca="1">VLOOKUP(AE19,AA16:AB25,2,FALSE)</f>
        <v>3</v>
      </c>
      <c r="AI19" t="str">
        <f ca="1">IF(AF19&lt;=AF18,AE19,AE18)</f>
        <v>Gales</v>
      </c>
      <c r="AJ19">
        <f ca="1">VLOOKUP(AI19,AE16:AF25,2,FALSE)</f>
        <v>3</v>
      </c>
    </row>
    <row r="28" spans="6:37">
      <c r="F28" t="str">
        <f ca="1">AI16</f>
        <v>Inglaterra</v>
      </c>
      <c r="J28">
        <f ca="1">AJ16</f>
        <v>3</v>
      </c>
      <c r="K28">
        <f ca="1">VLOOKUP(AI16,$F$16:$M$25,6,FALSE)</f>
        <v>0</v>
      </c>
      <c r="L28">
        <f ca="1">VLOOKUP(AI16,$F$16:$M$25,7,FALSE)</f>
        <v>0</v>
      </c>
      <c r="M28">
        <f ca="1">K28-L28</f>
        <v>0</v>
      </c>
      <c r="O28" t="str">
        <f ca="1">IF(AND($J28=$J29,$M29&gt;$M28),$F29,$F28)</f>
        <v>Inglaterra</v>
      </c>
      <c r="P28">
        <f ca="1">VLOOKUP(O28,$F$28:$M$37,5,FALSE)</f>
        <v>3</v>
      </c>
      <c r="Q28">
        <f ca="1">VLOOKUP(O28,$F$28:$M$37,8,FALSE)</f>
        <v>0</v>
      </c>
      <c r="S28" t="str">
        <f ca="1">IF(AND(P28=P30,Q30&gt;Q28),O30,O28)</f>
        <v>Inglaterra</v>
      </c>
      <c r="T28">
        <f ca="1">VLOOKUP(S28,$O$28:$Q$37,2,FALSE)</f>
        <v>3</v>
      </c>
      <c r="U28">
        <f ca="1">VLOOKUP(S28,$O$28:$Q$37,3,FALSE)</f>
        <v>0</v>
      </c>
      <c r="W28" t="str">
        <f ca="1">IF(AND(T28=T31,U31&gt;U28),S31,S28)</f>
        <v>Inglaterra</v>
      </c>
      <c r="X28">
        <f ca="1">VLOOKUP(W28,$S$28:$U$37,2,FALSE)</f>
        <v>3</v>
      </c>
      <c r="Y28">
        <f ca="1">VLOOKUP(W28,$S$28:$U$37,3,FALSE)</f>
        <v>0</v>
      </c>
      <c r="AA28" t="str">
        <f ca="1">W28</f>
        <v>Inglaterra</v>
      </c>
      <c r="AB28">
        <f ca="1">VLOOKUP(AA28,W28:Y37,2,FALSE)</f>
        <v>3</v>
      </c>
      <c r="AC28">
        <f ca="1">VLOOKUP(AA28,W28:Y37,3,FALSE)</f>
        <v>0</v>
      </c>
      <c r="AE28" t="str">
        <f ca="1">AA28</f>
        <v>Inglaterra</v>
      </c>
      <c r="AF28">
        <f ca="1">VLOOKUP(AE28,AA28:AC37,2,FALSE)</f>
        <v>3</v>
      </c>
      <c r="AG28">
        <f ca="1">VLOOKUP(AE28,AA28:AC37,3,FALSE)</f>
        <v>0</v>
      </c>
      <c r="AI28" t="str">
        <f ca="1">AE28</f>
        <v>Inglaterra</v>
      </c>
      <c r="AJ28">
        <f ca="1">VLOOKUP(AI28,AE28:AG37,2,FALSE)</f>
        <v>3</v>
      </c>
      <c r="AK28">
        <f ca="1">VLOOKUP(AI28,AE28:AG37,3,FALSE)</f>
        <v>0</v>
      </c>
    </row>
    <row r="29" spans="6:37">
      <c r="F29" t="str">
        <f ca="1">AI17</f>
        <v>Iran</v>
      </c>
      <c r="J29">
        <f ca="1">AJ17</f>
        <v>3</v>
      </c>
      <c r="K29">
        <f ca="1">VLOOKUP(AI17,$F$16:$M$25,6,FALSE)</f>
        <v>0</v>
      </c>
      <c r="L29">
        <f ca="1">VLOOKUP(AI17,$F$16:$M$25,7,FALSE)</f>
        <v>0</v>
      </c>
      <c r="M29">
        <f ca="1">K29-L29</f>
        <v>0</v>
      </c>
      <c r="O29" t="str">
        <f ca="1">IF(AND($J28=$J29,$M29&gt;$M28),$F28,$F29)</f>
        <v>Iran</v>
      </c>
      <c r="P29">
        <f ca="1">VLOOKUP(O29,$F$28:$M$37,5,FALSE)</f>
        <v>3</v>
      </c>
      <c r="Q29">
        <f ca="1">VLOOKUP(O29,$F$28:$M$37,8,FALSE)</f>
        <v>0</v>
      </c>
      <c r="S29" t="str">
        <f ca="1">O29</f>
        <v>Iran</v>
      </c>
      <c r="T29">
        <f ca="1">VLOOKUP(S29,$O$28:$Q$37,2,FALSE)</f>
        <v>3</v>
      </c>
      <c r="U29">
        <f ca="1">VLOOKUP(S29,$O$28:$Q$37,3,FALSE)</f>
        <v>0</v>
      </c>
      <c r="W29" t="str">
        <f ca="1">S29</f>
        <v>Iran</v>
      </c>
      <c r="X29">
        <f ca="1">VLOOKUP(W29,$S$28:$U$37,2,FALSE)</f>
        <v>3</v>
      </c>
      <c r="Y29">
        <f ca="1">VLOOKUP(W29,$S$28:$U$37,3,FALSE)</f>
        <v>0</v>
      </c>
      <c r="AA29" t="str">
        <f ca="1">IF(AND(X29=X30,Y30&gt;Y29),W30,W29)</f>
        <v>Iran</v>
      </c>
      <c r="AB29">
        <f ca="1">VLOOKUP(AA29,W28:Y37,2,FALSE)</f>
        <v>3</v>
      </c>
      <c r="AC29">
        <f ca="1">VLOOKUP(AA29,W28:Y37,3,FALSE)</f>
        <v>0</v>
      </c>
      <c r="AE29" t="str">
        <f ca="1">IF(AND(AB29=AB31,AC31&gt;AC29),AA31,AA29)</f>
        <v>Iran</v>
      </c>
      <c r="AF29">
        <f ca="1">VLOOKUP(AE29,AA28:AC37,2,FALSE)</f>
        <v>3</v>
      </c>
      <c r="AG29">
        <f ca="1">VLOOKUP(AE29,AA28:AC37,3,FALSE)</f>
        <v>0</v>
      </c>
      <c r="AI29" t="str">
        <f ca="1">AE29</f>
        <v>Iran</v>
      </c>
      <c r="AJ29">
        <f ca="1">VLOOKUP(AI29,AE28:AG37,2,FALSE)</f>
        <v>3</v>
      </c>
      <c r="AK29">
        <f ca="1">VLOOKUP(AI29,AE28:AG37,3,FALSE)</f>
        <v>0</v>
      </c>
    </row>
    <row r="30" spans="6:37">
      <c r="F30" t="str">
        <f ca="1">AI18</f>
        <v>USA</v>
      </c>
      <c r="J30">
        <f ca="1">AJ18</f>
        <v>3</v>
      </c>
      <c r="K30">
        <f ca="1">VLOOKUP(AI18,$F$16:$M$25,6,FALSE)</f>
        <v>0</v>
      </c>
      <c r="L30">
        <f ca="1">VLOOKUP(AI18,$F$16:$M$25,7,FALSE)</f>
        <v>0</v>
      </c>
      <c r="M30">
        <f ca="1">K30-L30</f>
        <v>0</v>
      </c>
      <c r="O30" t="str">
        <f ca="1">F30</f>
        <v>USA</v>
      </c>
      <c r="P30">
        <f ca="1">VLOOKUP(O30,$F$28:$M$37,5,FALSE)</f>
        <v>3</v>
      </c>
      <c r="Q30">
        <f ca="1">VLOOKUP(O30,$F$28:$M$37,8,FALSE)</f>
        <v>0</v>
      </c>
      <c r="S30" t="str">
        <f ca="1">IF(AND($P28=P30,Q30&gt;Q28),O28,O30)</f>
        <v>USA</v>
      </c>
      <c r="T30">
        <f ca="1">VLOOKUP(S30,$O$28:$Q$37,2,FALSE)</f>
        <v>3</v>
      </c>
      <c r="U30">
        <f ca="1">VLOOKUP(S30,$O$28:$Q$37,3,FALSE)</f>
        <v>0</v>
      </c>
      <c r="W30" t="str">
        <f ca="1">S30</f>
        <v>USA</v>
      </c>
      <c r="X30">
        <f ca="1">VLOOKUP(W30,$S$28:$U$37,2,FALSE)</f>
        <v>3</v>
      </c>
      <c r="Y30">
        <f ca="1">VLOOKUP(W30,$S$28:$U$37,3,FALSE)</f>
        <v>0</v>
      </c>
      <c r="AA30" t="str">
        <f ca="1">IF(AND(X29=X30,Y30&gt;Y29),W29,W30)</f>
        <v>USA</v>
      </c>
      <c r="AB30">
        <f ca="1">VLOOKUP(AA30,W28:Y37,2,FALSE)</f>
        <v>3</v>
      </c>
      <c r="AC30">
        <f ca="1">VLOOKUP(AA30,W28:Y37,3,FALSE)</f>
        <v>0</v>
      </c>
      <c r="AE30" t="str">
        <f ca="1">AA30</f>
        <v>USA</v>
      </c>
      <c r="AF30">
        <f ca="1">VLOOKUP(AE30,AA28:AC37,2,FALSE)</f>
        <v>3</v>
      </c>
      <c r="AG30">
        <f ca="1">VLOOKUP(AE30,AA28:AC37,3,FALSE)</f>
        <v>0</v>
      </c>
      <c r="AI30" t="str">
        <f ca="1">IF(AND(AF30=AF31,AG31&gt;AG30),AE31,AE30)</f>
        <v>USA</v>
      </c>
      <c r="AJ30">
        <f ca="1">VLOOKUP(AI30,AE28:AG37,2,FALSE)</f>
        <v>3</v>
      </c>
      <c r="AK30">
        <f ca="1">VLOOKUP(AI30,AE28:AG37,3,FALSE)</f>
        <v>0</v>
      </c>
    </row>
    <row r="31" spans="6:37">
      <c r="F31" t="str">
        <f ca="1">AI19</f>
        <v>Gales</v>
      </c>
      <c r="J31">
        <f ca="1">AJ19</f>
        <v>3</v>
      </c>
      <c r="K31">
        <f ca="1">VLOOKUP(AI19,$F$16:$M$25,6,FALSE)</f>
        <v>0</v>
      </c>
      <c r="L31">
        <f ca="1">VLOOKUP(AI19,$F$16:$M$25,7,FALSE)</f>
        <v>0</v>
      </c>
      <c r="M31">
        <f ca="1">K31-L31</f>
        <v>0</v>
      </c>
      <c r="O31" t="str">
        <f ca="1">F31</f>
        <v>Gales</v>
      </c>
      <c r="P31">
        <f ca="1">VLOOKUP(O31,$F$28:$M$37,5,FALSE)</f>
        <v>3</v>
      </c>
      <c r="Q31">
        <f ca="1">VLOOKUP(O31,$F$28:$M$37,8,FALSE)</f>
        <v>0</v>
      </c>
      <c r="S31" t="str">
        <f ca="1">O31</f>
        <v>Gales</v>
      </c>
      <c r="T31">
        <f ca="1">VLOOKUP(S31,$O$28:$Q$37,2,FALSE)</f>
        <v>3</v>
      </c>
      <c r="U31">
        <f ca="1">VLOOKUP(S31,$O$28:$Q$37,3,FALSE)</f>
        <v>0</v>
      </c>
      <c r="W31" t="str">
        <f ca="1">IF(AND(T28=T31,U31&gt;U28),S28,S31)</f>
        <v>Gales</v>
      </c>
      <c r="X31">
        <f ca="1">VLOOKUP(W31,$S$28:$U$37,2,FALSE)</f>
        <v>3</v>
      </c>
      <c r="Y31">
        <f ca="1">VLOOKUP(W31,$S$28:$U$37,3,FALSE)</f>
        <v>0</v>
      </c>
      <c r="AA31" t="str">
        <f ca="1">W31</f>
        <v>Gales</v>
      </c>
      <c r="AB31">
        <f ca="1">VLOOKUP(AA31,W28:Y37,2,FALSE)</f>
        <v>3</v>
      </c>
      <c r="AC31">
        <f ca="1">VLOOKUP(AA31,W28:Y37,3,FALSE)</f>
        <v>0</v>
      </c>
      <c r="AE31" t="str">
        <f ca="1">IF(AND(AB29=AB31,AC31&gt;AC29),AA29,AA31)</f>
        <v>Gales</v>
      </c>
      <c r="AF31">
        <f ca="1">VLOOKUP(AE31,AA28:AC37,2,FALSE)</f>
        <v>3</v>
      </c>
      <c r="AG31">
        <f ca="1">VLOOKUP(AE31,AA28:AC37,3,FALSE)</f>
        <v>0</v>
      </c>
      <c r="AI31" t="str">
        <f ca="1">IF(AND(AF30=AF31,AG31&gt;AG30),AE30,AE31)</f>
        <v>Gales</v>
      </c>
      <c r="AJ31">
        <f ca="1">VLOOKUP(AI31,AE28:AG37,2,FALSE)</f>
        <v>3</v>
      </c>
      <c r="AK31">
        <f ca="1">VLOOKUP(AI31,AE28:AG37,3,FALSE)</f>
        <v>0</v>
      </c>
    </row>
    <row r="40" spans="6:38">
      <c r="F40" t="str">
        <f ca="1">AI28</f>
        <v>Inglaterra</v>
      </c>
      <c r="J40">
        <f ca="1">VLOOKUP(F40,$F$16:$M$25,8,FALSE)</f>
        <v>3</v>
      </c>
      <c r="K40">
        <f ca="1">VLOOKUP(F40,$F$16:$M$25,6,FALSE)</f>
        <v>0</v>
      </c>
      <c r="L40">
        <f ca="1">VLOOKUP(F40,$F$16:$M$25,7,FALSE)</f>
        <v>0</v>
      </c>
      <c r="M40">
        <f ca="1">K40-L40</f>
        <v>0</v>
      </c>
      <c r="O40" t="str">
        <f ca="1">IF(AND(J40=J41,M40=M41,K41&gt;K40),F41,F40)</f>
        <v>Inglaterra</v>
      </c>
      <c r="P40">
        <f ca="1">VLOOKUP(O40,$F$40:$M$49,5,FALSE)</f>
        <v>3</v>
      </c>
      <c r="Q40">
        <f ca="1">VLOOKUP(O40,$F$40:$M$49,8,FALSE)</f>
        <v>0</v>
      </c>
      <c r="R40">
        <f ca="1">VLOOKUP(O40,$F$40:$M$49,6,FALSE)</f>
        <v>0</v>
      </c>
      <c r="S40" t="str">
        <f ca="1">IF(AND(P40=P42,Q40=Q42,R42&gt;R40),O42,O40)</f>
        <v>Inglaterra</v>
      </c>
      <c r="T40">
        <f ca="1">VLOOKUP(S40,$O$40:$R$49,2,FALSE)</f>
        <v>3</v>
      </c>
      <c r="U40">
        <f ca="1">VLOOKUP(S40,$O$40:$R$49,3,FALSE)</f>
        <v>0</v>
      </c>
      <c r="V40">
        <f ca="1">VLOOKUP(S40,$O$40:$R$49,4,FALSE)</f>
        <v>0</v>
      </c>
      <c r="W40" t="str">
        <f ca="1">IF(AND(T40=T43,U40=U43,V43&gt;V40),S43,S40)</f>
        <v>Inglaterra</v>
      </c>
      <c r="X40">
        <f ca="1">VLOOKUP(W40,$S$40:$V$49,2,FALSE)</f>
        <v>3</v>
      </c>
      <c r="Y40">
        <f ca="1">VLOOKUP(W40,$S$40:$V$49,3,FALSE)</f>
        <v>0</v>
      </c>
      <c r="Z40">
        <f ca="1">VLOOKUP(W40,$S$40:$V$49,4,FALSE)</f>
        <v>0</v>
      </c>
      <c r="AA40" t="str">
        <f ca="1">W40</f>
        <v>Inglaterra</v>
      </c>
      <c r="AB40">
        <f ca="1">VLOOKUP(AA40,W40:Z49,2,FALSE)</f>
        <v>3</v>
      </c>
      <c r="AC40">
        <f ca="1">VLOOKUP(AA40,W40:Z49,3,FALSE)</f>
        <v>0</v>
      </c>
      <c r="AD40">
        <f ca="1">VLOOKUP(AA40,W40:Z49,4,FALSE)</f>
        <v>0</v>
      </c>
      <c r="AE40" t="str">
        <f ca="1">AA40</f>
        <v>Inglaterra</v>
      </c>
      <c r="AF40">
        <f ca="1">VLOOKUP(AE40,AA40:AD49,2,FALSE)</f>
        <v>3</v>
      </c>
      <c r="AG40">
        <f ca="1">VLOOKUP(AE40,AA40:AD49,3,FALSE)</f>
        <v>0</v>
      </c>
      <c r="AH40">
        <f ca="1">VLOOKUP(AE40,AA40:AD49,4,FALSE)</f>
        <v>0</v>
      </c>
      <c r="AI40" t="str">
        <f ca="1">AE40</f>
        <v>Inglaterra</v>
      </c>
      <c r="AJ40">
        <f ca="1">VLOOKUP(AI40,AE40:AH49,2,FALSE)</f>
        <v>3</v>
      </c>
      <c r="AK40">
        <f ca="1">VLOOKUP(AI40,AE40:AH49,3,FALSE)</f>
        <v>0</v>
      </c>
      <c r="AL40">
        <f ca="1">VLOOKUP(AI40,AE40:AH49,4,FALSE)</f>
        <v>0</v>
      </c>
    </row>
    <row r="41" spans="6:38">
      <c r="F41" t="str">
        <f ca="1">AI29</f>
        <v>Iran</v>
      </c>
      <c r="J41">
        <f ca="1">VLOOKUP(F41,$F$16:$M$25,8,FALSE)</f>
        <v>3</v>
      </c>
      <c r="K41">
        <f ca="1">VLOOKUP(F41,$F$16:$M$25,6,FALSE)</f>
        <v>0</v>
      </c>
      <c r="L41">
        <f ca="1">VLOOKUP(F41,$F$16:$M$25,7,FALSE)</f>
        <v>0</v>
      </c>
      <c r="M41">
        <f ca="1">K41-L41</f>
        <v>0</v>
      </c>
      <c r="O41" t="str">
        <f ca="1">IF(AND(J40=J41,M40=M41,K41&gt;K40),F40,F41)</f>
        <v>Iran</v>
      </c>
      <c r="P41">
        <f ca="1">VLOOKUP(O41,$F$40:$M$49,5,FALSE)</f>
        <v>3</v>
      </c>
      <c r="Q41">
        <f ca="1">VLOOKUP(O41,$F$40:$M$49,8,FALSE)</f>
        <v>0</v>
      </c>
      <c r="R41">
        <f ca="1">VLOOKUP(O41,$F$40:$M$49,6,FALSE)</f>
        <v>0</v>
      </c>
      <c r="S41" t="str">
        <f ca="1">O41</f>
        <v>Iran</v>
      </c>
      <c r="T41">
        <f ca="1">VLOOKUP(S41,$O$40:$R$49,2,FALSE)</f>
        <v>3</v>
      </c>
      <c r="U41">
        <f ca="1">VLOOKUP(S41,$O$40:$R$49,3,FALSE)</f>
        <v>0</v>
      </c>
      <c r="V41">
        <f ca="1">VLOOKUP(S41,$O$40:$R$49,4,FALSE)</f>
        <v>0</v>
      </c>
      <c r="W41" t="str">
        <f ca="1">S41</f>
        <v>Iran</v>
      </c>
      <c r="X41">
        <f ca="1">VLOOKUP(W41,$S$40:$V$49,2,FALSE)</f>
        <v>3</v>
      </c>
      <c r="Y41">
        <f ca="1">VLOOKUP(W41,$S$40:$V$49,3,FALSE)</f>
        <v>0</v>
      </c>
      <c r="Z41">
        <f ca="1">VLOOKUP(W41,$S$40:$V$49,4,FALSE)</f>
        <v>0</v>
      </c>
      <c r="AA41" t="str">
        <f ca="1">IF(AND(X41=X42,Y41=Y42,Z42&gt;Z41),W42,W41)</f>
        <v>Iran</v>
      </c>
      <c r="AB41">
        <f ca="1">VLOOKUP(AA41,W40:Z49,2,FALSE)</f>
        <v>3</v>
      </c>
      <c r="AC41">
        <f ca="1">VLOOKUP(AA41,W40:Z49,3,FALSE)</f>
        <v>0</v>
      </c>
      <c r="AD41">
        <f ca="1">VLOOKUP(AA41,W40:Z49,4,FALSE)</f>
        <v>0</v>
      </c>
      <c r="AE41" t="str">
        <f ca="1">IF(AND(AB41=AB43,AC41=AC43,AD43&gt;AD41),AA43,AA41)</f>
        <v>Iran</v>
      </c>
      <c r="AF41">
        <f ca="1">VLOOKUP(AE41,AA40:AD49,2,FALSE)</f>
        <v>3</v>
      </c>
      <c r="AG41">
        <f ca="1">VLOOKUP(AE41,AA40:AD49,3,FALSE)</f>
        <v>0</v>
      </c>
      <c r="AH41">
        <f ca="1">VLOOKUP(AE41,AA40:AD49,4,FALSE)</f>
        <v>0</v>
      </c>
      <c r="AI41" t="str">
        <f ca="1">AE41</f>
        <v>Iran</v>
      </c>
      <c r="AJ41">
        <f ca="1">VLOOKUP(AI41,AE40:AH49,2,FALSE)</f>
        <v>3</v>
      </c>
      <c r="AK41">
        <f ca="1">VLOOKUP(AI41,AE40:AH49,3,FALSE)</f>
        <v>0</v>
      </c>
      <c r="AL41">
        <f ca="1">VLOOKUP(AI41,AE40:AH49,4,FALSE)</f>
        <v>0</v>
      </c>
    </row>
    <row r="42" spans="6:38">
      <c r="F42" t="str">
        <f ca="1">AI30</f>
        <v>USA</v>
      </c>
      <c r="J42">
        <f ca="1">VLOOKUP(F42,$F$16:$M$25,8,FALSE)</f>
        <v>3</v>
      </c>
      <c r="K42">
        <f ca="1">VLOOKUP(F42,$F$16:$M$25,6,FALSE)</f>
        <v>0</v>
      </c>
      <c r="L42">
        <f ca="1">VLOOKUP(F42,$F$16:$M$25,7,FALSE)</f>
        <v>0</v>
      </c>
      <c r="M42">
        <f ca="1">K42-L42</f>
        <v>0</v>
      </c>
      <c r="O42" t="str">
        <f ca="1">F42</f>
        <v>USA</v>
      </c>
      <c r="P42">
        <f ca="1">VLOOKUP(O42,$F$40:$M$49,5,FALSE)</f>
        <v>3</v>
      </c>
      <c r="Q42">
        <f ca="1">VLOOKUP(O42,$F$40:$M$49,8,FALSE)</f>
        <v>0</v>
      </c>
      <c r="R42">
        <f ca="1">VLOOKUP(O42,$F$40:$M$49,6,FALSE)</f>
        <v>0</v>
      </c>
      <c r="S42" t="str">
        <f ca="1">IF(AND(P40=P42,Q40=Q42,R42&gt;R40),O40,O42)</f>
        <v>USA</v>
      </c>
      <c r="T42">
        <f ca="1">VLOOKUP(S42,$O$40:$R$49,2,FALSE)</f>
        <v>3</v>
      </c>
      <c r="U42">
        <f ca="1">VLOOKUP(S42,$O$40:$R$49,3,FALSE)</f>
        <v>0</v>
      </c>
      <c r="V42">
        <f ca="1">VLOOKUP(S42,$O$40:$R$49,4,FALSE)</f>
        <v>0</v>
      </c>
      <c r="W42" t="str">
        <f ca="1">S42</f>
        <v>USA</v>
      </c>
      <c r="X42">
        <f ca="1">VLOOKUP(W42,$S$40:$V$49,2,FALSE)</f>
        <v>3</v>
      </c>
      <c r="Y42">
        <f ca="1">VLOOKUP(W42,$S$40:$V$49,3,FALSE)</f>
        <v>0</v>
      </c>
      <c r="Z42">
        <f ca="1">VLOOKUP(W42,$S$40:$V$49,4,FALSE)</f>
        <v>0</v>
      </c>
      <c r="AA42" t="str">
        <f ca="1">IF(AND(X41=X42,Y41=Y42,Z42&gt;Z41),W41,W42)</f>
        <v>USA</v>
      </c>
      <c r="AB42">
        <f ca="1">VLOOKUP(AA42,W40:Z49,2,FALSE)</f>
        <v>3</v>
      </c>
      <c r="AC42">
        <f ca="1">VLOOKUP(AA42,W40:Z49,3,FALSE)</f>
        <v>0</v>
      </c>
      <c r="AD42">
        <f ca="1">VLOOKUP(AA42,W40:Z49,4,FALSE)</f>
        <v>0</v>
      </c>
      <c r="AE42" t="str">
        <f ca="1">AA42</f>
        <v>USA</v>
      </c>
      <c r="AF42">
        <f ca="1">VLOOKUP(AE42,AA40:AD49,2,FALSE)</f>
        <v>3</v>
      </c>
      <c r="AG42">
        <f ca="1">VLOOKUP(AE42,AA40:AD49,3,FALSE)</f>
        <v>0</v>
      </c>
      <c r="AH42">
        <f ca="1">VLOOKUP(AE42,AA40:AD49,4,FALSE)</f>
        <v>0</v>
      </c>
      <c r="AI42" t="str">
        <f ca="1">IF(AND(AF42=AF43,AG42=AG43,AH43&gt;AH42),AE43,AE42)</f>
        <v>USA</v>
      </c>
      <c r="AJ42">
        <f ca="1">VLOOKUP(AI42,AE40:AH49,2,FALSE)</f>
        <v>3</v>
      </c>
      <c r="AK42">
        <f ca="1">VLOOKUP(AI42,AE40:AH49,3,FALSE)</f>
        <v>0</v>
      </c>
      <c r="AL42">
        <f ca="1">VLOOKUP(AI42,AE40:AH49,4,FALSE)</f>
        <v>0</v>
      </c>
    </row>
    <row r="43" spans="6:38">
      <c r="F43" t="str">
        <f ca="1">AI31</f>
        <v>Gales</v>
      </c>
      <c r="J43">
        <f ca="1">VLOOKUP(F43,$F$16:$M$25,8,FALSE)</f>
        <v>3</v>
      </c>
      <c r="K43">
        <f ca="1">VLOOKUP(F43,$F$16:$M$25,6,FALSE)</f>
        <v>0</v>
      </c>
      <c r="L43">
        <f ca="1">VLOOKUP(F43,$F$16:$M$25,7,FALSE)</f>
        <v>0</v>
      </c>
      <c r="M43">
        <f ca="1">K43-L43</f>
        <v>0</v>
      </c>
      <c r="O43" t="str">
        <f ca="1">F43</f>
        <v>Gales</v>
      </c>
      <c r="P43">
        <f ca="1">VLOOKUP(O43,$F$40:$M$49,5,FALSE)</f>
        <v>3</v>
      </c>
      <c r="Q43">
        <f ca="1">VLOOKUP(O43,$F$40:$M$49,8,FALSE)</f>
        <v>0</v>
      </c>
      <c r="R43">
        <f ca="1">VLOOKUP(O43,$F$40:$M$49,6,FALSE)</f>
        <v>0</v>
      </c>
      <c r="S43" t="str">
        <f ca="1">O43</f>
        <v>Gales</v>
      </c>
      <c r="T43">
        <f ca="1">VLOOKUP(S43,$O$40:$R$49,2,FALSE)</f>
        <v>3</v>
      </c>
      <c r="U43">
        <f ca="1">VLOOKUP(S43,$O$40:$R$49,3,FALSE)</f>
        <v>0</v>
      </c>
      <c r="V43">
        <f ca="1">VLOOKUP(S43,$O$40:$R$49,4,FALSE)</f>
        <v>0</v>
      </c>
      <c r="W43" t="str">
        <f ca="1">IF(AND(T40=T43,U40=U43,V43&gt;V40),S40,S43)</f>
        <v>Gales</v>
      </c>
      <c r="X43">
        <f ca="1">VLOOKUP(W43,$S$40:$V$49,2,FALSE)</f>
        <v>3</v>
      </c>
      <c r="Y43">
        <f ca="1">VLOOKUP(W43,$S$40:$V$49,3,FALSE)</f>
        <v>0</v>
      </c>
      <c r="Z43">
        <f ca="1">VLOOKUP(W43,$S$40:$V$49,4,FALSE)</f>
        <v>0</v>
      </c>
      <c r="AA43" t="str">
        <f ca="1">W43</f>
        <v>Gales</v>
      </c>
      <c r="AB43">
        <f ca="1">VLOOKUP(AA43,W40:Z49,2,FALSE)</f>
        <v>3</v>
      </c>
      <c r="AC43">
        <f ca="1">VLOOKUP(AA43,W40:Z49,3,FALSE)</f>
        <v>0</v>
      </c>
      <c r="AD43">
        <f ca="1">VLOOKUP(AA43,W40:Z49,4,FALSE)</f>
        <v>0</v>
      </c>
      <c r="AE43" t="str">
        <f ca="1">IF(AND(AB41=AB43,AC41=AC43,AD43&gt;AD41),AA41,AA43)</f>
        <v>Gales</v>
      </c>
      <c r="AF43">
        <f ca="1">VLOOKUP(AE43,AA40:AD49,2,FALSE)</f>
        <v>3</v>
      </c>
      <c r="AG43">
        <f ca="1">VLOOKUP(AE43,AA40:AD49,3,FALSE)</f>
        <v>0</v>
      </c>
      <c r="AH43">
        <f ca="1">VLOOKUP(AE43,AA40:AD49,4,FALSE)</f>
        <v>0</v>
      </c>
      <c r="AI43" t="str">
        <f ca="1">IF(AND(AF42=AF43,AG42=AG43,AH43&gt;AH42),AE42,AE43)</f>
        <v>Gales</v>
      </c>
      <c r="AJ43">
        <f ca="1">VLOOKUP(AI43,AE40:AH49,2,FALSE)</f>
        <v>3</v>
      </c>
      <c r="AK43">
        <f ca="1">VLOOKUP(AI43,AE40:AH49,3,FALSE)</f>
        <v>0</v>
      </c>
      <c r="AL43">
        <f ca="1">VLOOKUP(AI43,AE40:AH49,4,FALSE)</f>
        <v>0</v>
      </c>
    </row>
    <row r="51" spans="6:13">
      <c r="F51" t="s">
        <v>334</v>
      </c>
    </row>
    <row r="52" spans="6:13">
      <c r="F52" t="str">
        <f ca="1">AI40</f>
        <v>Inglaterra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Iran</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USA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Gales</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JaY/km/lY2Q2dnZ7IMrwOXeHS/XSVQEkSYBBdZciiDZFq79uTNtIY5Pp8TmdeKb/VA10r1z+D95pYWHhaJkpLg==" saltValue="D1FedpMvobhObcNfDVvH/w=="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32"/>
  <dimension ref="A2:AL55"/>
  <sheetViews>
    <sheetView workbookViewId="0">
      <selection activeCell="I24" sqref="I24:I30"/>
    </sheetView>
  </sheetViews>
  <sheetFormatPr defaultRowHeight="12.6"/>
  <cols>
    <col min="1" max="1" width="8.7109375" bestFit="1" customWidth="1"/>
    <col min="2" max="2" width="2" bestFit="1" customWidth="1"/>
    <col min="3" max="3" width="1.5703125" bestFit="1" customWidth="1"/>
    <col min="4" max="4" width="2" bestFit="1" customWidth="1"/>
    <col min="5" max="5" width="8.7109375" bestFit="1" customWidth="1"/>
    <col min="6" max="6" width="13.5703125" bestFit="1" customWidth="1"/>
    <col min="7" max="7" width="8.7109375" bestFit="1" customWidth="1"/>
    <col min="8" max="8" width="2.28515625" bestFit="1" customWidth="1"/>
    <col min="9" max="12" width="2" bestFit="1" customWidth="1"/>
    <col min="13" max="13" width="3.5703125" bestFit="1" customWidth="1"/>
    <col min="14" max="14" width="7" bestFit="1" customWidth="1"/>
    <col min="15" max="15" width="13" bestFit="1" customWidth="1"/>
    <col min="16" max="16" width="2" bestFit="1" customWidth="1"/>
    <col min="17" max="17" width="2.5703125" bestFit="1" customWidth="1"/>
    <col min="18" max="18" width="2" bestFit="1" customWidth="1"/>
    <col min="19" max="19" width="13" bestFit="1" customWidth="1"/>
    <col min="20" max="20" width="2" bestFit="1" customWidth="1"/>
    <col min="21" max="21" width="7.85546875" bestFit="1" customWidth="1"/>
    <col min="22" max="22" width="2.28515625" bestFit="1" customWidth="1"/>
    <col min="23" max="23" width="13" bestFit="1" customWidth="1"/>
    <col min="24" max="24" width="2" bestFit="1" customWidth="1"/>
    <col min="25" max="25" width="2.5703125" bestFit="1" customWidth="1"/>
    <col min="26" max="26" width="2" bestFit="1" customWidth="1"/>
    <col min="27" max="27" width="13" bestFit="1" customWidth="1"/>
    <col min="28" max="28" width="7.140625" bestFit="1" customWidth="1"/>
    <col min="29" max="29" width="2.5703125" bestFit="1" customWidth="1"/>
    <col min="30" max="30" width="2" bestFit="1" customWidth="1"/>
    <col min="31" max="31" width="13" bestFit="1" customWidth="1"/>
    <col min="32" max="32" width="2" bestFit="1" customWidth="1"/>
    <col min="33" max="33" width="2.5703125" bestFit="1" customWidth="1"/>
    <col min="34" max="34" width="2" bestFit="1" customWidth="1"/>
    <col min="35" max="35" width="13" bestFit="1" customWidth="1"/>
    <col min="36" max="36" width="2" bestFit="1" customWidth="1"/>
    <col min="37" max="37" width="2.5703125" bestFit="1" customWidth="1"/>
    <col min="38" max="38" width="2" bestFit="1" customWidth="1"/>
    <col min="39" max="256" width="11.42578125" customWidth="1"/>
  </cols>
  <sheetData>
    <row r="2" spans="1:36">
      <c r="A2" s="397" t="s">
        <v>318</v>
      </c>
      <c r="B2" s="397"/>
      <c r="C2" s="397"/>
      <c r="D2" s="397"/>
      <c r="E2" s="397"/>
      <c r="G2" t="str">
        <f>IF('- A -'!V7&lt;&gt;"",'- A -'!V7,"")</f>
        <v>Qatar</v>
      </c>
      <c r="N2" t="str">
        <f>IF('- A -'!V9&lt;&gt;"",'- A -'!V9,"")</f>
        <v>Ecuador</v>
      </c>
      <c r="U2" t="str">
        <f>IF('- A -'!V11&lt;&gt;"",'- A -'!V11,"")</f>
        <v>Senegal</v>
      </c>
      <c r="AB2" t="str">
        <f>IF('- A -'!V13&lt;&gt;"",'- A -'!V13,"")</f>
        <v>Netherlands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A -'!B6</f>
        <v>Qatar</v>
      </c>
      <c r="B4" s="127">
        <f>+'resultados oficiales'!C4</f>
        <v>0</v>
      </c>
      <c r="C4" s="1" t="str">
        <f>'- A -'!D6</f>
        <v>-</v>
      </c>
      <c r="D4" s="127">
        <f>+'resultados oficiales'!E4</f>
        <v>0</v>
      </c>
      <c r="E4" s="3" t="str">
        <f>'- A -'!F6</f>
        <v>Ecuador</v>
      </c>
      <c r="F4" s="1">
        <f ca="1">COUNTBLANK('- A -'!C6:'- A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A -'!B7</f>
        <v>Senegal</v>
      </c>
      <c r="B5" s="127">
        <f>+'resultados oficiales'!C6</f>
        <v>0</v>
      </c>
      <c r="C5" s="1" t="str">
        <f>'- A -'!D7</f>
        <v>-</v>
      </c>
      <c r="D5" s="127">
        <f>+'resultados oficiales'!E6</f>
        <v>0</v>
      </c>
      <c r="E5" s="3" t="str">
        <f>'- A -'!F7</f>
        <v>Netherlands</v>
      </c>
      <c r="F5" s="1">
        <f ca="1">COUNTBLANK('- A -'!C7:'- A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A -'!B8</f>
        <v>Qatar</v>
      </c>
      <c r="B6" s="127">
        <f>+'resultados oficiales'!C8</f>
        <v>0</v>
      </c>
      <c r="C6" s="1" t="str">
        <f>'- A -'!D8</f>
        <v>-</v>
      </c>
      <c r="D6" s="127">
        <f>+'resultados oficiales'!E8</f>
        <v>0</v>
      </c>
      <c r="E6" s="3" t="str">
        <f>'- A -'!F8</f>
        <v>Senegal</v>
      </c>
      <c r="F6" s="1">
        <f ca="1">COUNTBLANK('- A -'!C8:'- A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A -'!B9</f>
        <v>Netherlands</v>
      </c>
      <c r="B7" s="127">
        <f>+'resultados oficiales'!C10</f>
        <v>0</v>
      </c>
      <c r="C7" s="1" t="str">
        <f>'- A -'!D9</f>
        <v>-</v>
      </c>
      <c r="D7" s="127">
        <f>+'resultados oficiales'!E10</f>
        <v>0</v>
      </c>
      <c r="E7" s="3" t="str">
        <f>'- A -'!F9</f>
        <v>Ecuador</v>
      </c>
      <c r="F7" s="1">
        <f ca="1">COUNTBLANK('- A -'!C9:'- A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A -'!B10</f>
        <v>Ecuador</v>
      </c>
      <c r="B8" s="127">
        <f>+'resultados oficiales'!C12</f>
        <v>0</v>
      </c>
      <c r="C8" s="1" t="str">
        <f>'- A -'!D10</f>
        <v>-</v>
      </c>
      <c r="D8" s="127">
        <f>+'resultados oficiales'!E12</f>
        <v>0</v>
      </c>
      <c r="E8" s="3" t="str">
        <f>'- A -'!F10</f>
        <v>Senegal</v>
      </c>
      <c r="F8" s="1">
        <f ca="1">COUNTBLANK('- A -'!C10:'- A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A -'!B11</f>
        <v>Netherlands</v>
      </c>
      <c r="B9" s="127">
        <f>+'resultados oficiales'!C14</f>
        <v>0</v>
      </c>
      <c r="C9" s="1" t="str">
        <f>'- A -'!D11</f>
        <v>-</v>
      </c>
      <c r="D9" s="127">
        <f>+'resultados oficiales'!E14</f>
        <v>0</v>
      </c>
      <c r="E9" s="3" t="str">
        <f>'- A -'!F11</f>
        <v>Qatar</v>
      </c>
      <c r="F9" s="1">
        <f ca="1">COUNTBLANK('- A -'!C11:'- A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Qatar</v>
      </c>
      <c r="G16">
        <f t="shared" ref="G16:M16" ca="1" si="28">G10</f>
        <v>3</v>
      </c>
      <c r="H16">
        <f t="shared" ca="1" si="28"/>
        <v>0</v>
      </c>
      <c r="I16">
        <f t="shared" ca="1" si="28"/>
        <v>3</v>
      </c>
      <c r="J16">
        <f t="shared" ca="1" si="28"/>
        <v>0</v>
      </c>
      <c r="K16">
        <f t="shared" ca="1" si="28"/>
        <v>0</v>
      </c>
      <c r="L16">
        <f t="shared" ca="1" si="28"/>
        <v>0</v>
      </c>
      <c r="M16">
        <f t="shared" ca="1" si="28"/>
        <v>3</v>
      </c>
      <c r="O16" t="str">
        <f ca="1">IF($M16&gt;=$M17,$F16,$F17)</f>
        <v>Qatar</v>
      </c>
      <c r="P16">
        <f ca="1">VLOOKUP(O16,$F$16:$M$25,8,FALSE)</f>
        <v>3</v>
      </c>
      <c r="S16" t="str">
        <f ca="1">IF($P16&gt;=$P18,$O16,$O18)</f>
        <v>Qatar</v>
      </c>
      <c r="T16">
        <f ca="1">VLOOKUP(S16,$O$16:$P$25,2,FALSE)</f>
        <v>3</v>
      </c>
      <c r="W16" t="str">
        <f ca="1">IF($T16&gt;=$T19,$S16,$S19)</f>
        <v>Qatar</v>
      </c>
      <c r="X16">
        <f ca="1">VLOOKUP(W16,$S$16:$T$25,2,FALSE)</f>
        <v>3</v>
      </c>
      <c r="AA16" t="str">
        <f ca="1">W16</f>
        <v>Qatar</v>
      </c>
      <c r="AB16">
        <f ca="1">VLOOKUP(AA16,W16:X25,2,FALSE)</f>
        <v>3</v>
      </c>
      <c r="AE16" t="str">
        <f ca="1">AA16</f>
        <v>Qatar</v>
      </c>
      <c r="AF16">
        <f ca="1">VLOOKUP(AE16,AA16:AB25,2,FALSE)</f>
        <v>3</v>
      </c>
      <c r="AI16" t="str">
        <f ca="1">AE16</f>
        <v>Qatar</v>
      </c>
      <c r="AJ16">
        <f ca="1">VLOOKUP(AI16,AE16:AF25,2,FALSE)</f>
        <v>3</v>
      </c>
    </row>
    <row r="17" spans="6:37">
      <c r="F17" t="str">
        <f>N2</f>
        <v>Ecuador</v>
      </c>
      <c r="G17">
        <f t="shared" ref="G17:L17" ca="1" si="29">N10</f>
        <v>3</v>
      </c>
      <c r="H17">
        <f t="shared" ca="1" si="29"/>
        <v>0</v>
      </c>
      <c r="I17">
        <f t="shared" ca="1" si="29"/>
        <v>3</v>
      </c>
      <c r="J17">
        <f t="shared" ca="1" si="29"/>
        <v>0</v>
      </c>
      <c r="K17">
        <f t="shared" ca="1" si="29"/>
        <v>0</v>
      </c>
      <c r="L17">
        <f t="shared" ca="1" si="29"/>
        <v>0</v>
      </c>
      <c r="M17">
        <f ca="1">T10</f>
        <v>3</v>
      </c>
      <c r="O17" t="str">
        <f ca="1">IF($M17&lt;=$M16,$F17,$F16)</f>
        <v>Ecuador</v>
      </c>
      <c r="P17">
        <f ca="1">VLOOKUP(O17,$F$16:$M$25,8,FALSE)</f>
        <v>3</v>
      </c>
      <c r="S17" t="str">
        <f ca="1">O17</f>
        <v>Ecuador</v>
      </c>
      <c r="T17">
        <f ca="1">VLOOKUP(S17,$O$16:$P$25,2,FALSE)</f>
        <v>3</v>
      </c>
      <c r="W17" t="str">
        <f ca="1">S17</f>
        <v>Ecuador</v>
      </c>
      <c r="X17">
        <f ca="1">VLOOKUP(W17,$S$16:$T$25,2,FALSE)</f>
        <v>3</v>
      </c>
      <c r="AA17" t="str">
        <f ca="1">IF(X17&gt;=X18,W17,W18)</f>
        <v>Ecuador</v>
      </c>
      <c r="AB17">
        <f ca="1">VLOOKUP(AA17,W16:X25,2,FALSE)</f>
        <v>3</v>
      </c>
      <c r="AE17" t="str">
        <f ca="1">IF(AB17&gt;=AB19,AA17,AA19)</f>
        <v>Ecuador</v>
      </c>
      <c r="AF17">
        <f ca="1">VLOOKUP(AE17,AA16:AB25,2,FALSE)</f>
        <v>3</v>
      </c>
      <c r="AI17" t="str">
        <f ca="1">AE17</f>
        <v>Ecuador</v>
      </c>
      <c r="AJ17">
        <f ca="1">VLOOKUP(AI17,AE16:AF25,2,FALSE)</f>
        <v>3</v>
      </c>
    </row>
    <row r="18" spans="6:37">
      <c r="F18" t="str">
        <f>U2</f>
        <v>Senegal</v>
      </c>
      <c r="G18">
        <f t="shared" ref="G18:M18" ca="1" si="30">U10</f>
        <v>3</v>
      </c>
      <c r="H18">
        <f t="shared" ca="1" si="30"/>
        <v>0</v>
      </c>
      <c r="I18">
        <f t="shared" ca="1" si="30"/>
        <v>3</v>
      </c>
      <c r="J18">
        <f t="shared" ca="1" si="30"/>
        <v>0</v>
      </c>
      <c r="K18">
        <f t="shared" ca="1" si="30"/>
        <v>0</v>
      </c>
      <c r="L18">
        <f t="shared" ca="1" si="30"/>
        <v>0</v>
      </c>
      <c r="M18">
        <f t="shared" ca="1" si="30"/>
        <v>3</v>
      </c>
      <c r="O18" t="str">
        <f>F18</f>
        <v>Senegal</v>
      </c>
      <c r="P18">
        <f ca="1">VLOOKUP(O18,$F$16:$M$25,8,FALSE)</f>
        <v>3</v>
      </c>
      <c r="S18" t="str">
        <f ca="1">IF($P18&lt;=$P16,$O18,$O16)</f>
        <v>Senegal</v>
      </c>
      <c r="T18">
        <f ca="1">VLOOKUP(S18,$O$16:$P$25,2,FALSE)</f>
        <v>3</v>
      </c>
      <c r="W18" t="str">
        <f ca="1">S18</f>
        <v>Senegal</v>
      </c>
      <c r="X18">
        <f ca="1">VLOOKUP(W18,$S$16:$T$25,2,FALSE)</f>
        <v>3</v>
      </c>
      <c r="AA18" t="str">
        <f ca="1">IF(X18&lt;=X17,W18,W17)</f>
        <v>Senegal</v>
      </c>
      <c r="AB18">
        <f ca="1">VLOOKUP(AA18,W16:X25,2,FALSE)</f>
        <v>3</v>
      </c>
      <c r="AE18" t="str">
        <f ca="1">AA18</f>
        <v>Senegal</v>
      </c>
      <c r="AF18">
        <f ca="1">VLOOKUP(AE18,AA16:AB25,2,FALSE)</f>
        <v>3</v>
      </c>
      <c r="AI18" t="str">
        <f ca="1">IF(AF18&gt;=AF19,AE18,AE19)</f>
        <v>Senegal</v>
      </c>
      <c r="AJ18">
        <f ca="1">VLOOKUP(AI18,AE16:AF25,2,FALSE)</f>
        <v>3</v>
      </c>
    </row>
    <row r="19" spans="6:37">
      <c r="F19" t="str">
        <f>AB2</f>
        <v>Netherlands</v>
      </c>
      <c r="G19">
        <f t="shared" ref="G19:M19" ca="1" si="31">AB10</f>
        <v>3</v>
      </c>
      <c r="H19">
        <f t="shared" ca="1" si="31"/>
        <v>0</v>
      </c>
      <c r="I19">
        <f t="shared" ca="1" si="31"/>
        <v>3</v>
      </c>
      <c r="J19">
        <f t="shared" ca="1" si="31"/>
        <v>0</v>
      </c>
      <c r="K19">
        <f t="shared" ca="1" si="31"/>
        <v>0</v>
      </c>
      <c r="L19">
        <f t="shared" ca="1" si="31"/>
        <v>0</v>
      </c>
      <c r="M19">
        <f t="shared" ca="1" si="31"/>
        <v>3</v>
      </c>
      <c r="O19" t="str">
        <f>F19</f>
        <v>Netherlands</v>
      </c>
      <c r="P19">
        <f ca="1">VLOOKUP(O19,$F$16:$M$25,8,FALSE)</f>
        <v>3</v>
      </c>
      <c r="S19" t="str">
        <f>O19</f>
        <v>Netherlands</v>
      </c>
      <c r="T19">
        <f ca="1">VLOOKUP(S19,$O$16:$P$25,2,FALSE)</f>
        <v>3</v>
      </c>
      <c r="W19" t="str">
        <f ca="1">IF($T19&lt;=$T16,$S19,$S16)</f>
        <v>Netherlands</v>
      </c>
      <c r="X19">
        <f ca="1">VLOOKUP(W19,$S$16:$T$25,2,FALSE)</f>
        <v>3</v>
      </c>
      <c r="AA19" t="str">
        <f ca="1">W19</f>
        <v>Netherlands</v>
      </c>
      <c r="AB19">
        <f ca="1">VLOOKUP(AA19,W16:X25,2,FALSE)</f>
        <v>3</v>
      </c>
      <c r="AE19" t="str">
        <f ca="1">IF(AB19&lt;=AB17,AA19,AA17)</f>
        <v>Netherlands</v>
      </c>
      <c r="AF19">
        <f ca="1">VLOOKUP(AE19,AA16:AB25,2,FALSE)</f>
        <v>3</v>
      </c>
      <c r="AI19" t="str">
        <f ca="1">IF(AF19&lt;=AF18,AE19,AE18)</f>
        <v>Netherlands</v>
      </c>
      <c r="AJ19">
        <f ca="1">VLOOKUP(AI19,AE16:AF25,2,FALSE)</f>
        <v>3</v>
      </c>
    </row>
    <row r="28" spans="6:37">
      <c r="F28" t="str">
        <f ca="1">AI16</f>
        <v>Qatar</v>
      </c>
      <c r="J28">
        <f ca="1">AJ16</f>
        <v>3</v>
      </c>
      <c r="K28">
        <f ca="1">VLOOKUP(AI16,$F$16:$M$25,6,FALSE)</f>
        <v>0</v>
      </c>
      <c r="L28">
        <f ca="1">VLOOKUP(AI16,$F$16:$M$25,7,FALSE)</f>
        <v>0</v>
      </c>
      <c r="M28">
        <f ca="1">K28-L28</f>
        <v>0</v>
      </c>
      <c r="O28" t="str">
        <f ca="1">IF(AND($J28=$J29,$M29&gt;$M28),$F29,$F28)</f>
        <v>Qatar</v>
      </c>
      <c r="P28">
        <f ca="1">VLOOKUP(O28,$F$28:$M$37,5,FALSE)</f>
        <v>3</v>
      </c>
      <c r="Q28">
        <f ca="1">VLOOKUP(O28,$F$28:$M$37,8,FALSE)</f>
        <v>0</v>
      </c>
      <c r="S28" t="str">
        <f ca="1">IF(AND(P28=P30,Q30&gt;Q28),O30,O28)</f>
        <v>Qatar</v>
      </c>
      <c r="T28">
        <f ca="1">VLOOKUP(S28,$O$28:$Q$37,2,FALSE)</f>
        <v>3</v>
      </c>
      <c r="U28">
        <f ca="1">VLOOKUP(S28,$O$28:$Q$37,3,FALSE)</f>
        <v>0</v>
      </c>
      <c r="W28" t="str">
        <f ca="1">IF(AND(T28=T31,U31&gt;U28),S31,S28)</f>
        <v>Qatar</v>
      </c>
      <c r="X28">
        <f ca="1">VLOOKUP(W28,$S$28:$U$37,2,FALSE)</f>
        <v>3</v>
      </c>
      <c r="Y28">
        <f ca="1">VLOOKUP(W28,$S$28:$U$37,3,FALSE)</f>
        <v>0</v>
      </c>
      <c r="AA28" t="str">
        <f ca="1">W28</f>
        <v>Qatar</v>
      </c>
      <c r="AB28">
        <f ca="1">VLOOKUP(AA28,W28:Y37,2,FALSE)</f>
        <v>3</v>
      </c>
      <c r="AC28">
        <f ca="1">VLOOKUP(AA28,W28:Y37,3,FALSE)</f>
        <v>0</v>
      </c>
      <c r="AE28" t="str">
        <f ca="1">AA28</f>
        <v>Qatar</v>
      </c>
      <c r="AF28">
        <f ca="1">VLOOKUP(AE28,AA28:AC37,2,FALSE)</f>
        <v>3</v>
      </c>
      <c r="AG28">
        <f ca="1">VLOOKUP(AE28,AA28:AC37,3,FALSE)</f>
        <v>0</v>
      </c>
      <c r="AI28" t="str">
        <f ca="1">AE28</f>
        <v>Qatar</v>
      </c>
      <c r="AJ28">
        <f ca="1">VLOOKUP(AI28,AE28:AG37,2,FALSE)</f>
        <v>3</v>
      </c>
      <c r="AK28">
        <f ca="1">VLOOKUP(AI28,AE28:AG37,3,FALSE)</f>
        <v>0</v>
      </c>
    </row>
    <row r="29" spans="6:37">
      <c r="F29" t="str">
        <f ca="1">AI17</f>
        <v>Ecuador</v>
      </c>
      <c r="J29">
        <f ca="1">AJ17</f>
        <v>3</v>
      </c>
      <c r="K29">
        <f ca="1">VLOOKUP(AI17,$F$16:$M$25,6,FALSE)</f>
        <v>0</v>
      </c>
      <c r="L29">
        <f ca="1">VLOOKUP(AI17,$F$16:$M$25,7,FALSE)</f>
        <v>0</v>
      </c>
      <c r="M29">
        <f ca="1">K29-L29</f>
        <v>0</v>
      </c>
      <c r="O29" t="str">
        <f ca="1">IF(AND($J28=$J29,$M29&gt;$M28),$F28,$F29)</f>
        <v>Ecuador</v>
      </c>
      <c r="P29">
        <f ca="1">VLOOKUP(O29,$F$28:$M$37,5,FALSE)</f>
        <v>3</v>
      </c>
      <c r="Q29">
        <f ca="1">VLOOKUP(O29,$F$28:$M$37,8,FALSE)</f>
        <v>0</v>
      </c>
      <c r="S29" t="str">
        <f ca="1">O29</f>
        <v>Ecuador</v>
      </c>
      <c r="T29">
        <f ca="1">VLOOKUP(S29,$O$28:$Q$37,2,FALSE)</f>
        <v>3</v>
      </c>
      <c r="U29">
        <f ca="1">VLOOKUP(S29,$O$28:$Q$37,3,FALSE)</f>
        <v>0</v>
      </c>
      <c r="W29" t="str">
        <f ca="1">S29</f>
        <v>Ecuador</v>
      </c>
      <c r="X29">
        <f ca="1">VLOOKUP(W29,$S$28:$U$37,2,FALSE)</f>
        <v>3</v>
      </c>
      <c r="Y29">
        <f ca="1">VLOOKUP(W29,$S$28:$U$37,3,FALSE)</f>
        <v>0</v>
      </c>
      <c r="AA29" t="str">
        <f ca="1">IF(AND(X29=X30,Y30&gt;Y29),W30,W29)</f>
        <v>Ecuador</v>
      </c>
      <c r="AB29">
        <f ca="1">VLOOKUP(AA29,W28:Y37,2,FALSE)</f>
        <v>3</v>
      </c>
      <c r="AC29">
        <f ca="1">VLOOKUP(AA29,W28:Y37,3,FALSE)</f>
        <v>0</v>
      </c>
      <c r="AE29" t="str">
        <f ca="1">IF(AND(AB29=AB31,AC31&gt;AC29),AA31,AA29)</f>
        <v>Ecuador</v>
      </c>
      <c r="AF29">
        <f ca="1">VLOOKUP(AE29,AA28:AC37,2,FALSE)</f>
        <v>3</v>
      </c>
      <c r="AG29">
        <f ca="1">VLOOKUP(AE29,AA28:AC37,3,FALSE)</f>
        <v>0</v>
      </c>
      <c r="AI29" t="str">
        <f ca="1">AE29</f>
        <v>Ecuador</v>
      </c>
      <c r="AJ29">
        <f ca="1">VLOOKUP(AI29,AE28:AG37,2,FALSE)</f>
        <v>3</v>
      </c>
      <c r="AK29">
        <f ca="1">VLOOKUP(AI29,AE28:AG37,3,FALSE)</f>
        <v>0</v>
      </c>
    </row>
    <row r="30" spans="6:37">
      <c r="F30" t="str">
        <f ca="1">AI18</f>
        <v>Senegal</v>
      </c>
      <c r="J30">
        <f ca="1">AJ18</f>
        <v>3</v>
      </c>
      <c r="K30">
        <f ca="1">VLOOKUP(AI18,$F$16:$M$25,6,FALSE)</f>
        <v>0</v>
      </c>
      <c r="L30">
        <f ca="1">VLOOKUP(AI18,$F$16:$M$25,7,FALSE)</f>
        <v>0</v>
      </c>
      <c r="M30">
        <f ca="1">K30-L30</f>
        <v>0</v>
      </c>
      <c r="O30" t="str">
        <f ca="1">F30</f>
        <v>Senegal</v>
      </c>
      <c r="P30">
        <f ca="1">VLOOKUP(O30,$F$28:$M$37,5,FALSE)</f>
        <v>3</v>
      </c>
      <c r="Q30">
        <f ca="1">VLOOKUP(O30,$F$28:$M$37,8,FALSE)</f>
        <v>0</v>
      </c>
      <c r="S30" t="str">
        <f ca="1">IF(AND($P28=P30,Q30&gt;Q28),O28,O30)</f>
        <v>Senegal</v>
      </c>
      <c r="T30">
        <f ca="1">VLOOKUP(S30,$O$28:$Q$37,2,FALSE)</f>
        <v>3</v>
      </c>
      <c r="U30">
        <f ca="1">VLOOKUP(S30,$O$28:$Q$37,3,FALSE)</f>
        <v>0</v>
      </c>
      <c r="W30" t="str">
        <f ca="1">S30</f>
        <v>Senegal</v>
      </c>
      <c r="X30">
        <f ca="1">VLOOKUP(W30,$S$28:$U$37,2,FALSE)</f>
        <v>3</v>
      </c>
      <c r="Y30">
        <f ca="1">VLOOKUP(W30,$S$28:$U$37,3,FALSE)</f>
        <v>0</v>
      </c>
      <c r="AA30" t="str">
        <f ca="1">IF(AND(X29=X30,Y30&gt;Y29),W29,W30)</f>
        <v>Senegal</v>
      </c>
      <c r="AB30">
        <f ca="1">VLOOKUP(AA30,W28:Y37,2,FALSE)</f>
        <v>3</v>
      </c>
      <c r="AC30">
        <f ca="1">VLOOKUP(AA30,W28:Y37,3,FALSE)</f>
        <v>0</v>
      </c>
      <c r="AE30" t="str">
        <f ca="1">AA30</f>
        <v>Senegal</v>
      </c>
      <c r="AF30">
        <f ca="1">VLOOKUP(AE30,AA28:AC37,2,FALSE)</f>
        <v>3</v>
      </c>
      <c r="AG30">
        <f ca="1">VLOOKUP(AE30,AA28:AC37,3,FALSE)</f>
        <v>0</v>
      </c>
      <c r="AI30" t="str">
        <f ca="1">IF(AND(AF30=AF31,AG31&gt;AG30),AE31,AE30)</f>
        <v>Senegal</v>
      </c>
      <c r="AJ30">
        <f ca="1">VLOOKUP(AI30,AE28:AG37,2,FALSE)</f>
        <v>3</v>
      </c>
      <c r="AK30">
        <f ca="1">VLOOKUP(AI30,AE28:AG37,3,FALSE)</f>
        <v>0</v>
      </c>
    </row>
    <row r="31" spans="6:37">
      <c r="F31" t="str">
        <f ca="1">AI19</f>
        <v>Netherlands</v>
      </c>
      <c r="J31">
        <f ca="1">AJ19</f>
        <v>3</v>
      </c>
      <c r="K31">
        <f ca="1">VLOOKUP(AI19,$F$16:$M$25,6,FALSE)</f>
        <v>0</v>
      </c>
      <c r="L31">
        <f ca="1">VLOOKUP(AI19,$F$16:$M$25,7,FALSE)</f>
        <v>0</v>
      </c>
      <c r="M31">
        <f ca="1">K31-L31</f>
        <v>0</v>
      </c>
      <c r="O31" t="str">
        <f ca="1">F31</f>
        <v>Netherlands</v>
      </c>
      <c r="P31">
        <f ca="1">VLOOKUP(O31,$F$28:$M$37,5,FALSE)</f>
        <v>3</v>
      </c>
      <c r="Q31">
        <f ca="1">VLOOKUP(O31,$F$28:$M$37,8,FALSE)</f>
        <v>0</v>
      </c>
      <c r="S31" t="str">
        <f ca="1">O31</f>
        <v>Netherlands</v>
      </c>
      <c r="T31">
        <f ca="1">VLOOKUP(S31,$O$28:$Q$37,2,FALSE)</f>
        <v>3</v>
      </c>
      <c r="U31">
        <f ca="1">VLOOKUP(S31,$O$28:$Q$37,3,FALSE)</f>
        <v>0</v>
      </c>
      <c r="W31" t="str">
        <f ca="1">IF(AND(T28=T31,U31&gt;U28),S28,S31)</f>
        <v>Netherlands</v>
      </c>
      <c r="X31">
        <f ca="1">VLOOKUP(W31,$S$28:$U$37,2,FALSE)</f>
        <v>3</v>
      </c>
      <c r="Y31">
        <f ca="1">VLOOKUP(W31,$S$28:$U$37,3,FALSE)</f>
        <v>0</v>
      </c>
      <c r="AA31" t="str">
        <f ca="1">W31</f>
        <v>Netherlands</v>
      </c>
      <c r="AB31">
        <f ca="1">VLOOKUP(AA31,W28:Y37,2,FALSE)</f>
        <v>3</v>
      </c>
      <c r="AC31">
        <f ca="1">VLOOKUP(AA31,W28:Y37,3,FALSE)</f>
        <v>0</v>
      </c>
      <c r="AE31" t="str">
        <f ca="1">IF(AND(AB29=AB31,AC31&gt;AC29),AA29,AA31)</f>
        <v>Netherlands</v>
      </c>
      <c r="AF31">
        <f ca="1">VLOOKUP(AE31,AA28:AC37,2,FALSE)</f>
        <v>3</v>
      </c>
      <c r="AG31">
        <f ca="1">VLOOKUP(AE31,AA28:AC37,3,FALSE)</f>
        <v>0</v>
      </c>
      <c r="AI31" t="str">
        <f ca="1">IF(AND(AF30=AF31,AG31&gt;AG30),AE30,AE31)</f>
        <v>Netherlands</v>
      </c>
      <c r="AJ31">
        <f ca="1">VLOOKUP(AI31,AE28:AG37,2,FALSE)</f>
        <v>3</v>
      </c>
      <c r="AK31">
        <f ca="1">VLOOKUP(AI31,AE28:AG37,3,FALSE)</f>
        <v>0</v>
      </c>
    </row>
    <row r="40" spans="6:38">
      <c r="F40" t="str">
        <f ca="1">AI28</f>
        <v>Qatar</v>
      </c>
      <c r="J40">
        <f ca="1">VLOOKUP(F40,$F$16:$M$25,8,FALSE)</f>
        <v>3</v>
      </c>
      <c r="K40">
        <f ca="1">VLOOKUP(F40,$F$16:$M$25,6,FALSE)</f>
        <v>0</v>
      </c>
      <c r="L40">
        <f ca="1">VLOOKUP(F40,$F$16:$M$25,7,FALSE)</f>
        <v>0</v>
      </c>
      <c r="M40">
        <f ca="1">K40-L40</f>
        <v>0</v>
      </c>
      <c r="O40" t="str">
        <f ca="1">IF(AND(J40=J41,M40=M41,K41&gt;K40),F41,F40)</f>
        <v>Qatar</v>
      </c>
      <c r="P40">
        <f ca="1">VLOOKUP(O40,$F$40:$M$49,5,FALSE)</f>
        <v>3</v>
      </c>
      <c r="Q40">
        <f ca="1">VLOOKUP(O40,$F$40:$M$49,8,FALSE)</f>
        <v>0</v>
      </c>
      <c r="R40">
        <f ca="1">VLOOKUP(O40,$F$40:$M$49,6,FALSE)</f>
        <v>0</v>
      </c>
      <c r="S40" t="str">
        <f ca="1">IF(AND(P40=P42,Q40=Q42,R42&gt;R40),O42,O40)</f>
        <v>Qatar</v>
      </c>
      <c r="T40">
        <f ca="1">VLOOKUP(S40,$O$40:$R$49,2,FALSE)</f>
        <v>3</v>
      </c>
      <c r="U40">
        <f ca="1">VLOOKUP(S40,$O$40:$R$49,3,FALSE)</f>
        <v>0</v>
      </c>
      <c r="V40">
        <f ca="1">VLOOKUP(S40,$O$40:$R$49,4,FALSE)</f>
        <v>0</v>
      </c>
      <c r="W40" t="str">
        <f ca="1">IF(AND(T40=T43,U40=U43,V43&gt;V40),S43,S40)</f>
        <v>Qatar</v>
      </c>
      <c r="X40">
        <f ca="1">VLOOKUP(W40,$S$40:$V$49,2,FALSE)</f>
        <v>3</v>
      </c>
      <c r="Y40">
        <f ca="1">VLOOKUP(W40,$S$40:$V$49,3,FALSE)</f>
        <v>0</v>
      </c>
      <c r="Z40">
        <f ca="1">VLOOKUP(W40,$S$40:$V$49,4,FALSE)</f>
        <v>0</v>
      </c>
      <c r="AA40" t="str">
        <f ca="1">W40</f>
        <v>Qatar</v>
      </c>
      <c r="AB40">
        <f ca="1">VLOOKUP(AA40,W40:Z49,2,FALSE)</f>
        <v>3</v>
      </c>
      <c r="AC40">
        <f ca="1">VLOOKUP(AA40,W40:Z49,3,FALSE)</f>
        <v>0</v>
      </c>
      <c r="AD40">
        <f ca="1">VLOOKUP(AA40,W40:Z49,4,FALSE)</f>
        <v>0</v>
      </c>
      <c r="AE40" t="str">
        <f ca="1">AA40</f>
        <v>Qatar</v>
      </c>
      <c r="AF40">
        <f ca="1">VLOOKUP(AE40,AA40:AD49,2,FALSE)</f>
        <v>3</v>
      </c>
      <c r="AG40">
        <f ca="1">VLOOKUP(AE40,AA40:AD49,3,FALSE)</f>
        <v>0</v>
      </c>
      <c r="AH40">
        <f ca="1">VLOOKUP(AE40,AA40:AD49,4,FALSE)</f>
        <v>0</v>
      </c>
      <c r="AI40" t="str">
        <f ca="1">AE40</f>
        <v>Qatar</v>
      </c>
      <c r="AJ40">
        <f ca="1">VLOOKUP(AI40,AE40:AH49,2,FALSE)</f>
        <v>3</v>
      </c>
      <c r="AK40">
        <f ca="1">VLOOKUP(AI40,AE40:AH49,3,FALSE)</f>
        <v>0</v>
      </c>
      <c r="AL40">
        <f ca="1">VLOOKUP(AI40,AE40:AH49,4,FALSE)</f>
        <v>0</v>
      </c>
    </row>
    <row r="41" spans="6:38">
      <c r="F41" t="str">
        <f ca="1">AI29</f>
        <v>Ecuador</v>
      </c>
      <c r="J41">
        <f ca="1">VLOOKUP(F41,$F$16:$M$25,8,FALSE)</f>
        <v>3</v>
      </c>
      <c r="K41">
        <f ca="1">VLOOKUP(F41,$F$16:$M$25,6,FALSE)</f>
        <v>0</v>
      </c>
      <c r="L41">
        <f ca="1">VLOOKUP(F41,$F$16:$M$25,7,FALSE)</f>
        <v>0</v>
      </c>
      <c r="M41">
        <f ca="1">K41-L41</f>
        <v>0</v>
      </c>
      <c r="O41" t="str">
        <f ca="1">IF(AND(J40=J41,M40=M41,K41&gt;K40),F40,F41)</f>
        <v>Ecuador</v>
      </c>
      <c r="P41">
        <f ca="1">VLOOKUP(O41,$F$40:$M$49,5,FALSE)</f>
        <v>3</v>
      </c>
      <c r="Q41">
        <f ca="1">VLOOKUP(O41,$F$40:$M$49,8,FALSE)</f>
        <v>0</v>
      </c>
      <c r="R41">
        <f ca="1">VLOOKUP(O41,$F$40:$M$49,6,FALSE)</f>
        <v>0</v>
      </c>
      <c r="S41" t="str">
        <f ca="1">O41</f>
        <v>Ecuador</v>
      </c>
      <c r="T41">
        <f ca="1">VLOOKUP(S41,$O$40:$R$49,2,FALSE)</f>
        <v>3</v>
      </c>
      <c r="U41">
        <f ca="1">VLOOKUP(S41,$O$40:$R$49,3,FALSE)</f>
        <v>0</v>
      </c>
      <c r="V41">
        <f ca="1">VLOOKUP(S41,$O$40:$R$49,4,FALSE)</f>
        <v>0</v>
      </c>
      <c r="W41" t="str">
        <f ca="1">S41</f>
        <v>Ecuador</v>
      </c>
      <c r="X41">
        <f ca="1">VLOOKUP(W41,$S$40:$V$49,2,FALSE)</f>
        <v>3</v>
      </c>
      <c r="Y41">
        <f ca="1">VLOOKUP(W41,$S$40:$V$49,3,FALSE)</f>
        <v>0</v>
      </c>
      <c r="Z41">
        <f ca="1">VLOOKUP(W41,$S$40:$V$49,4,FALSE)</f>
        <v>0</v>
      </c>
      <c r="AA41" t="str">
        <f ca="1">IF(AND(X41=X42,Y41=Y42,Z42&gt;Z41),W42,W41)</f>
        <v>Ecuador</v>
      </c>
      <c r="AB41">
        <f ca="1">VLOOKUP(AA41,W40:Z49,2,FALSE)</f>
        <v>3</v>
      </c>
      <c r="AC41">
        <f ca="1">VLOOKUP(AA41,W40:Z49,3,FALSE)</f>
        <v>0</v>
      </c>
      <c r="AD41">
        <f ca="1">VLOOKUP(AA41,W40:Z49,4,FALSE)</f>
        <v>0</v>
      </c>
      <c r="AE41" t="str">
        <f ca="1">IF(AND(AB41=AB43,AC41=AC43,AD43&gt;AD41),AA43,AA41)</f>
        <v>Ecuador</v>
      </c>
      <c r="AF41">
        <f ca="1">VLOOKUP(AE41,AA40:AD49,2,FALSE)</f>
        <v>3</v>
      </c>
      <c r="AG41">
        <f ca="1">VLOOKUP(AE41,AA40:AD49,3,FALSE)</f>
        <v>0</v>
      </c>
      <c r="AH41">
        <f ca="1">VLOOKUP(AE41,AA40:AD49,4,FALSE)</f>
        <v>0</v>
      </c>
      <c r="AI41" t="str">
        <f ca="1">AE41</f>
        <v>Ecuador</v>
      </c>
      <c r="AJ41">
        <f ca="1">VLOOKUP(AI41,AE40:AH49,2,FALSE)</f>
        <v>3</v>
      </c>
      <c r="AK41">
        <f ca="1">VLOOKUP(AI41,AE40:AH49,3,FALSE)</f>
        <v>0</v>
      </c>
      <c r="AL41">
        <f ca="1">VLOOKUP(AI41,AE40:AH49,4,FALSE)</f>
        <v>0</v>
      </c>
    </row>
    <row r="42" spans="6:38">
      <c r="F42" t="str">
        <f ca="1">AI30</f>
        <v>Senegal</v>
      </c>
      <c r="J42">
        <f ca="1">VLOOKUP(F42,$F$16:$M$25,8,FALSE)</f>
        <v>3</v>
      </c>
      <c r="K42">
        <f ca="1">VLOOKUP(F42,$F$16:$M$25,6,FALSE)</f>
        <v>0</v>
      </c>
      <c r="L42">
        <f ca="1">VLOOKUP(F42,$F$16:$M$25,7,FALSE)</f>
        <v>0</v>
      </c>
      <c r="M42">
        <f ca="1">K42-L42</f>
        <v>0</v>
      </c>
      <c r="O42" t="str">
        <f ca="1">F42</f>
        <v>Senegal</v>
      </c>
      <c r="P42">
        <f ca="1">VLOOKUP(O42,$F$40:$M$49,5,FALSE)</f>
        <v>3</v>
      </c>
      <c r="Q42">
        <f ca="1">VLOOKUP(O42,$F$40:$M$49,8,FALSE)</f>
        <v>0</v>
      </c>
      <c r="R42">
        <f ca="1">VLOOKUP(O42,$F$40:$M$49,6,FALSE)</f>
        <v>0</v>
      </c>
      <c r="S42" t="str">
        <f ca="1">IF(AND(P40=P42,Q40=Q42,R42&gt;R40),O40,O42)</f>
        <v>Senegal</v>
      </c>
      <c r="T42">
        <f ca="1">VLOOKUP(S42,$O$40:$R$49,2,FALSE)</f>
        <v>3</v>
      </c>
      <c r="U42">
        <f ca="1">VLOOKUP(S42,$O$40:$R$49,3,FALSE)</f>
        <v>0</v>
      </c>
      <c r="V42">
        <f ca="1">VLOOKUP(S42,$O$40:$R$49,4,FALSE)</f>
        <v>0</v>
      </c>
      <c r="W42" t="str">
        <f ca="1">S42</f>
        <v>Senegal</v>
      </c>
      <c r="X42">
        <f ca="1">VLOOKUP(W42,$S$40:$V$49,2,FALSE)</f>
        <v>3</v>
      </c>
      <c r="Y42">
        <f ca="1">VLOOKUP(W42,$S$40:$V$49,3,FALSE)</f>
        <v>0</v>
      </c>
      <c r="Z42">
        <f ca="1">VLOOKUP(W42,$S$40:$V$49,4,FALSE)</f>
        <v>0</v>
      </c>
      <c r="AA42" t="str">
        <f ca="1">IF(AND(X41=X42,Y41=Y42,Z42&gt;Z41),W41,W42)</f>
        <v>Senegal</v>
      </c>
      <c r="AB42">
        <f ca="1">VLOOKUP(AA42,W40:Z49,2,FALSE)</f>
        <v>3</v>
      </c>
      <c r="AC42">
        <f ca="1">VLOOKUP(AA42,W40:Z49,3,FALSE)</f>
        <v>0</v>
      </c>
      <c r="AD42">
        <f ca="1">VLOOKUP(AA42,W40:Z49,4,FALSE)</f>
        <v>0</v>
      </c>
      <c r="AE42" t="str">
        <f ca="1">AA42</f>
        <v>Senegal</v>
      </c>
      <c r="AF42">
        <f ca="1">VLOOKUP(AE42,AA40:AD49,2,FALSE)</f>
        <v>3</v>
      </c>
      <c r="AG42">
        <f ca="1">VLOOKUP(AE42,AA40:AD49,3,FALSE)</f>
        <v>0</v>
      </c>
      <c r="AH42">
        <f ca="1">VLOOKUP(AE42,AA40:AD49,4,FALSE)</f>
        <v>0</v>
      </c>
      <c r="AI42" t="str">
        <f ca="1">IF(AND(AF42=AF43,AG42=AG43,AH43&gt;AH42),AE43,AE42)</f>
        <v>Senegal</v>
      </c>
      <c r="AJ42">
        <f ca="1">VLOOKUP(AI42,AE40:AH49,2,FALSE)</f>
        <v>3</v>
      </c>
      <c r="AK42">
        <f ca="1">VLOOKUP(AI42,AE40:AH49,3,FALSE)</f>
        <v>0</v>
      </c>
      <c r="AL42">
        <f ca="1">VLOOKUP(AI42,AE40:AH49,4,FALSE)</f>
        <v>0</v>
      </c>
    </row>
    <row r="43" spans="6:38">
      <c r="F43" t="str">
        <f ca="1">AI31</f>
        <v>Netherlands</v>
      </c>
      <c r="J43">
        <f ca="1">VLOOKUP(F43,$F$16:$M$25,8,FALSE)</f>
        <v>3</v>
      </c>
      <c r="K43">
        <f ca="1">VLOOKUP(F43,$F$16:$M$25,6,FALSE)</f>
        <v>0</v>
      </c>
      <c r="L43">
        <f ca="1">VLOOKUP(F43,$F$16:$M$25,7,FALSE)</f>
        <v>0</v>
      </c>
      <c r="M43">
        <f ca="1">K43-L43</f>
        <v>0</v>
      </c>
      <c r="O43" t="str">
        <f ca="1">F43</f>
        <v>Netherlands</v>
      </c>
      <c r="P43">
        <f ca="1">VLOOKUP(O43,$F$40:$M$49,5,FALSE)</f>
        <v>3</v>
      </c>
      <c r="Q43">
        <f ca="1">VLOOKUP(O43,$F$40:$M$49,8,FALSE)</f>
        <v>0</v>
      </c>
      <c r="R43">
        <f ca="1">VLOOKUP(O43,$F$40:$M$49,6,FALSE)</f>
        <v>0</v>
      </c>
      <c r="S43" t="str">
        <f ca="1">O43</f>
        <v>Netherlands</v>
      </c>
      <c r="T43">
        <f ca="1">VLOOKUP(S43,$O$40:$R$49,2,FALSE)</f>
        <v>3</v>
      </c>
      <c r="U43">
        <f ca="1">VLOOKUP(S43,$O$40:$R$49,3,FALSE)</f>
        <v>0</v>
      </c>
      <c r="V43">
        <f ca="1">VLOOKUP(S43,$O$40:$R$49,4,FALSE)</f>
        <v>0</v>
      </c>
      <c r="W43" t="str">
        <f ca="1">IF(AND(T40=T43,U40=U43,V43&gt;V40),S40,S43)</f>
        <v>Netherlands</v>
      </c>
      <c r="X43">
        <f ca="1">VLOOKUP(W43,$S$40:$V$49,2,FALSE)</f>
        <v>3</v>
      </c>
      <c r="Y43">
        <f ca="1">VLOOKUP(W43,$S$40:$V$49,3,FALSE)</f>
        <v>0</v>
      </c>
      <c r="Z43">
        <f ca="1">VLOOKUP(W43,$S$40:$V$49,4,FALSE)</f>
        <v>0</v>
      </c>
      <c r="AA43" t="str">
        <f ca="1">W43</f>
        <v>Netherlands</v>
      </c>
      <c r="AB43">
        <f ca="1">VLOOKUP(AA43,W40:Z49,2,FALSE)</f>
        <v>3</v>
      </c>
      <c r="AC43">
        <f ca="1">VLOOKUP(AA43,W40:Z49,3,FALSE)</f>
        <v>0</v>
      </c>
      <c r="AD43">
        <f ca="1">VLOOKUP(AA43,W40:Z49,4,FALSE)</f>
        <v>0</v>
      </c>
      <c r="AE43" t="str">
        <f ca="1">IF(AND(AB41=AB43,AC41=AC43,AD43&gt;AD41),AA41,AA43)</f>
        <v>Netherlands</v>
      </c>
      <c r="AF43">
        <f ca="1">VLOOKUP(AE43,AA40:AD49,2,FALSE)</f>
        <v>3</v>
      </c>
      <c r="AG43">
        <f ca="1">VLOOKUP(AE43,AA40:AD49,3,FALSE)</f>
        <v>0</v>
      </c>
      <c r="AH43">
        <f ca="1">VLOOKUP(AE43,AA40:AD49,4,FALSE)</f>
        <v>0</v>
      </c>
      <c r="AI43" t="str">
        <f ca="1">IF(AND(AF42=AF43,AG42=AG43,AH43&gt;AH42),AE42,AE43)</f>
        <v>Netherlands</v>
      </c>
      <c r="AJ43">
        <f ca="1">VLOOKUP(AI43,AE40:AH49,2,FALSE)</f>
        <v>3</v>
      </c>
      <c r="AK43">
        <f ca="1">VLOOKUP(AI43,AE40:AH49,3,FALSE)</f>
        <v>0</v>
      </c>
      <c r="AL43">
        <f ca="1">VLOOKUP(AI43,AE40:AH49,4,FALSE)</f>
        <v>0</v>
      </c>
    </row>
    <row r="51" spans="6:13">
      <c r="F51" t="s">
        <v>334</v>
      </c>
    </row>
    <row r="52" spans="6:13">
      <c r="F52" t="str">
        <f ca="1">AI40</f>
        <v>Qatar</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Ecuador</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Senegal</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Netherlands</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52SAup7GJf1dDWHKmrOkcOlrVXe+bJrL/38yhbRPziNnMbl0Y+TA23MWiWzARkCu8S/3yJ4kmkgf6L7anfcc9w==" saltValue="dcl27CA9TlWPjTzOvMAa1Q==" spinCount="100000" sheet="1" selectLockedCells="1" selectUnlockedCells="1"/>
  <customSheetViews>
    <customSheetView guid="{387210E2-BDFB-42E5-A6C7-A37C9701EAB6}">
      <selection activeCell="B4" sqref="B4:D9"/>
      <pageMargins left="0" right="0" top="0" bottom="0" header="0" footer="0"/>
      <headerFooter alignWithMargins="0"/>
    </customSheetView>
    <customSheetView guid="{E2621C8A-2AE3-484D-B751-B92E60BB88F8}">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5"/>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B -'!U7&lt;&gt;"",'- B -'!U7,"")</f>
        <v>Inglaterra</v>
      </c>
      <c r="N2" t="str">
        <f>IF('- B -'!U9&lt;&gt;"",'- B -'!U9,"")</f>
        <v>Iran</v>
      </c>
      <c r="U2" t="str">
        <f>IF('- B -'!U11&lt;&gt;"",'- B -'!U11,"")</f>
        <v>USA</v>
      </c>
      <c r="AB2" t="str">
        <f>IF('- B -'!U13&lt;&gt;"",'- B -'!U13,"")</f>
        <v>Gales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B -'!B6</f>
        <v>Inglaterra</v>
      </c>
      <c r="B4" s="1">
        <f ca="1">IF('- B -'!C6&lt;&gt;"",'- B -'!C6,"")</f>
        <v>0</v>
      </c>
      <c r="C4" s="1" t="str">
        <f>'- B -'!D6</f>
        <v>-</v>
      </c>
      <c r="D4" s="1">
        <f ca="1">IF('- B -'!E6&lt;&gt;"",'- B -'!E6,"")</f>
        <v>6</v>
      </c>
      <c r="E4" s="3" t="str">
        <f>'- B -'!F6</f>
        <v>Iran</v>
      </c>
      <c r="F4" s="1">
        <f ca="1">COUNTBLANK('- B -'!C6:'- B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0</v>
      </c>
      <c r="L4">
        <f t="shared" ref="L4:L9" ca="1" si="5">IF(F4&gt;0,0,IF($A4=$G$2,$D4,IF($E4=$G$2,$B4,0)))</f>
        <v>6</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6</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B -'!B7</f>
        <v>USA</v>
      </c>
      <c r="B5" s="1">
        <f ca="1">IF('- B -'!C7&lt;&gt;"",'- B -'!C7,"")</f>
        <v>3</v>
      </c>
      <c r="C5" s="1" t="str">
        <f>'- B -'!D7</f>
        <v>-</v>
      </c>
      <c r="D5" s="1">
        <f ca="1">IF('- B -'!E7&lt;&gt;"",'- B -'!E7,"")</f>
        <v>1</v>
      </c>
      <c r="E5" s="3" t="str">
        <f>'- B -'!F7</f>
        <v>Gales</v>
      </c>
      <c r="F5" s="1">
        <f ca="1">COUNTBLANK('- B -'!C7:'- B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3</v>
      </c>
      <c r="Z5">
        <f t="shared" ca="1" si="17"/>
        <v>1</v>
      </c>
      <c r="AB5">
        <f t="shared" ca="1" si="18"/>
        <v>1</v>
      </c>
      <c r="AC5">
        <f t="shared" ca="1" si="19"/>
        <v>0</v>
      </c>
      <c r="AD5">
        <f t="shared" ca="1" si="20"/>
        <v>0</v>
      </c>
      <c r="AE5">
        <f t="shared" ca="1" si="21"/>
        <v>1</v>
      </c>
      <c r="AF5">
        <f t="shared" ca="1" si="22"/>
        <v>1</v>
      </c>
      <c r="AG5">
        <f t="shared" ca="1" si="23"/>
        <v>3</v>
      </c>
    </row>
    <row r="6" spans="1:36">
      <c r="A6" s="2" t="str">
        <f>'- B -'!B8</f>
        <v>Gales</v>
      </c>
      <c r="B6" s="1">
        <f ca="1">IF('- B -'!C8&lt;&gt;"",'- B -'!C8,"")</f>
        <v>1</v>
      </c>
      <c r="C6" s="1" t="str">
        <f>'- B -'!D8</f>
        <v>-</v>
      </c>
      <c r="D6" s="1">
        <f ca="1">IF('- B -'!E8&lt;&gt;"",'- B -'!E8,"")</f>
        <v>4</v>
      </c>
      <c r="E6" s="3" t="str">
        <f>'- B -'!F8</f>
        <v>Iran</v>
      </c>
      <c r="F6" s="1">
        <f ca="1">COUNTBLANK('- B -'!C8:'- B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4</v>
      </c>
      <c r="S6">
        <f t="shared" ca="1" si="11"/>
        <v>1</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1</v>
      </c>
      <c r="AG6">
        <f t="shared" ca="1" si="23"/>
        <v>4</v>
      </c>
    </row>
    <row r="7" spans="1:36">
      <c r="A7" s="2" t="str">
        <f>'- B -'!B9</f>
        <v>Inglaterra</v>
      </c>
      <c r="B7" s="1">
        <f ca="1">IF('- B -'!C9&lt;&gt;"",'- B -'!C9,"")</f>
        <v>10</v>
      </c>
      <c r="C7" s="1" t="str">
        <f>'- B -'!D9</f>
        <v>-</v>
      </c>
      <c r="D7" s="1">
        <f ca="1">IF('- B -'!E9&lt;&gt;"",'- B -'!E9,"")</f>
        <v>0</v>
      </c>
      <c r="E7" s="3" t="str">
        <f>'- B -'!F9</f>
        <v>USA</v>
      </c>
      <c r="F7" s="1">
        <f ca="1">COUNTBLANK('- B -'!C9:'- B -'!E9)</f>
        <v>0</v>
      </c>
      <c r="G7">
        <f t="shared" ca="1" si="0"/>
        <v>1</v>
      </c>
      <c r="H7">
        <f t="shared" ca="1" si="1"/>
        <v>1</v>
      </c>
      <c r="I7">
        <f t="shared" ca="1" si="2"/>
        <v>0</v>
      </c>
      <c r="J7">
        <f t="shared" ca="1" si="3"/>
        <v>0</v>
      </c>
      <c r="K7">
        <f t="shared" ca="1" si="4"/>
        <v>10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0</v>
      </c>
      <c r="Z7">
        <f t="shared" ca="1" si="17"/>
        <v>10</v>
      </c>
      <c r="AB7">
        <f t="shared" ca="1" si="18"/>
        <v>0</v>
      </c>
      <c r="AC7">
        <f t="shared" ca="1" si="19"/>
        <v>0</v>
      </c>
      <c r="AD7">
        <f t="shared" ca="1" si="20"/>
        <v>0</v>
      </c>
      <c r="AE7">
        <f t="shared" ca="1" si="21"/>
        <v>0</v>
      </c>
      <c r="AF7">
        <f t="shared" ca="1" si="22"/>
        <v>0</v>
      </c>
      <c r="AG7">
        <f t="shared" ca="1" si="23"/>
        <v>0</v>
      </c>
    </row>
    <row r="8" spans="1:36">
      <c r="A8" s="2" t="str">
        <f>'- B -'!B10</f>
        <v>Iran</v>
      </c>
      <c r="B8" s="1">
        <f ca="1">IF('- B -'!C10&lt;&gt;"",'- B -'!C10,"")</f>
        <v>2</v>
      </c>
      <c r="C8" s="1" t="str">
        <f>'- B -'!D10</f>
        <v>-</v>
      </c>
      <c r="D8" s="1">
        <f ca="1">IF('- B -'!E10&lt;&gt;"",'- B -'!E10,"")</f>
        <v>6</v>
      </c>
      <c r="E8" s="3" t="str">
        <f>'- B -'!F10</f>
        <v>USA</v>
      </c>
      <c r="F8" s="1">
        <f ca="1">COUNTBLANK('- B -'!C10:'- B -'!E10)</f>
        <v>0</v>
      </c>
      <c r="G8">
        <f t="shared" ca="1" si="0"/>
        <v>0</v>
      </c>
      <c r="H8">
        <f t="shared" ca="1" si="1"/>
        <v>0</v>
      </c>
      <c r="I8">
        <f t="shared" ca="1" si="2"/>
        <v>0</v>
      </c>
      <c r="J8">
        <f t="shared" ca="1" si="3"/>
        <v>0</v>
      </c>
      <c r="K8">
        <f t="shared" ca="1" si="4"/>
        <v>0</v>
      </c>
      <c r="L8">
        <f t="shared" ca="1" si="5"/>
        <v>0</v>
      </c>
      <c r="N8">
        <f t="shared" ca="1" si="6"/>
        <v>1</v>
      </c>
      <c r="O8">
        <f t="shared" ca="1" si="7"/>
        <v>0</v>
      </c>
      <c r="P8">
        <f t="shared" ca="1" si="8"/>
        <v>0</v>
      </c>
      <c r="Q8">
        <f t="shared" ca="1" si="9"/>
        <v>1</v>
      </c>
      <c r="R8">
        <f t="shared" ca="1" si="10"/>
        <v>2</v>
      </c>
      <c r="S8">
        <f t="shared" ca="1" si="11"/>
        <v>6</v>
      </c>
      <c r="U8">
        <f t="shared" ca="1" si="12"/>
        <v>1</v>
      </c>
      <c r="V8">
        <f t="shared" ca="1" si="13"/>
        <v>1</v>
      </c>
      <c r="W8">
        <f t="shared" ca="1" si="14"/>
        <v>0</v>
      </c>
      <c r="X8">
        <f t="shared" ca="1" si="15"/>
        <v>0</v>
      </c>
      <c r="Y8">
        <f t="shared" ca="1" si="16"/>
        <v>6</v>
      </c>
      <c r="Z8">
        <f t="shared" ca="1" si="17"/>
        <v>2</v>
      </c>
      <c r="AB8">
        <f t="shared" ca="1" si="18"/>
        <v>0</v>
      </c>
      <c r="AC8">
        <f t="shared" ca="1" si="19"/>
        <v>0</v>
      </c>
      <c r="AD8">
        <f t="shared" ca="1" si="20"/>
        <v>0</v>
      </c>
      <c r="AE8">
        <f t="shared" ca="1" si="21"/>
        <v>0</v>
      </c>
      <c r="AF8">
        <f t="shared" ca="1" si="22"/>
        <v>0</v>
      </c>
      <c r="AG8">
        <f t="shared" ca="1" si="23"/>
        <v>0</v>
      </c>
    </row>
    <row r="9" spans="1:36">
      <c r="A9" s="2" t="str">
        <f>'- B -'!B11</f>
        <v>Gales</v>
      </c>
      <c r="B9" s="1">
        <f ca="1">IF('- B -'!C11&lt;&gt;"",'- B -'!C11,"")</f>
        <v>10</v>
      </c>
      <c r="C9" s="1" t="str">
        <f>'- B -'!D11</f>
        <v>-</v>
      </c>
      <c r="D9" s="1">
        <f ca="1">IF('- B -'!E11&lt;&gt;"",'- B -'!E11,"")</f>
        <v>5</v>
      </c>
      <c r="E9" s="3" t="str">
        <f>'- B -'!F11</f>
        <v>Inglaterra</v>
      </c>
      <c r="F9" s="1">
        <f ca="1">COUNTBLANK('- B -'!C11:'- B -'!E11)</f>
        <v>0</v>
      </c>
      <c r="G9">
        <f t="shared" ca="1" si="0"/>
        <v>1</v>
      </c>
      <c r="H9">
        <f t="shared" ca="1" si="1"/>
        <v>0</v>
      </c>
      <c r="I9">
        <f t="shared" ca="1" si="2"/>
        <v>0</v>
      </c>
      <c r="J9">
        <f t="shared" ca="1" si="3"/>
        <v>1</v>
      </c>
      <c r="K9">
        <f t="shared" ca="1" si="4"/>
        <v>5</v>
      </c>
      <c r="L9">
        <f t="shared" ca="1" si="5"/>
        <v>10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1</v>
      </c>
      <c r="AD9">
        <f t="shared" ca="1" si="20"/>
        <v>0</v>
      </c>
      <c r="AE9">
        <f t="shared" ca="1" si="21"/>
        <v>0</v>
      </c>
      <c r="AF9">
        <f t="shared" ca="1" si="22"/>
        <v>10</v>
      </c>
      <c r="AG9">
        <f t="shared" ca="1" si="23"/>
        <v>5</v>
      </c>
    </row>
    <row r="10" spans="1:36">
      <c r="G10">
        <f t="shared" ref="G10:L10" ca="1" si="24">SUM(G4:G9)</f>
        <v>3</v>
      </c>
      <c r="H10">
        <f t="shared" ca="1" si="24"/>
        <v>1</v>
      </c>
      <c r="I10">
        <f t="shared" ca="1" si="24"/>
        <v>0</v>
      </c>
      <c r="J10">
        <f t="shared" ca="1" si="24"/>
        <v>2</v>
      </c>
      <c r="K10">
        <f t="shared" ca="1" si="24"/>
        <v>15</v>
      </c>
      <c r="L10">
        <f t="shared" ca="1" si="24"/>
        <v>16</v>
      </c>
      <c r="M10">
        <f ca="1">H10*3+I10</f>
        <v>3</v>
      </c>
      <c r="N10">
        <f t="shared" ref="N10:S10" ca="1" si="25">SUM(N4:N9)</f>
        <v>3</v>
      </c>
      <c r="O10">
        <f t="shared" ca="1" si="25"/>
        <v>2</v>
      </c>
      <c r="P10">
        <f t="shared" ca="1" si="25"/>
        <v>0</v>
      </c>
      <c r="Q10">
        <f t="shared" ca="1" si="25"/>
        <v>1</v>
      </c>
      <c r="R10">
        <f t="shared" ca="1" si="25"/>
        <v>12</v>
      </c>
      <c r="S10">
        <f t="shared" ca="1" si="25"/>
        <v>7</v>
      </c>
      <c r="T10">
        <f ca="1">O10*3+P10</f>
        <v>6</v>
      </c>
      <c r="U10">
        <f t="shared" ref="U10:Z10" ca="1" si="26">SUM(U4:U9)</f>
        <v>3</v>
      </c>
      <c r="V10">
        <f t="shared" ca="1" si="26"/>
        <v>2</v>
      </c>
      <c r="W10">
        <f t="shared" ca="1" si="26"/>
        <v>0</v>
      </c>
      <c r="X10">
        <f t="shared" ca="1" si="26"/>
        <v>1</v>
      </c>
      <c r="Y10">
        <f t="shared" ca="1" si="26"/>
        <v>9</v>
      </c>
      <c r="Z10">
        <f t="shared" ca="1" si="26"/>
        <v>13</v>
      </c>
      <c r="AA10">
        <f ca="1">V10*3+W10</f>
        <v>6</v>
      </c>
      <c r="AB10">
        <f t="shared" ref="AB10:AG10" ca="1" si="27">SUM(AB4:AB9)</f>
        <v>3</v>
      </c>
      <c r="AC10">
        <f t="shared" ca="1" si="27"/>
        <v>1</v>
      </c>
      <c r="AD10">
        <f t="shared" ca="1" si="27"/>
        <v>0</v>
      </c>
      <c r="AE10">
        <f t="shared" ca="1" si="27"/>
        <v>2</v>
      </c>
      <c r="AF10">
        <f t="shared" ca="1" si="27"/>
        <v>12</v>
      </c>
      <c r="AG10">
        <f t="shared" ca="1" si="27"/>
        <v>12</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Inglaterra</v>
      </c>
      <c r="G16">
        <f t="shared" ref="G16:M16" ca="1" si="28">G10</f>
        <v>3</v>
      </c>
      <c r="H16">
        <f t="shared" ca="1" si="28"/>
        <v>1</v>
      </c>
      <c r="I16">
        <f t="shared" ca="1" si="28"/>
        <v>0</v>
      </c>
      <c r="J16">
        <f t="shared" ca="1" si="28"/>
        <v>2</v>
      </c>
      <c r="K16">
        <f t="shared" ca="1" si="28"/>
        <v>15</v>
      </c>
      <c r="L16">
        <f t="shared" ca="1" si="28"/>
        <v>16</v>
      </c>
      <c r="M16">
        <f t="shared" ca="1" si="28"/>
        <v>3</v>
      </c>
      <c r="O16" t="str">
        <f ca="1">IF($M16&gt;=$M17,$F16,$F17)</f>
        <v>Iran</v>
      </c>
      <c r="P16">
        <f ca="1">VLOOKUP(O16,$F$16:$M$25,8,FALSE)</f>
        <v>6</v>
      </c>
      <c r="S16" t="str">
        <f ca="1">IF($P16&gt;=$P18,$O16,$O18)</f>
        <v>Iran</v>
      </c>
      <c r="T16">
        <f ca="1">VLOOKUP(S16,$O$16:$P$25,2,FALSE)</f>
        <v>6</v>
      </c>
      <c r="W16" t="str">
        <f ca="1">IF($T16&gt;=$T19,$S16,$S19)</f>
        <v>Iran</v>
      </c>
      <c r="X16">
        <f ca="1">VLOOKUP(W16,$S$16:$T$25,2,FALSE)</f>
        <v>6</v>
      </c>
      <c r="AA16" t="str">
        <f ca="1">W16</f>
        <v>Iran</v>
      </c>
      <c r="AB16">
        <f ca="1">VLOOKUP(AA16,W16:X25,2,FALSE)</f>
        <v>6</v>
      </c>
      <c r="AE16" t="str">
        <f ca="1">AA16</f>
        <v>Iran</v>
      </c>
      <c r="AF16">
        <f ca="1">VLOOKUP(AE16,AA16:AB25,2,FALSE)</f>
        <v>6</v>
      </c>
      <c r="AI16" t="str">
        <f ca="1">AE16</f>
        <v>Iran</v>
      </c>
      <c r="AJ16">
        <f ca="1">VLOOKUP(AI16,AE16:AF25,2,FALSE)</f>
        <v>6</v>
      </c>
    </row>
    <row r="17" spans="6:37">
      <c r="F17" t="str">
        <f>N2</f>
        <v>Iran</v>
      </c>
      <c r="G17">
        <f t="shared" ref="G17:M17" ca="1" si="29">N10</f>
        <v>3</v>
      </c>
      <c r="H17">
        <f t="shared" ca="1" si="29"/>
        <v>2</v>
      </c>
      <c r="I17">
        <f t="shared" ca="1" si="29"/>
        <v>0</v>
      </c>
      <c r="J17">
        <f t="shared" ca="1" si="29"/>
        <v>1</v>
      </c>
      <c r="K17">
        <f t="shared" ca="1" si="29"/>
        <v>12</v>
      </c>
      <c r="L17">
        <f t="shared" ca="1" si="29"/>
        <v>7</v>
      </c>
      <c r="M17">
        <f t="shared" ca="1" si="29"/>
        <v>6</v>
      </c>
      <c r="O17" t="str">
        <f ca="1">IF($M17&lt;=$M16,$F17,$F16)</f>
        <v>Inglaterra</v>
      </c>
      <c r="P17">
        <f ca="1">VLOOKUP(O17,$F$16:$M$25,8,FALSE)</f>
        <v>3</v>
      </c>
      <c r="S17" t="str">
        <f ca="1">O17</f>
        <v>Inglaterra</v>
      </c>
      <c r="T17">
        <f ca="1">VLOOKUP(S17,$O$16:$P$25,2,FALSE)</f>
        <v>3</v>
      </c>
      <c r="W17" t="str">
        <f ca="1">S17</f>
        <v>Inglaterra</v>
      </c>
      <c r="X17">
        <f ca="1">VLOOKUP(W17,$S$16:$T$25,2,FALSE)</f>
        <v>3</v>
      </c>
      <c r="AA17" t="str">
        <f ca="1">IF(X17&gt;=X18,W17,W18)</f>
        <v>USA</v>
      </c>
      <c r="AB17">
        <f ca="1">VLOOKUP(AA17,W16:X25,2,FALSE)</f>
        <v>6</v>
      </c>
      <c r="AE17" t="str">
        <f ca="1">IF(AB17&gt;=AB19,AA17,AA19)</f>
        <v>USA</v>
      </c>
      <c r="AF17">
        <f ca="1">VLOOKUP(AE17,AA16:AB25,2,FALSE)</f>
        <v>6</v>
      </c>
      <c r="AI17" t="str">
        <f ca="1">AE17</f>
        <v>USA</v>
      </c>
      <c r="AJ17">
        <f ca="1">VLOOKUP(AI17,AE16:AF25,2,FALSE)</f>
        <v>6</v>
      </c>
    </row>
    <row r="18" spans="6:37">
      <c r="F18" t="str">
        <f>U2</f>
        <v>USA</v>
      </c>
      <c r="G18">
        <f t="shared" ref="G18:M18" ca="1" si="30">U10</f>
        <v>3</v>
      </c>
      <c r="H18">
        <f t="shared" ca="1" si="30"/>
        <v>2</v>
      </c>
      <c r="I18">
        <f t="shared" ca="1" si="30"/>
        <v>0</v>
      </c>
      <c r="J18">
        <f t="shared" ca="1" si="30"/>
        <v>1</v>
      </c>
      <c r="K18">
        <f t="shared" ca="1" si="30"/>
        <v>9</v>
      </c>
      <c r="L18">
        <f t="shared" ca="1" si="30"/>
        <v>13</v>
      </c>
      <c r="M18">
        <f t="shared" ca="1" si="30"/>
        <v>6</v>
      </c>
      <c r="O18" t="str">
        <f>F18</f>
        <v>USA</v>
      </c>
      <c r="P18">
        <f ca="1">VLOOKUP(O18,$F$16:$M$25,8,FALSE)</f>
        <v>6</v>
      </c>
      <c r="S18" t="str">
        <f ca="1">IF($P18&lt;=$P16,$O18,$O16)</f>
        <v>USA</v>
      </c>
      <c r="T18">
        <f ca="1">VLOOKUP(S18,$O$16:$P$25,2,FALSE)</f>
        <v>6</v>
      </c>
      <c r="W18" t="str">
        <f ca="1">S18</f>
        <v>USA</v>
      </c>
      <c r="X18">
        <f ca="1">VLOOKUP(W18,$S$16:$T$25,2,FALSE)</f>
        <v>6</v>
      </c>
      <c r="AA18" t="str">
        <f ca="1">IF(X18&lt;=X17,W18,W17)</f>
        <v>Inglaterra</v>
      </c>
      <c r="AB18">
        <f ca="1">VLOOKUP(AA18,W16:X25,2,FALSE)</f>
        <v>3</v>
      </c>
      <c r="AE18" t="str">
        <f ca="1">AA18</f>
        <v>Inglaterra</v>
      </c>
      <c r="AF18">
        <f ca="1">VLOOKUP(AE18,AA16:AB25,2,FALSE)</f>
        <v>3</v>
      </c>
      <c r="AI18" t="str">
        <f ca="1">IF(AF18&gt;=AF19,AE18,AE19)</f>
        <v>Inglaterra</v>
      </c>
      <c r="AJ18">
        <f ca="1">VLOOKUP(AI18,AE16:AF25,2,FALSE)</f>
        <v>3</v>
      </c>
    </row>
    <row r="19" spans="6:37">
      <c r="F19" t="str">
        <f>AB2</f>
        <v>Gales</v>
      </c>
      <c r="G19">
        <f t="shared" ref="G19:M19" ca="1" si="31">AB10</f>
        <v>3</v>
      </c>
      <c r="H19">
        <f t="shared" ca="1" si="31"/>
        <v>1</v>
      </c>
      <c r="I19">
        <f t="shared" ca="1" si="31"/>
        <v>0</v>
      </c>
      <c r="J19">
        <f t="shared" ca="1" si="31"/>
        <v>2</v>
      </c>
      <c r="K19">
        <f t="shared" ca="1" si="31"/>
        <v>12</v>
      </c>
      <c r="L19">
        <f t="shared" ca="1" si="31"/>
        <v>12</v>
      </c>
      <c r="M19">
        <f t="shared" ca="1" si="31"/>
        <v>3</v>
      </c>
      <c r="O19" t="str">
        <f>F19</f>
        <v>Gales</v>
      </c>
      <c r="P19">
        <f ca="1">VLOOKUP(O19,$F$16:$M$25,8,FALSE)</f>
        <v>3</v>
      </c>
      <c r="S19" t="str">
        <f>O19</f>
        <v>Gales</v>
      </c>
      <c r="T19">
        <f ca="1">VLOOKUP(S19,$O$16:$P$25,2,FALSE)</f>
        <v>3</v>
      </c>
      <c r="W19" t="str">
        <f ca="1">IF($T19&lt;=$T16,$S19,$S16)</f>
        <v>Gales</v>
      </c>
      <c r="X19">
        <f ca="1">VLOOKUP(W19,$S$16:$T$25,2,FALSE)</f>
        <v>3</v>
      </c>
      <c r="AA19" t="str">
        <f ca="1">W19</f>
        <v>Gales</v>
      </c>
      <c r="AB19">
        <f ca="1">VLOOKUP(AA19,W16:X25,2,FALSE)</f>
        <v>3</v>
      </c>
      <c r="AE19" t="str">
        <f ca="1">IF(AB19&lt;=AB17,AA19,AA17)</f>
        <v>Gales</v>
      </c>
      <c r="AF19">
        <f ca="1">VLOOKUP(AE19,AA16:AB25,2,FALSE)</f>
        <v>3</v>
      </c>
      <c r="AI19" t="str">
        <f ca="1">IF(AF19&lt;=AF18,AE19,AE18)</f>
        <v>Gales</v>
      </c>
      <c r="AJ19">
        <f ca="1">VLOOKUP(AI19,AE16:AF25,2,FALSE)</f>
        <v>3</v>
      </c>
    </row>
    <row r="28" spans="6:37">
      <c r="F28" t="str">
        <f ca="1">AI16</f>
        <v>Iran</v>
      </c>
      <c r="J28">
        <f ca="1">AJ16</f>
        <v>6</v>
      </c>
      <c r="K28">
        <f ca="1">VLOOKUP(AI16,$F$16:$M$25,6,FALSE)</f>
        <v>12</v>
      </c>
      <c r="L28">
        <f ca="1">VLOOKUP(AI16,$F$16:$M$25,7,FALSE)</f>
        <v>7</v>
      </c>
      <c r="M28">
        <f ca="1">K28-L28</f>
        <v>5</v>
      </c>
      <c r="O28" t="str">
        <f ca="1">IF(AND($J28=$J29,$M29&gt;$M28),$F29,$F28)</f>
        <v>Iran</v>
      </c>
      <c r="P28">
        <f ca="1">VLOOKUP(O28,$F$28:$M$37,5,FALSE)</f>
        <v>6</v>
      </c>
      <c r="Q28">
        <f ca="1">VLOOKUP(O28,$F$28:$M$37,8,FALSE)</f>
        <v>5</v>
      </c>
      <c r="S28" t="str">
        <f ca="1">IF(AND(P28=P30,Q30&gt;Q28),O30,O28)</f>
        <v>Iran</v>
      </c>
      <c r="T28">
        <f ca="1">VLOOKUP(S28,$O$28:$Q$37,2,FALSE)</f>
        <v>6</v>
      </c>
      <c r="U28">
        <f ca="1">VLOOKUP(S28,$O$28:$Q$37,3,FALSE)</f>
        <v>5</v>
      </c>
      <c r="W28" t="str">
        <f ca="1">IF(AND(T28=T31,U31&gt;U28),S31,S28)</f>
        <v>Iran</v>
      </c>
      <c r="X28">
        <f ca="1">VLOOKUP(W28,$S$28:$U$37,2,FALSE)</f>
        <v>6</v>
      </c>
      <c r="Y28">
        <f ca="1">VLOOKUP(W28,$S$28:$U$37,3,FALSE)</f>
        <v>5</v>
      </c>
      <c r="AA28" t="str">
        <f ca="1">W28</f>
        <v>Iran</v>
      </c>
      <c r="AB28">
        <f ca="1">VLOOKUP(AA28,W28:Y37,2,FALSE)</f>
        <v>6</v>
      </c>
      <c r="AC28">
        <f ca="1">VLOOKUP(AA28,W28:Y37,3,FALSE)</f>
        <v>5</v>
      </c>
      <c r="AE28" t="str">
        <f ca="1">AA28</f>
        <v>Iran</v>
      </c>
      <c r="AF28">
        <f ca="1">VLOOKUP(AE28,AA28:AC37,2,FALSE)</f>
        <v>6</v>
      </c>
      <c r="AG28">
        <f ca="1">VLOOKUP(AE28,AA28:AC37,3,FALSE)</f>
        <v>5</v>
      </c>
      <c r="AI28" t="str">
        <f ca="1">AE28</f>
        <v>Iran</v>
      </c>
      <c r="AJ28">
        <f ca="1">VLOOKUP(AI28,AE28:AG37,2,FALSE)</f>
        <v>6</v>
      </c>
      <c r="AK28">
        <f ca="1">VLOOKUP(AI28,AE28:AG37,3,FALSE)</f>
        <v>5</v>
      </c>
    </row>
    <row r="29" spans="6:37">
      <c r="F29" t="str">
        <f ca="1">AI17</f>
        <v>USA</v>
      </c>
      <c r="J29">
        <f ca="1">AJ17</f>
        <v>6</v>
      </c>
      <c r="K29">
        <f ca="1">VLOOKUP(AI17,$F$16:$M$25,6,FALSE)</f>
        <v>9</v>
      </c>
      <c r="L29">
        <f ca="1">VLOOKUP(AI17,$F$16:$M$25,7,FALSE)</f>
        <v>13</v>
      </c>
      <c r="M29">
        <f ca="1">K29-L29</f>
        <v>-4</v>
      </c>
      <c r="O29" t="str">
        <f ca="1">IF(AND($J28=$J29,$M29&gt;$M28),$F28,$F29)</f>
        <v>USA</v>
      </c>
      <c r="P29">
        <f ca="1">VLOOKUP(O29,$F$28:$M$37,5,FALSE)</f>
        <v>6</v>
      </c>
      <c r="Q29">
        <f ca="1">VLOOKUP(O29,$F$28:$M$37,8,FALSE)</f>
        <v>-4</v>
      </c>
      <c r="S29" t="str">
        <f ca="1">O29</f>
        <v>USA</v>
      </c>
      <c r="T29">
        <f ca="1">VLOOKUP(S29,$O$28:$Q$37,2,FALSE)</f>
        <v>6</v>
      </c>
      <c r="U29">
        <f ca="1">VLOOKUP(S29,$O$28:$Q$37,3,FALSE)</f>
        <v>-4</v>
      </c>
      <c r="W29" t="str">
        <f ca="1">S29</f>
        <v>USA</v>
      </c>
      <c r="X29">
        <f ca="1">VLOOKUP(W29,$S$28:$U$37,2,FALSE)</f>
        <v>6</v>
      </c>
      <c r="Y29">
        <f ca="1">VLOOKUP(W29,$S$28:$U$37,3,FALSE)</f>
        <v>-4</v>
      </c>
      <c r="AA29" t="str">
        <f ca="1">IF(AND(X29=X30,Y30&gt;Y29),W30,W29)</f>
        <v>USA</v>
      </c>
      <c r="AB29">
        <f ca="1">VLOOKUP(AA29,W28:Y37,2,FALSE)</f>
        <v>6</v>
      </c>
      <c r="AC29">
        <f ca="1">VLOOKUP(AA29,W28:Y37,3,FALSE)</f>
        <v>-4</v>
      </c>
      <c r="AE29" t="str">
        <f ca="1">IF(AND(AB29=AB31,AC31&gt;AC29),AA31,AA29)</f>
        <v>USA</v>
      </c>
      <c r="AF29">
        <f ca="1">VLOOKUP(AE29,AA28:AC37,2,FALSE)</f>
        <v>6</v>
      </c>
      <c r="AG29">
        <f ca="1">VLOOKUP(AE29,AA28:AC37,3,FALSE)</f>
        <v>-4</v>
      </c>
      <c r="AI29" t="str">
        <f ca="1">AE29</f>
        <v>USA</v>
      </c>
      <c r="AJ29">
        <f ca="1">VLOOKUP(AI29,AE28:AG37,2,FALSE)</f>
        <v>6</v>
      </c>
      <c r="AK29">
        <f ca="1">VLOOKUP(AI29,AE28:AG37,3,FALSE)</f>
        <v>-4</v>
      </c>
    </row>
    <row r="30" spans="6:37">
      <c r="F30" t="str">
        <f ca="1">AI18</f>
        <v>Inglaterra</v>
      </c>
      <c r="J30">
        <f ca="1">AJ18</f>
        <v>3</v>
      </c>
      <c r="K30">
        <f ca="1">VLOOKUP(AI18,$F$16:$M$25,6,FALSE)</f>
        <v>15</v>
      </c>
      <c r="L30">
        <f ca="1">VLOOKUP(AI18,$F$16:$M$25,7,FALSE)</f>
        <v>16</v>
      </c>
      <c r="M30">
        <f ca="1">K30-L30</f>
        <v>-1</v>
      </c>
      <c r="O30" t="str">
        <f ca="1">F30</f>
        <v>Inglaterra</v>
      </c>
      <c r="P30">
        <f ca="1">VLOOKUP(O30,$F$28:$M$37,5,FALSE)</f>
        <v>3</v>
      </c>
      <c r="Q30">
        <f ca="1">VLOOKUP(O30,$F$28:$M$37,8,FALSE)</f>
        <v>-1</v>
      </c>
      <c r="S30" t="str">
        <f ca="1">IF(AND($P28=P30,Q30&gt;Q28),O28,O30)</f>
        <v>Inglaterra</v>
      </c>
      <c r="T30">
        <f ca="1">VLOOKUP(S30,$O$28:$Q$37,2,FALSE)</f>
        <v>3</v>
      </c>
      <c r="U30">
        <f ca="1">VLOOKUP(S30,$O$28:$Q$37,3,FALSE)</f>
        <v>-1</v>
      </c>
      <c r="W30" t="str">
        <f ca="1">S30</f>
        <v>Inglaterra</v>
      </c>
      <c r="X30">
        <f ca="1">VLOOKUP(W30,$S$28:$U$37,2,FALSE)</f>
        <v>3</v>
      </c>
      <c r="Y30">
        <f ca="1">VLOOKUP(W30,$S$28:$U$37,3,FALSE)</f>
        <v>-1</v>
      </c>
      <c r="AA30" t="str">
        <f ca="1">IF(AND(X29=X30,Y30&gt;Y29),W29,W30)</f>
        <v>Inglaterra</v>
      </c>
      <c r="AB30">
        <f ca="1">VLOOKUP(AA30,W28:Y37,2,FALSE)</f>
        <v>3</v>
      </c>
      <c r="AC30">
        <f ca="1">VLOOKUP(AA30,W28:Y37,3,FALSE)</f>
        <v>-1</v>
      </c>
      <c r="AE30" t="str">
        <f ca="1">AA30</f>
        <v>Inglaterra</v>
      </c>
      <c r="AF30">
        <f ca="1">VLOOKUP(AE30,AA28:AC37,2,FALSE)</f>
        <v>3</v>
      </c>
      <c r="AG30">
        <f ca="1">VLOOKUP(AE30,AA28:AC37,3,FALSE)</f>
        <v>-1</v>
      </c>
      <c r="AI30" t="str">
        <f ca="1">IF(AND(AF30=AF31,AG31&gt;AG30),AE31,AE30)</f>
        <v>Gales</v>
      </c>
      <c r="AJ30">
        <f ca="1">VLOOKUP(AI30,AE28:AG37,2,FALSE)</f>
        <v>3</v>
      </c>
      <c r="AK30">
        <f ca="1">VLOOKUP(AI30,AE28:AG37,3,FALSE)</f>
        <v>0</v>
      </c>
    </row>
    <row r="31" spans="6:37">
      <c r="F31" t="str">
        <f ca="1">AI19</f>
        <v>Gales</v>
      </c>
      <c r="J31">
        <f ca="1">AJ19</f>
        <v>3</v>
      </c>
      <c r="K31">
        <f ca="1">VLOOKUP(AI19,$F$16:$M$25,6,FALSE)</f>
        <v>12</v>
      </c>
      <c r="L31">
        <f ca="1">VLOOKUP(AI19,$F$16:$M$25,7,FALSE)</f>
        <v>12</v>
      </c>
      <c r="M31">
        <f ca="1">K31-L31</f>
        <v>0</v>
      </c>
      <c r="O31" t="str">
        <f ca="1">F31</f>
        <v>Gales</v>
      </c>
      <c r="P31">
        <f ca="1">VLOOKUP(O31,$F$28:$M$37,5,FALSE)</f>
        <v>3</v>
      </c>
      <c r="Q31">
        <f ca="1">VLOOKUP(O31,$F$28:$M$37,8,FALSE)</f>
        <v>0</v>
      </c>
      <c r="S31" t="str">
        <f ca="1">O31</f>
        <v>Gales</v>
      </c>
      <c r="T31">
        <f ca="1">VLOOKUP(S31,$O$28:$Q$37,2,FALSE)</f>
        <v>3</v>
      </c>
      <c r="U31">
        <f ca="1">VLOOKUP(S31,$O$28:$Q$37,3,FALSE)</f>
        <v>0</v>
      </c>
      <c r="W31" t="str">
        <f ca="1">IF(AND(T28=T31,U31&gt;U28),S28,S31)</f>
        <v>Gales</v>
      </c>
      <c r="X31">
        <f ca="1">VLOOKUP(W31,$S$28:$U$37,2,FALSE)</f>
        <v>3</v>
      </c>
      <c r="Y31">
        <f ca="1">VLOOKUP(W31,$S$28:$U$37,3,FALSE)</f>
        <v>0</v>
      </c>
      <c r="AA31" t="str">
        <f ca="1">W31</f>
        <v>Gales</v>
      </c>
      <c r="AB31">
        <f ca="1">VLOOKUP(AA31,W28:Y37,2,FALSE)</f>
        <v>3</v>
      </c>
      <c r="AC31">
        <f ca="1">VLOOKUP(AA31,W28:Y37,3,FALSE)</f>
        <v>0</v>
      </c>
      <c r="AE31" t="str">
        <f ca="1">IF(AND(AB29=AB31,AC31&gt;AC29),AA29,AA31)</f>
        <v>Gales</v>
      </c>
      <c r="AF31">
        <f ca="1">VLOOKUP(AE31,AA28:AC37,2,FALSE)</f>
        <v>3</v>
      </c>
      <c r="AG31">
        <f ca="1">VLOOKUP(AE31,AA28:AC37,3,FALSE)</f>
        <v>0</v>
      </c>
      <c r="AI31" t="str">
        <f ca="1">IF(AND(AF30=AF31,AG31&gt;AG30),AE30,AE31)</f>
        <v>Inglaterra</v>
      </c>
      <c r="AJ31">
        <f ca="1">VLOOKUP(AI31,AE28:AG37,2,FALSE)</f>
        <v>3</v>
      </c>
      <c r="AK31">
        <f ca="1">VLOOKUP(AI31,AE28:AG37,3,FALSE)</f>
        <v>-1</v>
      </c>
    </row>
    <row r="40" spans="6:38">
      <c r="F40" t="str">
        <f ca="1">AI28</f>
        <v>Iran</v>
      </c>
      <c r="J40">
        <f ca="1">VLOOKUP(F40,$F$16:$M$25,8,FALSE)</f>
        <v>6</v>
      </c>
      <c r="K40">
        <f ca="1">VLOOKUP(F40,$F$16:$M$25,6,FALSE)</f>
        <v>12</v>
      </c>
      <c r="L40">
        <f ca="1">VLOOKUP(F40,$F$16:$M$25,7,FALSE)</f>
        <v>7</v>
      </c>
      <c r="M40">
        <f ca="1">K40-L40</f>
        <v>5</v>
      </c>
      <c r="O40" t="str">
        <f ca="1">IF(AND(J40=J41,M40=M41,K41&gt;K40),F41,F40)</f>
        <v>Iran</v>
      </c>
      <c r="P40">
        <f ca="1">VLOOKUP(O40,$F$40:$M$49,5,FALSE)</f>
        <v>6</v>
      </c>
      <c r="Q40">
        <f ca="1">VLOOKUP(O40,$F$40:$M$49,8,FALSE)</f>
        <v>5</v>
      </c>
      <c r="R40">
        <f ca="1">VLOOKUP(O40,$F$40:$M$49,6,FALSE)</f>
        <v>12</v>
      </c>
      <c r="S40" t="str">
        <f ca="1">IF(AND(P40=P42,Q40=Q42,R42&gt;R40),O42,O40)</f>
        <v>Iran</v>
      </c>
      <c r="T40">
        <f ca="1">VLOOKUP(S40,$O$40:$R$49,2,FALSE)</f>
        <v>6</v>
      </c>
      <c r="U40">
        <f ca="1">VLOOKUP(S40,$O$40:$R$49,3,FALSE)</f>
        <v>5</v>
      </c>
      <c r="V40">
        <f ca="1">VLOOKUP(S40,$O$40:$R$49,4,FALSE)</f>
        <v>12</v>
      </c>
      <c r="W40" t="str">
        <f ca="1">IF(AND(T40=T43,U40=U43,V43&gt;V40),S43,S40)</f>
        <v>Iran</v>
      </c>
      <c r="X40">
        <f ca="1">VLOOKUP(W40,$S$40:$V$49,2,FALSE)</f>
        <v>6</v>
      </c>
      <c r="Y40">
        <f ca="1">VLOOKUP(W40,$S$40:$V$49,3,FALSE)</f>
        <v>5</v>
      </c>
      <c r="Z40">
        <f ca="1">VLOOKUP(W40,$S$40:$V$49,4,FALSE)</f>
        <v>12</v>
      </c>
      <c r="AA40" t="str">
        <f ca="1">W40</f>
        <v>Iran</v>
      </c>
      <c r="AB40">
        <f ca="1">VLOOKUP(AA40,W40:Z49,2,FALSE)</f>
        <v>6</v>
      </c>
      <c r="AC40">
        <f ca="1">VLOOKUP(AA40,W40:Z49,3,FALSE)</f>
        <v>5</v>
      </c>
      <c r="AD40">
        <f ca="1">VLOOKUP(AA40,W40:Z49,4,FALSE)</f>
        <v>12</v>
      </c>
      <c r="AE40" t="str">
        <f ca="1">AA40</f>
        <v>Iran</v>
      </c>
      <c r="AF40">
        <f ca="1">VLOOKUP(AE40,AA40:AD49,2,FALSE)</f>
        <v>6</v>
      </c>
      <c r="AG40">
        <f ca="1">VLOOKUP(AE40,AA40:AD49,3,FALSE)</f>
        <v>5</v>
      </c>
      <c r="AH40">
        <f ca="1">VLOOKUP(AE40,AA40:AD49,4,FALSE)</f>
        <v>12</v>
      </c>
      <c r="AI40" t="str">
        <f ca="1">AE40</f>
        <v>Iran</v>
      </c>
      <c r="AJ40">
        <f ca="1">VLOOKUP(AI40,AE40:AH49,2,FALSE)</f>
        <v>6</v>
      </c>
      <c r="AK40">
        <f ca="1">VLOOKUP(AI40,AE40:AH49,3,FALSE)</f>
        <v>5</v>
      </c>
      <c r="AL40">
        <f ca="1">VLOOKUP(AI40,AE40:AH49,4,FALSE)</f>
        <v>12</v>
      </c>
    </row>
    <row r="41" spans="6:38">
      <c r="F41" t="str">
        <f ca="1">AI29</f>
        <v>USA</v>
      </c>
      <c r="J41">
        <f ca="1">VLOOKUP(F41,$F$16:$M$25,8,FALSE)</f>
        <v>6</v>
      </c>
      <c r="K41">
        <f ca="1">VLOOKUP(F41,$F$16:$M$25,6,FALSE)</f>
        <v>9</v>
      </c>
      <c r="L41">
        <f ca="1">VLOOKUP(F41,$F$16:$M$25,7,FALSE)</f>
        <v>13</v>
      </c>
      <c r="M41">
        <f ca="1">K41-L41</f>
        <v>-4</v>
      </c>
      <c r="O41" t="str">
        <f ca="1">IF(AND(J40=J41,M40=M41,K41&gt;K40),F40,F41)</f>
        <v>USA</v>
      </c>
      <c r="P41">
        <f ca="1">VLOOKUP(O41,$F$40:$M$49,5,FALSE)</f>
        <v>6</v>
      </c>
      <c r="Q41">
        <f ca="1">VLOOKUP(O41,$F$40:$M$49,8,FALSE)</f>
        <v>-4</v>
      </c>
      <c r="R41">
        <f ca="1">VLOOKUP(O41,$F$40:$M$49,6,FALSE)</f>
        <v>9</v>
      </c>
      <c r="S41" t="str">
        <f ca="1">O41</f>
        <v>USA</v>
      </c>
      <c r="T41">
        <f ca="1">VLOOKUP(S41,$O$40:$R$49,2,FALSE)</f>
        <v>6</v>
      </c>
      <c r="U41">
        <f ca="1">VLOOKUP(S41,$O$40:$R$49,3,FALSE)</f>
        <v>-4</v>
      </c>
      <c r="V41">
        <f ca="1">VLOOKUP(S41,$O$40:$R$49,4,FALSE)</f>
        <v>9</v>
      </c>
      <c r="W41" t="str">
        <f ca="1">S41</f>
        <v>USA</v>
      </c>
      <c r="X41">
        <f ca="1">VLOOKUP(W41,$S$40:$V$49,2,FALSE)</f>
        <v>6</v>
      </c>
      <c r="Y41">
        <f ca="1">VLOOKUP(W41,$S$40:$V$49,3,FALSE)</f>
        <v>-4</v>
      </c>
      <c r="Z41">
        <f ca="1">VLOOKUP(W41,$S$40:$V$49,4,FALSE)</f>
        <v>9</v>
      </c>
      <c r="AA41" t="str">
        <f ca="1">IF(AND(X41=X42,Y41=Y42,Z42&gt;Z41),W42,W41)</f>
        <v>USA</v>
      </c>
      <c r="AB41">
        <f ca="1">VLOOKUP(AA41,W40:Z49,2,FALSE)</f>
        <v>6</v>
      </c>
      <c r="AC41">
        <f ca="1">VLOOKUP(AA41,W40:Z49,3,FALSE)</f>
        <v>-4</v>
      </c>
      <c r="AD41">
        <f ca="1">VLOOKUP(AA41,W40:Z49,4,FALSE)</f>
        <v>9</v>
      </c>
      <c r="AE41" t="str">
        <f ca="1">IF(AND(AB41=AB43,AC41=AC43,AD43&gt;AD41),AA43,AA41)</f>
        <v>USA</v>
      </c>
      <c r="AF41">
        <f ca="1">VLOOKUP(AE41,AA40:AD49,2,FALSE)</f>
        <v>6</v>
      </c>
      <c r="AG41">
        <f ca="1">VLOOKUP(AE41,AA40:AD49,3,FALSE)</f>
        <v>-4</v>
      </c>
      <c r="AH41">
        <f ca="1">VLOOKUP(AE41,AA40:AD49,4,FALSE)</f>
        <v>9</v>
      </c>
      <c r="AI41" t="str">
        <f ca="1">AE41</f>
        <v>USA</v>
      </c>
      <c r="AJ41">
        <f ca="1">VLOOKUP(AI41,AE40:AH49,2,FALSE)</f>
        <v>6</v>
      </c>
      <c r="AK41">
        <f ca="1">VLOOKUP(AI41,AE40:AH49,3,FALSE)</f>
        <v>-4</v>
      </c>
      <c r="AL41">
        <f ca="1">VLOOKUP(AI41,AE40:AH49,4,FALSE)</f>
        <v>9</v>
      </c>
    </row>
    <row r="42" spans="6:38">
      <c r="F42" t="str">
        <f ca="1">AI30</f>
        <v>Gales</v>
      </c>
      <c r="J42">
        <f ca="1">VLOOKUP(F42,$F$16:$M$25,8,FALSE)</f>
        <v>3</v>
      </c>
      <c r="K42">
        <f ca="1">VLOOKUP(F42,$F$16:$M$25,6,FALSE)</f>
        <v>12</v>
      </c>
      <c r="L42">
        <f ca="1">VLOOKUP(F42,$F$16:$M$25,7,FALSE)</f>
        <v>12</v>
      </c>
      <c r="M42">
        <f ca="1">K42-L42</f>
        <v>0</v>
      </c>
      <c r="O42" t="str">
        <f ca="1">F42</f>
        <v>Gales</v>
      </c>
      <c r="P42">
        <f ca="1">VLOOKUP(O42,$F$40:$M$49,5,FALSE)</f>
        <v>3</v>
      </c>
      <c r="Q42">
        <f ca="1">VLOOKUP(O42,$F$40:$M$49,8,FALSE)</f>
        <v>0</v>
      </c>
      <c r="R42">
        <f ca="1">VLOOKUP(O42,$F$40:$M$49,6,FALSE)</f>
        <v>12</v>
      </c>
      <c r="S42" t="str">
        <f ca="1">IF(AND(P40=P42,Q40=Q42,R42&gt;R40),O40,O42)</f>
        <v>Gales</v>
      </c>
      <c r="T42">
        <f ca="1">VLOOKUP(S42,$O$40:$R$49,2,FALSE)</f>
        <v>3</v>
      </c>
      <c r="U42">
        <f ca="1">VLOOKUP(S42,$O$40:$R$49,3,FALSE)</f>
        <v>0</v>
      </c>
      <c r="V42">
        <f ca="1">VLOOKUP(S42,$O$40:$R$49,4,FALSE)</f>
        <v>12</v>
      </c>
      <c r="W42" t="str">
        <f ca="1">S42</f>
        <v>Gales</v>
      </c>
      <c r="X42">
        <f ca="1">VLOOKUP(W42,$S$40:$V$49,2,FALSE)</f>
        <v>3</v>
      </c>
      <c r="Y42">
        <f ca="1">VLOOKUP(W42,$S$40:$V$49,3,FALSE)</f>
        <v>0</v>
      </c>
      <c r="Z42">
        <f ca="1">VLOOKUP(W42,$S$40:$V$49,4,FALSE)</f>
        <v>12</v>
      </c>
      <c r="AA42" t="str">
        <f ca="1">IF(AND(X41=X42,Y41=Y42,Z42&gt;Z41),W41,W42)</f>
        <v>Gales</v>
      </c>
      <c r="AB42">
        <f ca="1">VLOOKUP(AA42,W40:Z49,2,FALSE)</f>
        <v>3</v>
      </c>
      <c r="AC42">
        <f ca="1">VLOOKUP(AA42,W40:Z49,3,FALSE)</f>
        <v>0</v>
      </c>
      <c r="AD42">
        <f ca="1">VLOOKUP(AA42,W40:Z49,4,FALSE)</f>
        <v>12</v>
      </c>
      <c r="AE42" t="str">
        <f ca="1">AA42</f>
        <v>Gales</v>
      </c>
      <c r="AF42">
        <f ca="1">VLOOKUP(AE42,AA40:AD49,2,FALSE)</f>
        <v>3</v>
      </c>
      <c r="AG42">
        <f ca="1">VLOOKUP(AE42,AA40:AD49,3,FALSE)</f>
        <v>0</v>
      </c>
      <c r="AH42">
        <f ca="1">VLOOKUP(AE42,AA40:AD49,4,FALSE)</f>
        <v>12</v>
      </c>
      <c r="AI42" t="str">
        <f ca="1">IF(AND(AF42=AF43,AG42=AG43,AH43&gt;AH42),AE43,AE42)</f>
        <v>Gales</v>
      </c>
      <c r="AJ42">
        <f ca="1">VLOOKUP(AI42,AE40:AH49,2,FALSE)</f>
        <v>3</v>
      </c>
      <c r="AK42">
        <f ca="1">VLOOKUP(AI42,AE40:AH49,3,FALSE)</f>
        <v>0</v>
      </c>
      <c r="AL42">
        <f ca="1">VLOOKUP(AI42,AE40:AH49,4,FALSE)</f>
        <v>12</v>
      </c>
    </row>
    <row r="43" spans="6:38">
      <c r="F43" t="str">
        <f ca="1">AI31</f>
        <v>Inglaterra</v>
      </c>
      <c r="J43">
        <f ca="1">VLOOKUP(F43,$F$16:$M$25,8,FALSE)</f>
        <v>3</v>
      </c>
      <c r="K43">
        <f ca="1">VLOOKUP(F43,$F$16:$M$25,6,FALSE)</f>
        <v>15</v>
      </c>
      <c r="L43">
        <f ca="1">VLOOKUP(F43,$F$16:$M$25,7,FALSE)</f>
        <v>16</v>
      </c>
      <c r="M43">
        <f ca="1">K43-L43</f>
        <v>-1</v>
      </c>
      <c r="O43" t="str">
        <f ca="1">F43</f>
        <v>Inglaterra</v>
      </c>
      <c r="P43">
        <f ca="1">VLOOKUP(O43,$F$40:$M$49,5,FALSE)</f>
        <v>3</v>
      </c>
      <c r="Q43">
        <f ca="1">VLOOKUP(O43,$F$40:$M$49,8,FALSE)</f>
        <v>-1</v>
      </c>
      <c r="R43">
        <f ca="1">VLOOKUP(O43,$F$40:$M$49,6,FALSE)</f>
        <v>15</v>
      </c>
      <c r="S43" t="str">
        <f ca="1">O43</f>
        <v>Inglaterra</v>
      </c>
      <c r="T43">
        <f ca="1">VLOOKUP(S43,$O$40:$R$49,2,FALSE)</f>
        <v>3</v>
      </c>
      <c r="U43">
        <f ca="1">VLOOKUP(S43,$O$40:$R$49,3,FALSE)</f>
        <v>-1</v>
      </c>
      <c r="V43">
        <f ca="1">VLOOKUP(S43,$O$40:$R$49,4,FALSE)</f>
        <v>15</v>
      </c>
      <c r="W43" t="str">
        <f ca="1">IF(AND(T40=T43,U40=U43,V43&gt;V40),S40,S43)</f>
        <v>Inglaterra</v>
      </c>
      <c r="X43">
        <f ca="1">VLOOKUP(W43,$S$40:$V$49,2,FALSE)</f>
        <v>3</v>
      </c>
      <c r="Y43">
        <f ca="1">VLOOKUP(W43,$S$40:$V$49,3,FALSE)</f>
        <v>-1</v>
      </c>
      <c r="Z43">
        <f ca="1">VLOOKUP(W43,$S$40:$V$49,4,FALSE)</f>
        <v>15</v>
      </c>
      <c r="AA43" t="str">
        <f ca="1">W43</f>
        <v>Inglaterra</v>
      </c>
      <c r="AB43">
        <f ca="1">VLOOKUP(AA43,W40:Z49,2,FALSE)</f>
        <v>3</v>
      </c>
      <c r="AC43">
        <f ca="1">VLOOKUP(AA43,W40:Z49,3,FALSE)</f>
        <v>-1</v>
      </c>
      <c r="AD43">
        <f ca="1">VLOOKUP(AA43,W40:Z49,4,FALSE)</f>
        <v>15</v>
      </c>
      <c r="AE43" t="str">
        <f ca="1">IF(AND(AB41=AB43,AC41=AC43,AD43&gt;AD41),AA41,AA43)</f>
        <v>Inglaterra</v>
      </c>
      <c r="AF43">
        <f ca="1">VLOOKUP(AE43,AA40:AD49,2,FALSE)</f>
        <v>3</v>
      </c>
      <c r="AG43">
        <f ca="1">VLOOKUP(AE43,AA40:AD49,3,FALSE)</f>
        <v>-1</v>
      </c>
      <c r="AH43">
        <f ca="1">VLOOKUP(AE43,AA40:AD49,4,FALSE)</f>
        <v>15</v>
      </c>
      <c r="AI43" t="str">
        <f ca="1">IF(AND(AF42=AF43,AG42=AG43,AH43&gt;AH42),AE42,AE43)</f>
        <v>Inglaterra</v>
      </c>
      <c r="AJ43">
        <f ca="1">VLOOKUP(AI43,AE40:AH49,2,FALSE)</f>
        <v>3</v>
      </c>
      <c r="AK43">
        <f ca="1">VLOOKUP(AI43,AE40:AH49,3,FALSE)</f>
        <v>-1</v>
      </c>
      <c r="AL43">
        <f ca="1">VLOOKUP(AI43,AE40:AH49,4,FALSE)</f>
        <v>15</v>
      </c>
    </row>
    <row r="51" spans="6:13">
      <c r="F51" t="s">
        <v>334</v>
      </c>
    </row>
    <row r="52" spans="6:13">
      <c r="F52" t="str">
        <f ca="1">AI40</f>
        <v>Iran</v>
      </c>
      <c r="G52">
        <f ca="1">VLOOKUP(F52,$F$16:$M$25,2,FALSE)</f>
        <v>3</v>
      </c>
      <c r="H52">
        <f ca="1">VLOOKUP(F52,$F$16:$M$25,3,FALSE)</f>
        <v>2</v>
      </c>
      <c r="I52">
        <f ca="1">VLOOKUP(F52,$F$16:$M$25,4,FALSE)</f>
        <v>0</v>
      </c>
      <c r="J52">
        <f ca="1">VLOOKUP(F52,$F$16:$M$25,5,FALSE)</f>
        <v>1</v>
      </c>
      <c r="K52">
        <f ca="1">VLOOKUP(F52,$F$16:$M$25,6,FALSE)</f>
        <v>12</v>
      </c>
      <c r="L52">
        <f ca="1">VLOOKUP(F52,$F$16:$M$25,7,FALSE)</f>
        <v>7</v>
      </c>
      <c r="M52">
        <f ca="1">VLOOKUP(F52,$F$16:$M$25,8,FALSE)</f>
        <v>6</v>
      </c>
    </row>
    <row r="53" spans="6:13">
      <c r="F53" t="str">
        <f ca="1">AI41</f>
        <v>USA</v>
      </c>
      <c r="G53">
        <f ca="1">VLOOKUP(F53,$F$16:$M$25,2,FALSE)</f>
        <v>3</v>
      </c>
      <c r="H53">
        <f ca="1">VLOOKUP(F53,$F$16:$M$25,3,FALSE)</f>
        <v>2</v>
      </c>
      <c r="I53">
        <f ca="1">VLOOKUP(F53,$F$16:$M$25,4,FALSE)</f>
        <v>0</v>
      </c>
      <c r="J53">
        <f ca="1">VLOOKUP(F53,$F$16:$M$25,5,FALSE)</f>
        <v>1</v>
      </c>
      <c r="K53">
        <f ca="1">VLOOKUP(F53,$F$16:$M$25,6,FALSE)</f>
        <v>9</v>
      </c>
      <c r="L53">
        <f ca="1">VLOOKUP(F53,$F$16:$M$25,7,FALSE)</f>
        <v>13</v>
      </c>
      <c r="M53">
        <f ca="1">VLOOKUP(F53,$F$16:$M$25,8,FALSE)</f>
        <v>6</v>
      </c>
    </row>
    <row r="54" spans="6:13">
      <c r="F54" t="str">
        <f ca="1">AI42</f>
        <v>Gales</v>
      </c>
      <c r="G54">
        <f ca="1">VLOOKUP(F54,$F$16:$M$25,2,FALSE)</f>
        <v>3</v>
      </c>
      <c r="H54">
        <f ca="1">VLOOKUP(F54,$F$16:$M$25,3,FALSE)</f>
        <v>1</v>
      </c>
      <c r="I54">
        <f ca="1">VLOOKUP(F54,$F$16:$M$25,4,FALSE)</f>
        <v>0</v>
      </c>
      <c r="J54">
        <f ca="1">VLOOKUP(F54,$F$16:$M$25,5,FALSE)</f>
        <v>2</v>
      </c>
      <c r="K54">
        <f ca="1">VLOOKUP(F54,$F$16:$M$25,6,FALSE)</f>
        <v>12</v>
      </c>
      <c r="L54">
        <f ca="1">VLOOKUP(F54,$F$16:$M$25,7,FALSE)</f>
        <v>12</v>
      </c>
      <c r="M54">
        <f ca="1">VLOOKUP(F54,$F$16:$M$25,8,FALSE)</f>
        <v>3</v>
      </c>
    </row>
    <row r="55" spans="6:13">
      <c r="F55" t="str">
        <f ca="1">AI43</f>
        <v>Inglaterra</v>
      </c>
      <c r="G55">
        <f ca="1">VLOOKUP(F55,$F$16:$M$25,2,FALSE)</f>
        <v>3</v>
      </c>
      <c r="H55">
        <f ca="1">VLOOKUP(F55,$F$16:$M$25,3,FALSE)</f>
        <v>1</v>
      </c>
      <c r="I55">
        <f ca="1">VLOOKUP(F55,$F$16:$M$25,4,FALSE)</f>
        <v>0</v>
      </c>
      <c r="J55">
        <f ca="1">VLOOKUP(F55,$F$16:$M$25,5,FALSE)</f>
        <v>2</v>
      </c>
      <c r="K55">
        <f ca="1">VLOOKUP(F55,$F$16:$M$25,6,FALSE)</f>
        <v>15</v>
      </c>
      <c r="L55">
        <f ca="1">VLOOKUP(F55,$F$16:$M$25,7,FALSE)</f>
        <v>16</v>
      </c>
      <c r="M55">
        <f ca="1">VLOOKUP(F55,$F$16:$M$25,8,FALSE)</f>
        <v>3</v>
      </c>
    </row>
  </sheetData>
  <sheetProtection algorithmName="SHA-512" hashValue="UwToI/gGf4JW1ZkBG8r9ifWh87fAhuJAfrLnZnfaXBAWrqOAsS9lK3yU0AsJwSF1ku7Q8MustqofNwk8n2lGDg==" saltValue="9WahWV06S4WGe5Hh9Pl/LQ==" spinCount="100000" sheet="1" selectLockedCells="1" selectUnlockedCells="1"/>
  <customSheetViews>
    <customSheetView guid="{387210E2-BDFB-42E5-A6C7-A37C9701EAB6}" state="hidden" topLeftCell="A24">
      <pane xSplit="5" topLeftCell="F1" activePane="topRight" state="frozen"/>
      <selection pane="topRight" activeCell="J31" sqref="J31"/>
      <pageMargins left="0" right="0" top="0" bottom="0" header="0" footer="0"/>
      <headerFooter alignWithMargins="0"/>
    </customSheetView>
    <customSheetView guid="{E2621C8A-2AE3-484D-B751-B92E60BB88F8}" state="hidden" topLeftCell="A24">
      <pane xSplit="5" topLeftCell="F1" activePane="topRight" state="frozen"/>
      <selection pane="topRight" activeCell="J31" sqref="J3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7"/>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C -'!U8&lt;&gt;"",'- C -'!U8,"")</f>
        <v>Argentina</v>
      </c>
      <c r="N2" t="str">
        <f>IF('- C -'!U10&lt;&gt;"",'- C -'!U10,"")</f>
        <v>Arabia Saudi</v>
      </c>
      <c r="U2" t="str">
        <f>IF('- C -'!U12&lt;&gt;"",'- C -'!U12,"")</f>
        <v>Mexico</v>
      </c>
      <c r="AB2" t="str">
        <f>IF('- C -'!U14&lt;&gt;"",'- C -'!U14,"")</f>
        <v>Polonia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C -'!B6</f>
        <v>Argentina</v>
      </c>
      <c r="B4" s="1">
        <f ca="1">IF('- C -'!C6&lt;&gt;"",'- C -'!C6,"")</f>
        <v>0</v>
      </c>
      <c r="C4" s="1" t="str">
        <f>'- C -'!D6</f>
        <v>-</v>
      </c>
      <c r="D4" s="1">
        <f ca="1">IF('- C -'!E6&lt;&gt;"",'- C -'!E6,"")</f>
        <v>10</v>
      </c>
      <c r="E4" s="3" t="str">
        <f>'- C -'!F6</f>
        <v>Arabia Saudi</v>
      </c>
      <c r="F4" s="1">
        <f ca="1">COUNTBLANK('- C -'!C6:'- C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0</v>
      </c>
      <c r="L4">
        <f t="shared" ref="L4:L9" ca="1" si="5">IF(F4&gt;0,0,IF($A4=$G$2,$D4,IF($E4=$G$2,$B4,0)))</f>
        <v>10</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10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C -'!B7</f>
        <v>Mexico</v>
      </c>
      <c r="B5" s="1">
        <f ca="1">IF('- C -'!C7&lt;&gt;"",'- C -'!C7,"")</f>
        <v>3</v>
      </c>
      <c r="C5" s="1" t="str">
        <f>'- C -'!D7</f>
        <v>-</v>
      </c>
      <c r="D5" s="1">
        <f ca="1">IF('- C -'!E7&lt;&gt;"",'- C -'!E7,"")</f>
        <v>7</v>
      </c>
      <c r="E5" s="3" t="str">
        <f>'- C -'!F7</f>
        <v>Polonia</v>
      </c>
      <c r="F5" s="1">
        <f ca="1">COUNTBLANK('- C -'!C7:'- C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0</v>
      </c>
      <c r="X5">
        <f t="shared" ca="1" si="15"/>
        <v>1</v>
      </c>
      <c r="Y5">
        <f t="shared" ca="1" si="16"/>
        <v>3</v>
      </c>
      <c r="Z5">
        <f t="shared" ca="1" si="17"/>
        <v>7</v>
      </c>
      <c r="AB5">
        <f t="shared" ca="1" si="18"/>
        <v>1</v>
      </c>
      <c r="AC5">
        <f t="shared" ca="1" si="19"/>
        <v>1</v>
      </c>
      <c r="AD5">
        <f t="shared" ca="1" si="20"/>
        <v>0</v>
      </c>
      <c r="AE5">
        <f t="shared" ca="1" si="21"/>
        <v>0</v>
      </c>
      <c r="AF5">
        <f t="shared" ca="1" si="22"/>
        <v>7</v>
      </c>
      <c r="AG5">
        <f t="shared" ca="1" si="23"/>
        <v>3</v>
      </c>
    </row>
    <row r="6" spans="1:36">
      <c r="A6" s="2" t="str">
        <f>'- C -'!B8</f>
        <v>Polonia</v>
      </c>
      <c r="B6" s="1">
        <f ca="1">IF('- C -'!C8&lt;&gt;"",'- C -'!C8,"")</f>
        <v>7</v>
      </c>
      <c r="C6" s="1" t="str">
        <f>'- C -'!D8</f>
        <v>-</v>
      </c>
      <c r="D6" s="1">
        <f ca="1">IF('- C -'!E8&lt;&gt;"",'- C -'!E8,"")</f>
        <v>9</v>
      </c>
      <c r="E6" s="3" t="str">
        <f>'- C -'!F8</f>
        <v>Arabia Saudi</v>
      </c>
      <c r="F6" s="1">
        <f ca="1">COUNTBLANK('- C -'!C8:'- C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9</v>
      </c>
      <c r="S6">
        <f t="shared" ca="1" si="11"/>
        <v>7</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7</v>
      </c>
      <c r="AG6">
        <f t="shared" ca="1" si="23"/>
        <v>9</v>
      </c>
    </row>
    <row r="7" spans="1:36">
      <c r="A7" s="2" t="str">
        <f>'- C -'!B9</f>
        <v>Argentina</v>
      </c>
      <c r="B7" s="1">
        <f ca="1">IF('- C -'!C9&lt;&gt;"",'- C -'!C9,"")</f>
        <v>9</v>
      </c>
      <c r="C7" s="1" t="str">
        <f>'- C -'!D9</f>
        <v>-</v>
      </c>
      <c r="D7" s="1">
        <f ca="1">IF('- C -'!E9&lt;&gt;"",'- C -'!E9,"")</f>
        <v>9</v>
      </c>
      <c r="E7" s="3" t="str">
        <f>'- C -'!F9</f>
        <v>Mexico</v>
      </c>
      <c r="F7" s="1">
        <f ca="1">COUNTBLANK('- C -'!C9:'- C -'!E9)</f>
        <v>0</v>
      </c>
      <c r="G7">
        <f t="shared" ca="1" si="0"/>
        <v>1</v>
      </c>
      <c r="H7">
        <f t="shared" ca="1" si="1"/>
        <v>0</v>
      </c>
      <c r="I7">
        <f t="shared" ca="1" si="2"/>
        <v>1</v>
      </c>
      <c r="J7">
        <f t="shared" ca="1" si="3"/>
        <v>0</v>
      </c>
      <c r="K7">
        <f t="shared" ca="1" si="4"/>
        <v>9</v>
      </c>
      <c r="L7">
        <f t="shared" ca="1" si="5"/>
        <v>9</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9</v>
      </c>
      <c r="Z7">
        <f t="shared" ca="1" si="17"/>
        <v>9</v>
      </c>
      <c r="AB7">
        <f t="shared" ca="1" si="18"/>
        <v>0</v>
      </c>
      <c r="AC7">
        <f t="shared" ca="1" si="19"/>
        <v>0</v>
      </c>
      <c r="AD7">
        <f t="shared" ca="1" si="20"/>
        <v>0</v>
      </c>
      <c r="AE7">
        <f t="shared" ca="1" si="21"/>
        <v>0</v>
      </c>
      <c r="AF7">
        <f t="shared" ca="1" si="22"/>
        <v>0</v>
      </c>
      <c r="AG7">
        <f t="shared" ca="1" si="23"/>
        <v>0</v>
      </c>
    </row>
    <row r="8" spans="1:36">
      <c r="A8" s="2" t="str">
        <f>'- C -'!B10</f>
        <v>Polonia</v>
      </c>
      <c r="B8" s="1">
        <f ca="1">IF('- C -'!C10&lt;&gt;"",'- C -'!C10,"")</f>
        <v>3</v>
      </c>
      <c r="C8" s="1" t="str">
        <f>'- C -'!D10</f>
        <v>-</v>
      </c>
      <c r="D8" s="1">
        <f ca="1">IF('- C -'!E10&lt;&gt;"",'- C -'!E10,"")</f>
        <v>1</v>
      </c>
      <c r="E8" s="3" t="str">
        <f>'- C -'!F10</f>
        <v>Argentina</v>
      </c>
      <c r="F8" s="1">
        <f ca="1">COUNTBLANK('- C -'!C10:'- C -'!E10)</f>
        <v>0</v>
      </c>
      <c r="G8">
        <f t="shared" ca="1" si="0"/>
        <v>1</v>
      </c>
      <c r="H8">
        <f t="shared" ca="1" si="1"/>
        <v>0</v>
      </c>
      <c r="I8">
        <f t="shared" ca="1" si="2"/>
        <v>0</v>
      </c>
      <c r="J8">
        <f t="shared" ca="1" si="3"/>
        <v>1</v>
      </c>
      <c r="K8">
        <f t="shared" ca="1" si="4"/>
        <v>1</v>
      </c>
      <c r="L8">
        <f t="shared" ca="1" si="5"/>
        <v>3</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3</v>
      </c>
      <c r="AG8">
        <f t="shared" ca="1" si="23"/>
        <v>1</v>
      </c>
    </row>
    <row r="9" spans="1:36">
      <c r="A9" s="2" t="str">
        <f>'- C -'!B11</f>
        <v>Arabia Saudi</v>
      </c>
      <c r="B9" s="1">
        <f ca="1">IF('- C -'!C11&lt;&gt;"",'- C -'!C11,"")</f>
        <v>1</v>
      </c>
      <c r="C9" s="1" t="str">
        <f>'- C -'!D11</f>
        <v>-</v>
      </c>
      <c r="D9" s="1">
        <f ca="1">IF('- C -'!E11&lt;&gt;"",'- C -'!E11,"")</f>
        <v>4</v>
      </c>
      <c r="E9" s="3" t="str">
        <f>'- C -'!F11</f>
        <v>Mexico</v>
      </c>
      <c r="F9" s="1">
        <f ca="1">COUNTBLANK('- C -'!C11:'- C -'!E11)</f>
        <v>0</v>
      </c>
      <c r="G9">
        <f t="shared" ca="1" si="0"/>
        <v>0</v>
      </c>
      <c r="H9">
        <f t="shared" ca="1" si="1"/>
        <v>0</v>
      </c>
      <c r="I9">
        <f t="shared" ca="1" si="2"/>
        <v>0</v>
      </c>
      <c r="J9">
        <f t="shared" ca="1" si="3"/>
        <v>0</v>
      </c>
      <c r="K9">
        <f t="shared" ca="1" si="4"/>
        <v>0</v>
      </c>
      <c r="L9">
        <f t="shared" ca="1" si="5"/>
        <v>0</v>
      </c>
      <c r="N9">
        <f t="shared" ca="1" si="6"/>
        <v>1</v>
      </c>
      <c r="O9">
        <f t="shared" ca="1" si="7"/>
        <v>0</v>
      </c>
      <c r="P9">
        <f t="shared" ca="1" si="8"/>
        <v>0</v>
      </c>
      <c r="Q9">
        <f t="shared" ca="1" si="9"/>
        <v>1</v>
      </c>
      <c r="R9">
        <f t="shared" ca="1" si="10"/>
        <v>1</v>
      </c>
      <c r="S9">
        <f t="shared" ca="1" si="11"/>
        <v>4</v>
      </c>
      <c r="U9">
        <f t="shared" ca="1" si="12"/>
        <v>1</v>
      </c>
      <c r="V9">
        <f t="shared" ca="1" si="13"/>
        <v>1</v>
      </c>
      <c r="W9">
        <f t="shared" ca="1" si="14"/>
        <v>0</v>
      </c>
      <c r="X9">
        <f t="shared" ca="1" si="15"/>
        <v>0</v>
      </c>
      <c r="Y9">
        <f t="shared" ca="1" si="16"/>
        <v>4</v>
      </c>
      <c r="Z9">
        <f t="shared" ca="1" si="17"/>
        <v>1</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1</v>
      </c>
      <c r="J10">
        <f t="shared" ca="1" si="24"/>
        <v>2</v>
      </c>
      <c r="K10">
        <f t="shared" ca="1" si="24"/>
        <v>10</v>
      </c>
      <c r="L10">
        <f t="shared" ca="1" si="24"/>
        <v>22</v>
      </c>
      <c r="M10">
        <f ca="1">H10*3+I10</f>
        <v>1</v>
      </c>
      <c r="N10">
        <f t="shared" ref="N10:S10" ca="1" si="25">SUM(N4:N9)</f>
        <v>3</v>
      </c>
      <c r="O10">
        <f t="shared" ca="1" si="25"/>
        <v>2</v>
      </c>
      <c r="P10">
        <f t="shared" ca="1" si="25"/>
        <v>0</v>
      </c>
      <c r="Q10">
        <f t="shared" ca="1" si="25"/>
        <v>1</v>
      </c>
      <c r="R10">
        <f t="shared" ca="1" si="25"/>
        <v>20</v>
      </c>
      <c r="S10">
        <f t="shared" ca="1" si="25"/>
        <v>11</v>
      </c>
      <c r="T10">
        <f ca="1">O10*3+P10</f>
        <v>6</v>
      </c>
      <c r="U10">
        <f t="shared" ref="U10:Z10" ca="1" si="26">SUM(U4:U9)</f>
        <v>3</v>
      </c>
      <c r="V10">
        <f t="shared" ca="1" si="26"/>
        <v>1</v>
      </c>
      <c r="W10">
        <f t="shared" ca="1" si="26"/>
        <v>1</v>
      </c>
      <c r="X10">
        <f t="shared" ca="1" si="26"/>
        <v>1</v>
      </c>
      <c r="Y10">
        <f t="shared" ca="1" si="26"/>
        <v>16</v>
      </c>
      <c r="Z10">
        <f t="shared" ca="1" si="26"/>
        <v>17</v>
      </c>
      <c r="AA10">
        <f ca="1">V10*3+W10</f>
        <v>4</v>
      </c>
      <c r="AB10">
        <f t="shared" ref="AB10:AG10" ca="1" si="27">SUM(AB4:AB9)</f>
        <v>3</v>
      </c>
      <c r="AC10">
        <f t="shared" ca="1" si="27"/>
        <v>2</v>
      </c>
      <c r="AD10">
        <f t="shared" ca="1" si="27"/>
        <v>0</v>
      </c>
      <c r="AE10">
        <f t="shared" ca="1" si="27"/>
        <v>1</v>
      </c>
      <c r="AF10">
        <f t="shared" ca="1" si="27"/>
        <v>17</v>
      </c>
      <c r="AG10">
        <f t="shared" ca="1" si="27"/>
        <v>13</v>
      </c>
      <c r="AH10">
        <f ca="1">AC10*3+AD10</f>
        <v>6</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Argentina</v>
      </c>
      <c r="G16">
        <f t="shared" ref="G16:M16" ca="1" si="28">G10</f>
        <v>3</v>
      </c>
      <c r="H16">
        <f t="shared" ca="1" si="28"/>
        <v>0</v>
      </c>
      <c r="I16">
        <f t="shared" ca="1" si="28"/>
        <v>1</v>
      </c>
      <c r="J16">
        <f t="shared" ca="1" si="28"/>
        <v>2</v>
      </c>
      <c r="K16">
        <f t="shared" ca="1" si="28"/>
        <v>10</v>
      </c>
      <c r="L16">
        <f t="shared" ca="1" si="28"/>
        <v>22</v>
      </c>
      <c r="M16">
        <f t="shared" ca="1" si="28"/>
        <v>1</v>
      </c>
      <c r="O16" t="str">
        <f ca="1">IF($M16&gt;=$M17,$F16,$F17)</f>
        <v>Arabia Saudi</v>
      </c>
      <c r="P16">
        <f ca="1">VLOOKUP(O16,$F$16:$M$25,8,FALSE)</f>
        <v>6</v>
      </c>
      <c r="S16" t="str">
        <f ca="1">IF($P16&gt;=$P18,$O16,$O18)</f>
        <v>Arabia Saudi</v>
      </c>
      <c r="T16">
        <f ca="1">VLOOKUP(S16,$O$16:$P$25,2,FALSE)</f>
        <v>6</v>
      </c>
      <c r="W16" t="str">
        <f ca="1">IF($T16&gt;=$T19,$S16,$S19)</f>
        <v>Arabia Saudi</v>
      </c>
      <c r="X16">
        <f ca="1">VLOOKUP(W16,$S$16:$T$25,2,FALSE)</f>
        <v>6</v>
      </c>
      <c r="AA16" t="str">
        <f ca="1">W16</f>
        <v>Arabia Saudi</v>
      </c>
      <c r="AB16">
        <f ca="1">VLOOKUP(AA16,W16:X25,2,FALSE)</f>
        <v>6</v>
      </c>
      <c r="AE16" t="str">
        <f ca="1">AA16</f>
        <v>Arabia Saudi</v>
      </c>
      <c r="AF16">
        <f ca="1">VLOOKUP(AE16,AA16:AB25,2,FALSE)</f>
        <v>6</v>
      </c>
      <c r="AI16" t="str">
        <f ca="1">AE16</f>
        <v>Arabia Saudi</v>
      </c>
      <c r="AJ16">
        <f ca="1">VLOOKUP(AI16,AE16:AF25,2,FALSE)</f>
        <v>6</v>
      </c>
    </row>
    <row r="17" spans="6:37">
      <c r="F17" t="str">
        <f>N2</f>
        <v>Arabia Saudi</v>
      </c>
      <c r="G17">
        <f t="shared" ref="G17:M17" ca="1" si="29">N10</f>
        <v>3</v>
      </c>
      <c r="H17">
        <f t="shared" ca="1" si="29"/>
        <v>2</v>
      </c>
      <c r="I17">
        <f t="shared" ca="1" si="29"/>
        <v>0</v>
      </c>
      <c r="J17">
        <f t="shared" ca="1" si="29"/>
        <v>1</v>
      </c>
      <c r="K17">
        <f t="shared" ca="1" si="29"/>
        <v>20</v>
      </c>
      <c r="L17">
        <f t="shared" ca="1" si="29"/>
        <v>11</v>
      </c>
      <c r="M17">
        <f t="shared" ca="1" si="29"/>
        <v>6</v>
      </c>
      <c r="O17" t="str">
        <f ca="1">IF($M17&lt;=$M16,$F17,$F16)</f>
        <v>Argentina</v>
      </c>
      <c r="P17">
        <f ca="1">VLOOKUP(O17,$F$16:$M$25,8,FALSE)</f>
        <v>1</v>
      </c>
      <c r="S17" t="str">
        <f ca="1">O17</f>
        <v>Argentina</v>
      </c>
      <c r="T17">
        <f ca="1">VLOOKUP(S17,$O$16:$P$25,2,FALSE)</f>
        <v>1</v>
      </c>
      <c r="W17" t="str">
        <f ca="1">S17</f>
        <v>Argentina</v>
      </c>
      <c r="X17">
        <f ca="1">VLOOKUP(W17,$S$16:$T$25,2,FALSE)</f>
        <v>1</v>
      </c>
      <c r="AA17" t="str">
        <f ca="1">IF(X17&gt;=X18,W17,W18)</f>
        <v>Mexico</v>
      </c>
      <c r="AB17">
        <f ca="1">VLOOKUP(AA17,W16:X25,2,FALSE)</f>
        <v>4</v>
      </c>
      <c r="AE17" t="str">
        <f ca="1">IF(AB17&gt;=AB19,AA17,AA19)</f>
        <v>Polonia</v>
      </c>
      <c r="AF17">
        <f ca="1">VLOOKUP(AE17,AA16:AB25,2,FALSE)</f>
        <v>6</v>
      </c>
      <c r="AI17" t="str">
        <f ca="1">AE17</f>
        <v>Polonia</v>
      </c>
      <c r="AJ17">
        <f ca="1">VLOOKUP(AI17,AE16:AF25,2,FALSE)</f>
        <v>6</v>
      </c>
    </row>
    <row r="18" spans="6:37">
      <c r="F18" t="str">
        <f>U2</f>
        <v>Mexico</v>
      </c>
      <c r="G18">
        <f t="shared" ref="G18:M18" ca="1" si="30">U10</f>
        <v>3</v>
      </c>
      <c r="H18">
        <f t="shared" ca="1" si="30"/>
        <v>1</v>
      </c>
      <c r="I18">
        <f t="shared" ca="1" si="30"/>
        <v>1</v>
      </c>
      <c r="J18">
        <f t="shared" ca="1" si="30"/>
        <v>1</v>
      </c>
      <c r="K18">
        <f t="shared" ca="1" si="30"/>
        <v>16</v>
      </c>
      <c r="L18">
        <f t="shared" ca="1" si="30"/>
        <v>17</v>
      </c>
      <c r="M18">
        <f t="shared" ca="1" si="30"/>
        <v>4</v>
      </c>
      <c r="O18" t="str">
        <f>F18</f>
        <v>Mexico</v>
      </c>
      <c r="P18">
        <f ca="1">VLOOKUP(O18,$F$16:$M$25,8,FALSE)</f>
        <v>4</v>
      </c>
      <c r="S18" t="str">
        <f ca="1">IF($P18&lt;=$P16,$O18,$O16)</f>
        <v>Mexico</v>
      </c>
      <c r="T18">
        <f ca="1">VLOOKUP(S18,$O$16:$P$25,2,FALSE)</f>
        <v>4</v>
      </c>
      <c r="W18" t="str">
        <f ca="1">S18</f>
        <v>Mexico</v>
      </c>
      <c r="X18">
        <f ca="1">VLOOKUP(W18,$S$16:$T$25,2,FALSE)</f>
        <v>4</v>
      </c>
      <c r="AA18" t="str">
        <f ca="1">IF(X18&lt;=X17,W18,W17)</f>
        <v>Argentina</v>
      </c>
      <c r="AB18">
        <f ca="1">VLOOKUP(AA18,W16:X25,2,FALSE)</f>
        <v>1</v>
      </c>
      <c r="AE18" t="str">
        <f ca="1">AA18</f>
        <v>Argentina</v>
      </c>
      <c r="AF18">
        <f ca="1">VLOOKUP(AE18,AA16:AB25,2,FALSE)</f>
        <v>1</v>
      </c>
      <c r="AI18" t="str">
        <f ca="1">IF(AF18&gt;=AF19,AE18,AE19)</f>
        <v>Mexico</v>
      </c>
      <c r="AJ18">
        <f ca="1">VLOOKUP(AI18,AE16:AF25,2,FALSE)</f>
        <v>4</v>
      </c>
    </row>
    <row r="19" spans="6:37">
      <c r="F19" t="str">
        <f>AB2</f>
        <v>Polonia</v>
      </c>
      <c r="G19">
        <f t="shared" ref="G19:M19" ca="1" si="31">AB10</f>
        <v>3</v>
      </c>
      <c r="H19">
        <f t="shared" ca="1" si="31"/>
        <v>2</v>
      </c>
      <c r="I19">
        <f t="shared" ca="1" si="31"/>
        <v>0</v>
      </c>
      <c r="J19">
        <f t="shared" ca="1" si="31"/>
        <v>1</v>
      </c>
      <c r="K19">
        <f t="shared" ca="1" si="31"/>
        <v>17</v>
      </c>
      <c r="L19">
        <f t="shared" ca="1" si="31"/>
        <v>13</v>
      </c>
      <c r="M19">
        <f t="shared" ca="1" si="31"/>
        <v>6</v>
      </c>
      <c r="O19" t="str">
        <f>F19</f>
        <v>Polonia</v>
      </c>
      <c r="P19">
        <f ca="1">VLOOKUP(O19,$F$16:$M$25,8,FALSE)</f>
        <v>6</v>
      </c>
      <c r="S19" t="str">
        <f>O19</f>
        <v>Polonia</v>
      </c>
      <c r="T19">
        <f ca="1">VLOOKUP(S19,$O$16:$P$25,2,FALSE)</f>
        <v>6</v>
      </c>
      <c r="W19" t="str">
        <f ca="1">IF($T19&lt;=$T16,$S19,$S16)</f>
        <v>Polonia</v>
      </c>
      <c r="X19">
        <f ca="1">VLOOKUP(W19,$S$16:$T$25,2,FALSE)</f>
        <v>6</v>
      </c>
      <c r="AA19" t="str">
        <f ca="1">W19</f>
        <v>Polonia</v>
      </c>
      <c r="AB19">
        <f ca="1">VLOOKUP(AA19,W16:X25,2,FALSE)</f>
        <v>6</v>
      </c>
      <c r="AE19" t="str">
        <f ca="1">IF(AB19&lt;=AB17,AA19,AA17)</f>
        <v>Mexico</v>
      </c>
      <c r="AF19">
        <f ca="1">VLOOKUP(AE19,AA16:AB25,2,FALSE)</f>
        <v>4</v>
      </c>
      <c r="AI19" t="str">
        <f ca="1">IF(AF19&lt;=AF18,AE19,AE18)</f>
        <v>Argentina</v>
      </c>
      <c r="AJ19">
        <f ca="1">VLOOKUP(AI19,AE16:AF25,2,FALSE)</f>
        <v>1</v>
      </c>
    </row>
    <row r="28" spans="6:37">
      <c r="F28" t="str">
        <f ca="1">AI16</f>
        <v>Arabia Saudi</v>
      </c>
      <c r="J28">
        <f ca="1">AJ16</f>
        <v>6</v>
      </c>
      <c r="K28">
        <f ca="1">VLOOKUP(AI16,$F$16:$M$25,6,FALSE)</f>
        <v>20</v>
      </c>
      <c r="L28">
        <f ca="1">VLOOKUP(AI16,$F$16:$M$25,7,FALSE)</f>
        <v>11</v>
      </c>
      <c r="M28">
        <f ca="1">K28-L28</f>
        <v>9</v>
      </c>
      <c r="O28" t="str">
        <f ca="1">IF(AND($J28=$J29,$M29&gt;$M28),$F29,$F28)</f>
        <v>Arabia Saudi</v>
      </c>
      <c r="P28">
        <f ca="1">VLOOKUP(O28,$F$28:$M$37,5,FALSE)</f>
        <v>6</v>
      </c>
      <c r="Q28">
        <f ca="1">VLOOKUP(O28,$F$28:$M$37,8,FALSE)</f>
        <v>9</v>
      </c>
      <c r="S28" t="str">
        <f ca="1">IF(AND(P28=P30,Q30&gt;Q28),O30,O28)</f>
        <v>Arabia Saudi</v>
      </c>
      <c r="T28">
        <f ca="1">VLOOKUP(S28,$O$28:$Q$37,2,FALSE)</f>
        <v>6</v>
      </c>
      <c r="U28">
        <f ca="1">VLOOKUP(S28,$O$28:$Q$37,3,FALSE)</f>
        <v>9</v>
      </c>
      <c r="W28" t="str">
        <f ca="1">IF(AND(T28=T31,U31&gt;U28),S31,S28)</f>
        <v>Arabia Saudi</v>
      </c>
      <c r="X28">
        <f ca="1">VLOOKUP(W28,$S$28:$U$37,2,FALSE)</f>
        <v>6</v>
      </c>
      <c r="Y28">
        <f ca="1">VLOOKUP(W28,$S$28:$U$37,3,FALSE)</f>
        <v>9</v>
      </c>
      <c r="AA28" t="str">
        <f ca="1">W28</f>
        <v>Arabia Saudi</v>
      </c>
      <c r="AB28">
        <f ca="1">VLOOKUP(AA28,W28:Y37,2,FALSE)</f>
        <v>6</v>
      </c>
      <c r="AC28">
        <f ca="1">VLOOKUP(AA28,W28:Y37,3,FALSE)</f>
        <v>9</v>
      </c>
      <c r="AE28" t="str">
        <f ca="1">AA28</f>
        <v>Arabia Saudi</v>
      </c>
      <c r="AF28">
        <f ca="1">VLOOKUP(AE28,AA28:AC37,2,FALSE)</f>
        <v>6</v>
      </c>
      <c r="AG28">
        <f ca="1">VLOOKUP(AE28,AA28:AC37,3,FALSE)</f>
        <v>9</v>
      </c>
      <c r="AI28" t="str">
        <f ca="1">AE28</f>
        <v>Arabia Saudi</v>
      </c>
      <c r="AJ28">
        <f ca="1">VLOOKUP(AI28,AE28:AG37,2,FALSE)</f>
        <v>6</v>
      </c>
      <c r="AK28">
        <f ca="1">VLOOKUP(AI28,AE28:AG37,3,FALSE)</f>
        <v>9</v>
      </c>
    </row>
    <row r="29" spans="6:37">
      <c r="F29" t="str">
        <f ca="1">AI17</f>
        <v>Polonia</v>
      </c>
      <c r="J29">
        <f ca="1">AJ17</f>
        <v>6</v>
      </c>
      <c r="K29">
        <f ca="1">VLOOKUP(AI17,$F$16:$M$25,6,FALSE)</f>
        <v>17</v>
      </c>
      <c r="L29">
        <f ca="1">VLOOKUP(AI17,$F$16:$M$25,7,FALSE)</f>
        <v>13</v>
      </c>
      <c r="M29">
        <f ca="1">K29-L29</f>
        <v>4</v>
      </c>
      <c r="O29" t="str">
        <f ca="1">IF(AND($J28=$J29,$M29&gt;$M28),$F28,$F29)</f>
        <v>Polonia</v>
      </c>
      <c r="P29">
        <f ca="1">VLOOKUP(O29,$F$28:$M$37,5,FALSE)</f>
        <v>6</v>
      </c>
      <c r="Q29">
        <f ca="1">VLOOKUP(O29,$F$28:$M$37,8,FALSE)</f>
        <v>4</v>
      </c>
      <c r="S29" t="str">
        <f ca="1">O29</f>
        <v>Polonia</v>
      </c>
      <c r="T29">
        <f ca="1">VLOOKUP(S29,$O$28:$Q$37,2,FALSE)</f>
        <v>6</v>
      </c>
      <c r="U29">
        <f ca="1">VLOOKUP(S29,$O$28:$Q$37,3,FALSE)</f>
        <v>4</v>
      </c>
      <c r="W29" t="str">
        <f ca="1">S29</f>
        <v>Polonia</v>
      </c>
      <c r="X29">
        <f ca="1">VLOOKUP(W29,$S$28:$U$37,2,FALSE)</f>
        <v>6</v>
      </c>
      <c r="Y29">
        <f ca="1">VLOOKUP(W29,$S$28:$U$37,3,FALSE)</f>
        <v>4</v>
      </c>
      <c r="AA29" t="str">
        <f ca="1">IF(AND(X29=X30,Y30&gt;Y29),W30,W29)</f>
        <v>Polonia</v>
      </c>
      <c r="AB29">
        <f ca="1">VLOOKUP(AA29,W28:Y37,2,FALSE)</f>
        <v>6</v>
      </c>
      <c r="AC29">
        <f ca="1">VLOOKUP(AA29,W28:Y37,3,FALSE)</f>
        <v>4</v>
      </c>
      <c r="AE29" t="str">
        <f ca="1">IF(AND(AB29=AB31,AC31&gt;AC29),AA31,AA29)</f>
        <v>Polonia</v>
      </c>
      <c r="AF29">
        <f ca="1">VLOOKUP(AE29,AA28:AC37,2,FALSE)</f>
        <v>6</v>
      </c>
      <c r="AG29">
        <f ca="1">VLOOKUP(AE29,AA28:AC37,3,FALSE)</f>
        <v>4</v>
      </c>
      <c r="AI29" t="str">
        <f ca="1">AE29</f>
        <v>Polonia</v>
      </c>
      <c r="AJ29">
        <f ca="1">VLOOKUP(AI29,AE28:AG37,2,FALSE)</f>
        <v>6</v>
      </c>
      <c r="AK29">
        <f ca="1">VLOOKUP(AI29,AE28:AG37,3,FALSE)</f>
        <v>4</v>
      </c>
    </row>
    <row r="30" spans="6:37">
      <c r="F30" t="str">
        <f ca="1">AI18</f>
        <v>Mexico</v>
      </c>
      <c r="J30">
        <f ca="1">AJ18</f>
        <v>4</v>
      </c>
      <c r="K30">
        <f ca="1">VLOOKUP(AI18,$F$16:$M$25,6,FALSE)</f>
        <v>16</v>
      </c>
      <c r="L30">
        <f ca="1">VLOOKUP(AI18,$F$16:$M$25,7,FALSE)</f>
        <v>17</v>
      </c>
      <c r="M30">
        <f ca="1">K30-L30</f>
        <v>-1</v>
      </c>
      <c r="O30" t="str">
        <f ca="1">F30</f>
        <v>Mexico</v>
      </c>
      <c r="P30">
        <f ca="1">VLOOKUP(O30,$F$28:$M$37,5,FALSE)</f>
        <v>4</v>
      </c>
      <c r="Q30">
        <f ca="1">VLOOKUP(O30,$F$28:$M$37,8,FALSE)</f>
        <v>-1</v>
      </c>
      <c r="S30" t="str">
        <f ca="1">IF(AND($P28=P30,Q30&gt;Q28),O28,O30)</f>
        <v>Mexico</v>
      </c>
      <c r="T30">
        <f ca="1">VLOOKUP(S30,$O$28:$Q$37,2,FALSE)</f>
        <v>4</v>
      </c>
      <c r="U30">
        <f ca="1">VLOOKUP(S30,$O$28:$Q$37,3,FALSE)</f>
        <v>-1</v>
      </c>
      <c r="W30" t="str">
        <f ca="1">S30</f>
        <v>Mexico</v>
      </c>
      <c r="X30">
        <f ca="1">VLOOKUP(W30,$S$28:$U$37,2,FALSE)</f>
        <v>4</v>
      </c>
      <c r="Y30">
        <f ca="1">VLOOKUP(W30,$S$28:$U$37,3,FALSE)</f>
        <v>-1</v>
      </c>
      <c r="AA30" t="str">
        <f ca="1">IF(AND(X29=X30,Y30&gt;Y29),W29,W30)</f>
        <v>Mexico</v>
      </c>
      <c r="AB30">
        <f ca="1">VLOOKUP(AA30,W28:Y37,2,FALSE)</f>
        <v>4</v>
      </c>
      <c r="AC30">
        <f ca="1">VLOOKUP(AA30,W28:Y37,3,FALSE)</f>
        <v>-1</v>
      </c>
      <c r="AE30" t="str">
        <f ca="1">AA30</f>
        <v>Mexico</v>
      </c>
      <c r="AF30">
        <f ca="1">VLOOKUP(AE30,AA28:AC37,2,FALSE)</f>
        <v>4</v>
      </c>
      <c r="AG30">
        <f ca="1">VLOOKUP(AE30,AA28:AC37,3,FALSE)</f>
        <v>-1</v>
      </c>
      <c r="AI30" t="str">
        <f ca="1">IF(AND(AF30=AF31,AG31&gt;AG30),AE31,AE30)</f>
        <v>Mexico</v>
      </c>
      <c r="AJ30">
        <f ca="1">VLOOKUP(AI30,AE28:AG37,2,FALSE)</f>
        <v>4</v>
      </c>
      <c r="AK30">
        <f ca="1">VLOOKUP(AI30,AE28:AG37,3,FALSE)</f>
        <v>-1</v>
      </c>
    </row>
    <row r="31" spans="6:37">
      <c r="F31" t="str">
        <f ca="1">AI19</f>
        <v>Argentina</v>
      </c>
      <c r="J31">
        <f ca="1">AJ19</f>
        <v>1</v>
      </c>
      <c r="K31">
        <f ca="1">VLOOKUP(AI19,$F$16:$M$25,6,FALSE)</f>
        <v>10</v>
      </c>
      <c r="L31">
        <f ca="1">VLOOKUP(AI19,$F$16:$M$25,7,FALSE)</f>
        <v>22</v>
      </c>
      <c r="M31">
        <f ca="1">K31-L31</f>
        <v>-12</v>
      </c>
      <c r="O31" t="str">
        <f ca="1">F31</f>
        <v>Argentina</v>
      </c>
      <c r="P31">
        <f ca="1">VLOOKUP(O31,$F$28:$M$37,5,FALSE)</f>
        <v>1</v>
      </c>
      <c r="Q31">
        <f ca="1">VLOOKUP(O31,$F$28:$M$37,8,FALSE)</f>
        <v>-12</v>
      </c>
      <c r="S31" t="str">
        <f ca="1">O31</f>
        <v>Argentina</v>
      </c>
      <c r="T31">
        <f ca="1">VLOOKUP(S31,$O$28:$Q$37,2,FALSE)</f>
        <v>1</v>
      </c>
      <c r="U31">
        <f ca="1">VLOOKUP(S31,$O$28:$Q$37,3,FALSE)</f>
        <v>-12</v>
      </c>
      <c r="W31" t="str">
        <f ca="1">IF(AND(T28=T31,U31&gt;U28),S28,S31)</f>
        <v>Argentina</v>
      </c>
      <c r="X31">
        <f ca="1">VLOOKUP(W31,$S$28:$U$37,2,FALSE)</f>
        <v>1</v>
      </c>
      <c r="Y31">
        <f ca="1">VLOOKUP(W31,$S$28:$U$37,3,FALSE)</f>
        <v>-12</v>
      </c>
      <c r="AA31" t="str">
        <f ca="1">W31</f>
        <v>Argentina</v>
      </c>
      <c r="AB31">
        <f ca="1">VLOOKUP(AA31,W28:Y37,2,FALSE)</f>
        <v>1</v>
      </c>
      <c r="AC31">
        <f ca="1">VLOOKUP(AA31,W28:Y37,3,FALSE)</f>
        <v>-12</v>
      </c>
      <c r="AE31" t="str">
        <f ca="1">IF(AND(AB29=AB31,AC31&gt;AC29),AA29,AA31)</f>
        <v>Argentina</v>
      </c>
      <c r="AF31">
        <f ca="1">VLOOKUP(AE31,AA28:AC37,2,FALSE)</f>
        <v>1</v>
      </c>
      <c r="AG31">
        <f ca="1">VLOOKUP(AE31,AA28:AC37,3,FALSE)</f>
        <v>-12</v>
      </c>
      <c r="AI31" t="str">
        <f ca="1">IF(AND(AF30=AF31,AG31&gt;AG30),AE30,AE31)</f>
        <v>Argentina</v>
      </c>
      <c r="AJ31">
        <f ca="1">VLOOKUP(AI31,AE28:AG37,2,FALSE)</f>
        <v>1</v>
      </c>
      <c r="AK31">
        <f ca="1">VLOOKUP(AI31,AE28:AG37,3,FALSE)</f>
        <v>-12</v>
      </c>
    </row>
    <row r="40" spans="6:38">
      <c r="F40" t="str">
        <f ca="1">AI28</f>
        <v>Arabia Saudi</v>
      </c>
      <c r="J40">
        <f ca="1">VLOOKUP(F40,$F$16:$M$25,8,FALSE)</f>
        <v>6</v>
      </c>
      <c r="K40">
        <f ca="1">VLOOKUP(F40,$F$16:$M$25,6,FALSE)</f>
        <v>20</v>
      </c>
      <c r="L40">
        <f ca="1">VLOOKUP(F40,$F$16:$M$25,7,FALSE)</f>
        <v>11</v>
      </c>
      <c r="M40">
        <f ca="1">K40-L40</f>
        <v>9</v>
      </c>
      <c r="O40" t="str">
        <f ca="1">IF(AND(J40=J41,M40=M41,K41&gt;K40),F41,F40)</f>
        <v>Arabia Saudi</v>
      </c>
      <c r="P40">
        <f ca="1">VLOOKUP(O40,$F$40:$M$49,5,FALSE)</f>
        <v>6</v>
      </c>
      <c r="Q40">
        <f ca="1">VLOOKUP(O40,$F$40:$M$49,8,FALSE)</f>
        <v>9</v>
      </c>
      <c r="R40">
        <f ca="1">VLOOKUP(O40,$F$40:$M$49,6,FALSE)</f>
        <v>20</v>
      </c>
      <c r="S40" t="str">
        <f ca="1">IF(AND(P40=P42,Q40=Q42,R42&gt;R40),O42,O40)</f>
        <v>Arabia Saudi</v>
      </c>
      <c r="T40">
        <f ca="1">VLOOKUP(S40,$O$40:$R$49,2,FALSE)</f>
        <v>6</v>
      </c>
      <c r="U40">
        <f ca="1">VLOOKUP(S40,$O$40:$R$49,3,FALSE)</f>
        <v>9</v>
      </c>
      <c r="V40">
        <f ca="1">VLOOKUP(S40,$O$40:$R$49,4,FALSE)</f>
        <v>20</v>
      </c>
      <c r="W40" t="str">
        <f ca="1">IF(AND(T40=T43,U40=U43,V43&gt;V40),S43,S40)</f>
        <v>Arabia Saudi</v>
      </c>
      <c r="X40">
        <f ca="1">VLOOKUP(W40,$S$40:$V$49,2,FALSE)</f>
        <v>6</v>
      </c>
      <c r="Y40">
        <f ca="1">VLOOKUP(W40,$S$40:$V$49,3,FALSE)</f>
        <v>9</v>
      </c>
      <c r="Z40">
        <f ca="1">VLOOKUP(W40,$S$40:$V$49,4,FALSE)</f>
        <v>20</v>
      </c>
      <c r="AA40" t="str">
        <f ca="1">W40</f>
        <v>Arabia Saudi</v>
      </c>
      <c r="AB40">
        <f ca="1">VLOOKUP(AA40,W40:Z49,2,FALSE)</f>
        <v>6</v>
      </c>
      <c r="AC40">
        <f ca="1">VLOOKUP(AA40,W40:Z49,3,FALSE)</f>
        <v>9</v>
      </c>
      <c r="AD40">
        <f ca="1">VLOOKUP(AA40,W40:Z49,4,FALSE)</f>
        <v>20</v>
      </c>
      <c r="AE40" t="str">
        <f ca="1">AA40</f>
        <v>Arabia Saudi</v>
      </c>
      <c r="AF40">
        <f ca="1">VLOOKUP(AE40,AA40:AD49,2,FALSE)</f>
        <v>6</v>
      </c>
      <c r="AG40">
        <f ca="1">VLOOKUP(AE40,AA40:AD49,3,FALSE)</f>
        <v>9</v>
      </c>
      <c r="AH40">
        <f ca="1">VLOOKUP(AE40,AA40:AD49,4,FALSE)</f>
        <v>20</v>
      </c>
      <c r="AI40" t="str">
        <f ca="1">AE40</f>
        <v>Arabia Saudi</v>
      </c>
      <c r="AJ40">
        <f ca="1">VLOOKUP(AI40,AE40:AH49,2,FALSE)</f>
        <v>6</v>
      </c>
      <c r="AK40">
        <f ca="1">VLOOKUP(AI40,AE40:AH49,3,FALSE)</f>
        <v>9</v>
      </c>
      <c r="AL40">
        <f ca="1">VLOOKUP(AI40,AE40:AH49,4,FALSE)</f>
        <v>20</v>
      </c>
    </row>
    <row r="41" spans="6:38">
      <c r="F41" t="str">
        <f ca="1">AI29</f>
        <v>Polonia</v>
      </c>
      <c r="J41">
        <f ca="1">VLOOKUP(F41,$F$16:$M$25,8,FALSE)</f>
        <v>6</v>
      </c>
      <c r="K41">
        <f ca="1">VLOOKUP(F41,$F$16:$M$25,6,FALSE)</f>
        <v>17</v>
      </c>
      <c r="L41">
        <f ca="1">VLOOKUP(F41,$F$16:$M$25,7,FALSE)</f>
        <v>13</v>
      </c>
      <c r="M41">
        <f ca="1">K41-L41</f>
        <v>4</v>
      </c>
      <c r="O41" t="str">
        <f ca="1">IF(AND(J40=J41,M40=M41,K41&gt;K40),F40,F41)</f>
        <v>Polonia</v>
      </c>
      <c r="P41">
        <f ca="1">VLOOKUP(O41,$F$40:$M$49,5,FALSE)</f>
        <v>6</v>
      </c>
      <c r="Q41">
        <f ca="1">VLOOKUP(O41,$F$40:$M$49,8,FALSE)</f>
        <v>4</v>
      </c>
      <c r="R41">
        <f ca="1">VLOOKUP(O41,$F$40:$M$49,6,FALSE)</f>
        <v>17</v>
      </c>
      <c r="S41" t="str">
        <f ca="1">O41</f>
        <v>Polonia</v>
      </c>
      <c r="T41">
        <f ca="1">VLOOKUP(S41,$O$40:$R$49,2,FALSE)</f>
        <v>6</v>
      </c>
      <c r="U41">
        <f ca="1">VLOOKUP(S41,$O$40:$R$49,3,FALSE)</f>
        <v>4</v>
      </c>
      <c r="V41">
        <f ca="1">VLOOKUP(S41,$O$40:$R$49,4,FALSE)</f>
        <v>17</v>
      </c>
      <c r="W41" t="str">
        <f ca="1">S41</f>
        <v>Polonia</v>
      </c>
      <c r="X41">
        <f ca="1">VLOOKUP(W41,$S$40:$V$49,2,FALSE)</f>
        <v>6</v>
      </c>
      <c r="Y41">
        <f ca="1">VLOOKUP(W41,$S$40:$V$49,3,FALSE)</f>
        <v>4</v>
      </c>
      <c r="Z41">
        <f ca="1">VLOOKUP(W41,$S$40:$V$49,4,FALSE)</f>
        <v>17</v>
      </c>
      <c r="AA41" t="str">
        <f ca="1">IF(AND(X41=X42,Y41=Y42,Z42&gt;Z41),W42,W41)</f>
        <v>Polonia</v>
      </c>
      <c r="AB41">
        <f ca="1">VLOOKUP(AA41,W40:Z49,2,FALSE)</f>
        <v>6</v>
      </c>
      <c r="AC41">
        <f ca="1">VLOOKUP(AA41,W40:Z49,3,FALSE)</f>
        <v>4</v>
      </c>
      <c r="AD41">
        <f ca="1">VLOOKUP(AA41,W40:Z49,4,FALSE)</f>
        <v>17</v>
      </c>
      <c r="AE41" t="str">
        <f ca="1">IF(AND(AB41=AB43,AC41=AC43,AD43&gt;AD41),AA43,AA41)</f>
        <v>Polonia</v>
      </c>
      <c r="AF41">
        <f ca="1">VLOOKUP(AE41,AA40:AD49,2,FALSE)</f>
        <v>6</v>
      </c>
      <c r="AG41">
        <f ca="1">VLOOKUP(AE41,AA40:AD49,3,FALSE)</f>
        <v>4</v>
      </c>
      <c r="AH41">
        <f ca="1">VLOOKUP(AE41,AA40:AD49,4,FALSE)</f>
        <v>17</v>
      </c>
      <c r="AI41" t="str">
        <f ca="1">AE41</f>
        <v>Polonia</v>
      </c>
      <c r="AJ41">
        <f ca="1">VLOOKUP(AI41,AE40:AH49,2,FALSE)</f>
        <v>6</v>
      </c>
      <c r="AK41">
        <f ca="1">VLOOKUP(AI41,AE40:AH49,3,FALSE)</f>
        <v>4</v>
      </c>
      <c r="AL41">
        <f ca="1">VLOOKUP(AI41,AE40:AH49,4,FALSE)</f>
        <v>17</v>
      </c>
    </row>
    <row r="42" spans="6:38">
      <c r="F42" t="str">
        <f ca="1">AI30</f>
        <v>Mexico</v>
      </c>
      <c r="J42">
        <f ca="1">VLOOKUP(F42,$F$16:$M$25,8,FALSE)</f>
        <v>4</v>
      </c>
      <c r="K42">
        <f ca="1">VLOOKUP(F42,$F$16:$M$25,6,FALSE)</f>
        <v>16</v>
      </c>
      <c r="L42">
        <f ca="1">VLOOKUP(F42,$F$16:$M$25,7,FALSE)</f>
        <v>17</v>
      </c>
      <c r="M42">
        <f ca="1">K42-L42</f>
        <v>-1</v>
      </c>
      <c r="O42" t="str">
        <f ca="1">F42</f>
        <v>Mexico</v>
      </c>
      <c r="P42">
        <f ca="1">VLOOKUP(O42,$F$40:$M$49,5,FALSE)</f>
        <v>4</v>
      </c>
      <c r="Q42">
        <f ca="1">VLOOKUP(O42,$F$40:$M$49,8,FALSE)</f>
        <v>-1</v>
      </c>
      <c r="R42">
        <f ca="1">VLOOKUP(O42,$F$40:$M$49,6,FALSE)</f>
        <v>16</v>
      </c>
      <c r="S42" t="str">
        <f ca="1">IF(AND(P40=P42,Q40=Q42,R42&gt;R40),O40,O42)</f>
        <v>Mexico</v>
      </c>
      <c r="T42">
        <f ca="1">VLOOKUP(S42,$O$40:$R$49,2,FALSE)</f>
        <v>4</v>
      </c>
      <c r="U42">
        <f ca="1">VLOOKUP(S42,$O$40:$R$49,3,FALSE)</f>
        <v>-1</v>
      </c>
      <c r="V42">
        <f ca="1">VLOOKUP(S42,$O$40:$R$49,4,FALSE)</f>
        <v>16</v>
      </c>
      <c r="W42" t="str">
        <f ca="1">S42</f>
        <v>Mexico</v>
      </c>
      <c r="X42">
        <f ca="1">VLOOKUP(W42,$S$40:$V$49,2,FALSE)</f>
        <v>4</v>
      </c>
      <c r="Y42">
        <f ca="1">VLOOKUP(W42,$S$40:$V$49,3,FALSE)</f>
        <v>-1</v>
      </c>
      <c r="Z42">
        <f ca="1">VLOOKUP(W42,$S$40:$V$49,4,FALSE)</f>
        <v>16</v>
      </c>
      <c r="AA42" t="str">
        <f ca="1">IF(AND(X41=X42,Y41=Y42,Z42&gt;Z41),W41,W42)</f>
        <v>Mexico</v>
      </c>
      <c r="AB42">
        <f ca="1">VLOOKUP(AA42,W40:Z49,2,FALSE)</f>
        <v>4</v>
      </c>
      <c r="AC42">
        <f ca="1">VLOOKUP(AA42,W40:Z49,3,FALSE)</f>
        <v>-1</v>
      </c>
      <c r="AD42">
        <f ca="1">VLOOKUP(AA42,W40:Z49,4,FALSE)</f>
        <v>16</v>
      </c>
      <c r="AE42" t="str">
        <f ca="1">AA42</f>
        <v>Mexico</v>
      </c>
      <c r="AF42">
        <f ca="1">VLOOKUP(AE42,AA40:AD49,2,FALSE)</f>
        <v>4</v>
      </c>
      <c r="AG42">
        <f ca="1">VLOOKUP(AE42,AA40:AD49,3,FALSE)</f>
        <v>-1</v>
      </c>
      <c r="AH42">
        <f ca="1">VLOOKUP(AE42,AA40:AD49,4,FALSE)</f>
        <v>16</v>
      </c>
      <c r="AI42" t="str">
        <f ca="1">IF(AND(AF42=AF43,AG42=AG43,AH43&gt;AH42),AE43,AE42)</f>
        <v>Mexico</v>
      </c>
      <c r="AJ42">
        <f ca="1">VLOOKUP(AI42,AE40:AH49,2,FALSE)</f>
        <v>4</v>
      </c>
      <c r="AK42">
        <f ca="1">VLOOKUP(AI42,AE40:AH49,3,FALSE)</f>
        <v>-1</v>
      </c>
      <c r="AL42">
        <f ca="1">VLOOKUP(AI42,AE40:AH49,4,FALSE)</f>
        <v>16</v>
      </c>
    </row>
    <row r="43" spans="6:38">
      <c r="F43" t="str">
        <f ca="1">AI31</f>
        <v>Argentina</v>
      </c>
      <c r="J43">
        <f ca="1">VLOOKUP(F43,$F$16:$M$25,8,FALSE)</f>
        <v>1</v>
      </c>
      <c r="K43">
        <f ca="1">VLOOKUP(F43,$F$16:$M$25,6,FALSE)</f>
        <v>10</v>
      </c>
      <c r="L43">
        <f ca="1">VLOOKUP(F43,$F$16:$M$25,7,FALSE)</f>
        <v>22</v>
      </c>
      <c r="M43">
        <f ca="1">K43-L43</f>
        <v>-12</v>
      </c>
      <c r="O43" t="str">
        <f ca="1">F43</f>
        <v>Argentina</v>
      </c>
      <c r="P43">
        <f ca="1">VLOOKUP(O43,$F$40:$M$49,5,FALSE)</f>
        <v>1</v>
      </c>
      <c r="Q43">
        <f ca="1">VLOOKUP(O43,$F$40:$M$49,8,FALSE)</f>
        <v>-12</v>
      </c>
      <c r="R43">
        <f ca="1">VLOOKUP(O43,$F$40:$M$49,6,FALSE)</f>
        <v>10</v>
      </c>
      <c r="S43" t="str">
        <f ca="1">O43</f>
        <v>Argentina</v>
      </c>
      <c r="T43">
        <f ca="1">VLOOKUP(S43,$O$40:$R$49,2,FALSE)</f>
        <v>1</v>
      </c>
      <c r="U43">
        <f ca="1">VLOOKUP(S43,$O$40:$R$49,3,FALSE)</f>
        <v>-12</v>
      </c>
      <c r="V43">
        <f ca="1">VLOOKUP(S43,$O$40:$R$49,4,FALSE)</f>
        <v>10</v>
      </c>
      <c r="W43" t="str">
        <f ca="1">IF(AND(T40=T43,U40=U43,V43&gt;V40),S40,S43)</f>
        <v>Argentina</v>
      </c>
      <c r="X43">
        <f ca="1">VLOOKUP(W43,$S$40:$V$49,2,FALSE)</f>
        <v>1</v>
      </c>
      <c r="Y43">
        <f ca="1">VLOOKUP(W43,$S$40:$V$49,3,FALSE)</f>
        <v>-12</v>
      </c>
      <c r="Z43">
        <f ca="1">VLOOKUP(W43,$S$40:$V$49,4,FALSE)</f>
        <v>10</v>
      </c>
      <c r="AA43" t="str">
        <f ca="1">W43</f>
        <v>Argentina</v>
      </c>
      <c r="AB43">
        <f ca="1">VLOOKUP(AA43,W40:Z49,2,FALSE)</f>
        <v>1</v>
      </c>
      <c r="AC43">
        <f ca="1">VLOOKUP(AA43,W40:Z49,3,FALSE)</f>
        <v>-12</v>
      </c>
      <c r="AD43">
        <f ca="1">VLOOKUP(AA43,W40:Z49,4,FALSE)</f>
        <v>10</v>
      </c>
      <c r="AE43" t="str">
        <f ca="1">IF(AND(AB41=AB43,AC41=AC43,AD43&gt;AD41),AA41,AA43)</f>
        <v>Argentina</v>
      </c>
      <c r="AF43">
        <f ca="1">VLOOKUP(AE43,AA40:AD49,2,FALSE)</f>
        <v>1</v>
      </c>
      <c r="AG43">
        <f ca="1">VLOOKUP(AE43,AA40:AD49,3,FALSE)</f>
        <v>-12</v>
      </c>
      <c r="AH43">
        <f ca="1">VLOOKUP(AE43,AA40:AD49,4,FALSE)</f>
        <v>10</v>
      </c>
      <c r="AI43" t="str">
        <f ca="1">IF(AND(AF42=AF43,AG42=AG43,AH43&gt;AH42),AE42,AE43)</f>
        <v>Argentina</v>
      </c>
      <c r="AJ43">
        <f ca="1">VLOOKUP(AI43,AE40:AH49,2,FALSE)</f>
        <v>1</v>
      </c>
      <c r="AK43">
        <f ca="1">VLOOKUP(AI43,AE40:AH49,3,FALSE)</f>
        <v>-12</v>
      </c>
      <c r="AL43">
        <f ca="1">VLOOKUP(AI43,AE40:AH49,4,FALSE)</f>
        <v>10</v>
      </c>
    </row>
    <row r="51" spans="6:13">
      <c r="F51" t="s">
        <v>334</v>
      </c>
    </row>
    <row r="52" spans="6:13">
      <c r="F52" t="str">
        <f ca="1">AI40</f>
        <v>Arabia Saudi</v>
      </c>
      <c r="G52">
        <f ca="1">VLOOKUP(F52,$F$16:$M$25,2,FALSE)</f>
        <v>3</v>
      </c>
      <c r="H52">
        <f ca="1">VLOOKUP(F52,$F$16:$M$25,3,FALSE)</f>
        <v>2</v>
      </c>
      <c r="I52">
        <f ca="1">VLOOKUP(F52,$F$16:$M$25,4,FALSE)</f>
        <v>0</v>
      </c>
      <c r="J52">
        <f ca="1">VLOOKUP(F52,$F$16:$M$25,5,FALSE)</f>
        <v>1</v>
      </c>
      <c r="K52">
        <f ca="1">VLOOKUP(F52,$F$16:$M$25,6,FALSE)</f>
        <v>20</v>
      </c>
      <c r="L52">
        <f ca="1">VLOOKUP(F52,$F$16:$M$25,7,FALSE)</f>
        <v>11</v>
      </c>
      <c r="M52">
        <f ca="1">VLOOKUP(F52,$F$16:$M$25,8,FALSE)</f>
        <v>6</v>
      </c>
    </row>
    <row r="53" spans="6:13">
      <c r="F53" t="str">
        <f ca="1">AI41</f>
        <v>Polonia</v>
      </c>
      <c r="G53">
        <f ca="1">VLOOKUP(F53,$F$16:$M$25,2,FALSE)</f>
        <v>3</v>
      </c>
      <c r="H53">
        <f ca="1">VLOOKUP(F53,$F$16:$M$25,3,FALSE)</f>
        <v>2</v>
      </c>
      <c r="I53">
        <f ca="1">VLOOKUP(F53,$F$16:$M$25,4,FALSE)</f>
        <v>0</v>
      </c>
      <c r="J53">
        <f ca="1">VLOOKUP(F53,$F$16:$M$25,5,FALSE)</f>
        <v>1</v>
      </c>
      <c r="K53">
        <f ca="1">VLOOKUP(F53,$F$16:$M$25,6,FALSE)</f>
        <v>17</v>
      </c>
      <c r="L53">
        <f ca="1">VLOOKUP(F53,$F$16:$M$25,7,FALSE)</f>
        <v>13</v>
      </c>
      <c r="M53">
        <f ca="1">VLOOKUP(F53,$F$16:$M$25,8,FALSE)</f>
        <v>6</v>
      </c>
    </row>
    <row r="54" spans="6:13">
      <c r="F54" t="str">
        <f ca="1">AI42</f>
        <v>Mexico</v>
      </c>
      <c r="G54">
        <f ca="1">VLOOKUP(F54,$F$16:$M$25,2,FALSE)</f>
        <v>3</v>
      </c>
      <c r="H54">
        <f ca="1">VLOOKUP(F54,$F$16:$M$25,3,FALSE)</f>
        <v>1</v>
      </c>
      <c r="I54">
        <f ca="1">VLOOKUP(F54,$F$16:$M$25,4,FALSE)</f>
        <v>1</v>
      </c>
      <c r="J54">
        <f ca="1">VLOOKUP(F54,$F$16:$M$25,5,FALSE)</f>
        <v>1</v>
      </c>
      <c r="K54">
        <f ca="1">VLOOKUP(F54,$F$16:$M$25,6,FALSE)</f>
        <v>16</v>
      </c>
      <c r="L54">
        <f ca="1">VLOOKUP(F54,$F$16:$M$25,7,FALSE)</f>
        <v>17</v>
      </c>
      <c r="M54">
        <f ca="1">VLOOKUP(F54,$F$16:$M$25,8,FALSE)</f>
        <v>4</v>
      </c>
    </row>
    <row r="55" spans="6:13">
      <c r="F55" t="str">
        <f ca="1">AI43</f>
        <v>Argentina</v>
      </c>
      <c r="G55">
        <f ca="1">VLOOKUP(F55,$F$16:$M$25,2,FALSE)</f>
        <v>3</v>
      </c>
      <c r="H55">
        <f ca="1">VLOOKUP(F55,$F$16:$M$25,3,FALSE)</f>
        <v>0</v>
      </c>
      <c r="I55">
        <f ca="1">VLOOKUP(F55,$F$16:$M$25,4,FALSE)</f>
        <v>1</v>
      </c>
      <c r="J55">
        <f ca="1">VLOOKUP(F55,$F$16:$M$25,5,FALSE)</f>
        <v>2</v>
      </c>
      <c r="K55">
        <f ca="1">VLOOKUP(F55,$F$16:$M$25,6,FALSE)</f>
        <v>10</v>
      </c>
      <c r="L55">
        <f ca="1">VLOOKUP(F55,$F$16:$M$25,7,FALSE)</f>
        <v>22</v>
      </c>
      <c r="M55">
        <f ca="1">VLOOKUP(F55,$F$16:$M$25,8,FALSE)</f>
        <v>1</v>
      </c>
    </row>
  </sheetData>
  <sheetProtection algorithmName="SHA-512" hashValue="NutBcGNzDd9qBoCGN+Y5Ky6C9TYCBMDcKOSqoFsTOMcQU+ne6oZ4FuAjd7SWHRadH5QpFro328vHHxTgSRIXtw==" saltValue="PFq0ZHYLE7X3uJVsGRm67Q==" spinCount="100000" sheet="1" selectLockedCells="1" selectUnlockedCells="1"/>
  <customSheetViews>
    <customSheetView guid="{387210E2-BDFB-42E5-A6C7-A37C9701EAB6}" state="hidden" topLeftCell="A24">
      <pane xSplit="5" topLeftCell="F1" activePane="topRight" state="frozen"/>
      <selection pane="topRight" activeCell="R46" sqref="R46"/>
      <pageMargins left="0" right="0" top="0" bottom="0" header="0" footer="0"/>
      <headerFooter alignWithMargins="0"/>
    </customSheetView>
    <customSheetView guid="{E2621C8A-2AE3-484D-B751-B92E60BB88F8}" state="hidden" topLeftCell="A24">
      <pane xSplit="5" topLeftCell="F1" activePane="topRight" state="frozen"/>
      <selection pane="topRight" activeCell="R46" sqref="R46"/>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9"/>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D -'!U8&lt;&gt;"",'- D -'!U8,"")</f>
        <v>Francia</v>
      </c>
      <c r="N2" t="str">
        <f>IF('- D -'!U10&lt;&gt;"",'- D -'!U10,"")</f>
        <v>Australia</v>
      </c>
      <c r="U2" t="str">
        <f>IF('- D -'!U12&lt;&gt;"",'- D -'!U12,"")</f>
        <v>Dinamarca</v>
      </c>
      <c r="AB2" t="str">
        <f>IF('- D -'!U14&lt;&gt;"",'- D -'!U14,"")</f>
        <v>Tunez</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D -'!B6</f>
        <v>Francia</v>
      </c>
      <c r="B4" s="1">
        <f ca="1">IF('- D -'!C6&lt;&gt;"",'- D -'!C6,"")</f>
        <v>6</v>
      </c>
      <c r="C4" s="1" t="str">
        <f>'- D -'!D6</f>
        <v>-</v>
      </c>
      <c r="D4" s="1">
        <f ca="1">IF('- D -'!E6&lt;&gt;"",'- D -'!E6,"")</f>
        <v>9</v>
      </c>
      <c r="E4" s="3" t="str">
        <f>'- D -'!F6</f>
        <v>Australia</v>
      </c>
      <c r="F4" s="1">
        <f ca="1">COUNTBLANK('- D -'!C6:'- D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6</v>
      </c>
      <c r="L4">
        <f t="shared" ref="L4:L9" ca="1" si="5">IF(F4&gt;0,0,IF($A4=$G$2,$D4,IF($E4=$G$2,$B4,0)))</f>
        <v>9</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9</v>
      </c>
      <c r="S4">
        <f t="shared" ref="S4:S9" ca="1" si="11">IF(F4&gt;0,0,IF($A4=$N$2,$D4,IF($E4=$N$2,$B4,0)))</f>
        <v>6</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D -'!B7</f>
        <v>Dinamarca</v>
      </c>
      <c r="B5" s="1">
        <f ca="1">IF('- D -'!C7&lt;&gt;"",'- D -'!C7,"")</f>
        <v>1</v>
      </c>
      <c r="C5" s="1" t="str">
        <f>'- D -'!D7</f>
        <v>-</v>
      </c>
      <c r="D5" s="1">
        <f ca="1">IF('- D -'!E7&lt;&gt;"",'- D -'!E7,"")</f>
        <v>0</v>
      </c>
      <c r="E5" s="3" t="str">
        <f>'- D -'!F7</f>
        <v>Tunez</v>
      </c>
      <c r="F5" s="1">
        <f ca="1">COUNTBLANK('- D -'!C7:'- D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1</v>
      </c>
      <c r="Z5">
        <f t="shared" ca="1" si="17"/>
        <v>0</v>
      </c>
      <c r="AB5">
        <f t="shared" ca="1" si="18"/>
        <v>1</v>
      </c>
      <c r="AC5">
        <f t="shared" ca="1" si="19"/>
        <v>0</v>
      </c>
      <c r="AD5">
        <f t="shared" ca="1" si="20"/>
        <v>0</v>
      </c>
      <c r="AE5">
        <f t="shared" ca="1" si="21"/>
        <v>1</v>
      </c>
      <c r="AF5">
        <f t="shared" ca="1" si="22"/>
        <v>0</v>
      </c>
      <c r="AG5">
        <f t="shared" ca="1" si="23"/>
        <v>1</v>
      </c>
    </row>
    <row r="6" spans="1:36">
      <c r="A6" s="2" t="str">
        <f>'- D -'!B8</f>
        <v>Francia</v>
      </c>
      <c r="B6" s="1">
        <f ca="1">IF('- D -'!C8&lt;&gt;"",'- D -'!C8,"")</f>
        <v>2</v>
      </c>
      <c r="C6" s="1" t="str">
        <f>'- D -'!D8</f>
        <v>-</v>
      </c>
      <c r="D6" s="1">
        <f ca="1">IF('- D -'!E8&lt;&gt;"",'- D -'!E8,"")</f>
        <v>1</v>
      </c>
      <c r="E6" s="3" t="str">
        <f>'- D -'!F8</f>
        <v>Dinamarca</v>
      </c>
      <c r="F6" s="1">
        <f ca="1">COUNTBLANK('- D -'!C8:'- D -'!E8)</f>
        <v>0</v>
      </c>
      <c r="G6">
        <f t="shared" ca="1" si="0"/>
        <v>1</v>
      </c>
      <c r="H6">
        <f t="shared" ca="1" si="1"/>
        <v>1</v>
      </c>
      <c r="I6">
        <f t="shared" ca="1" si="2"/>
        <v>0</v>
      </c>
      <c r="J6">
        <f t="shared" ca="1" si="3"/>
        <v>0</v>
      </c>
      <c r="K6">
        <f t="shared" ca="1" si="4"/>
        <v>2</v>
      </c>
      <c r="L6">
        <f t="shared" ca="1" si="5"/>
        <v>1</v>
      </c>
      <c r="N6">
        <f t="shared" ca="1" si="6"/>
        <v>0</v>
      </c>
      <c r="O6">
        <f t="shared" ca="1" si="7"/>
        <v>0</v>
      </c>
      <c r="P6">
        <f t="shared" ca="1" si="8"/>
        <v>0</v>
      </c>
      <c r="Q6">
        <f t="shared" ca="1" si="9"/>
        <v>0</v>
      </c>
      <c r="R6">
        <f t="shared" ca="1" si="10"/>
        <v>0</v>
      </c>
      <c r="S6">
        <f t="shared" ca="1" si="11"/>
        <v>0</v>
      </c>
      <c r="U6">
        <f t="shared" ca="1" si="12"/>
        <v>1</v>
      </c>
      <c r="V6">
        <f t="shared" ca="1" si="13"/>
        <v>0</v>
      </c>
      <c r="W6">
        <f t="shared" ca="1" si="14"/>
        <v>0</v>
      </c>
      <c r="X6">
        <f t="shared" ca="1" si="15"/>
        <v>1</v>
      </c>
      <c r="Y6">
        <f t="shared" ca="1" si="16"/>
        <v>1</v>
      </c>
      <c r="Z6">
        <f t="shared" ca="1" si="17"/>
        <v>2</v>
      </c>
      <c r="AB6">
        <f t="shared" ca="1" si="18"/>
        <v>0</v>
      </c>
      <c r="AC6">
        <f t="shared" ca="1" si="19"/>
        <v>0</v>
      </c>
      <c r="AD6">
        <f t="shared" ca="1" si="20"/>
        <v>0</v>
      </c>
      <c r="AE6">
        <f t="shared" ca="1" si="21"/>
        <v>0</v>
      </c>
      <c r="AF6">
        <f t="shared" ca="1" si="22"/>
        <v>0</v>
      </c>
      <c r="AG6">
        <f t="shared" ca="1" si="23"/>
        <v>0</v>
      </c>
    </row>
    <row r="7" spans="1:36">
      <c r="A7" s="2" t="str">
        <f>'- D -'!B9</f>
        <v>Tunez</v>
      </c>
      <c r="B7" s="1">
        <f ca="1">IF('- D -'!C9&lt;&gt;"",'- D -'!C9,"")</f>
        <v>0</v>
      </c>
      <c r="C7" s="1" t="str">
        <f>'- D -'!D9</f>
        <v>-</v>
      </c>
      <c r="D7" s="1">
        <f ca="1">IF('- D -'!E9&lt;&gt;"",'- D -'!E9,"")</f>
        <v>2</v>
      </c>
      <c r="E7" s="3" t="str">
        <f>'- D -'!F9</f>
        <v>Australia</v>
      </c>
      <c r="F7" s="1">
        <f ca="1">COUNTBLANK('- D -'!C9:'- D -'!E9)</f>
        <v>0</v>
      </c>
      <c r="G7">
        <f t="shared" ca="1" si="0"/>
        <v>0</v>
      </c>
      <c r="H7">
        <f t="shared" ca="1" si="1"/>
        <v>0</v>
      </c>
      <c r="I7">
        <f t="shared" ca="1" si="2"/>
        <v>0</v>
      </c>
      <c r="J7">
        <f t="shared" ca="1" si="3"/>
        <v>0</v>
      </c>
      <c r="K7">
        <f t="shared" ca="1" si="4"/>
        <v>0</v>
      </c>
      <c r="L7">
        <f t="shared" ca="1" si="5"/>
        <v>0</v>
      </c>
      <c r="N7">
        <f t="shared" ca="1" si="6"/>
        <v>1</v>
      </c>
      <c r="O7">
        <f t="shared" ca="1" si="7"/>
        <v>1</v>
      </c>
      <c r="P7">
        <f t="shared" ca="1" si="8"/>
        <v>0</v>
      </c>
      <c r="Q7">
        <f t="shared" ca="1" si="9"/>
        <v>0</v>
      </c>
      <c r="R7">
        <f t="shared" ca="1" si="10"/>
        <v>2</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0</v>
      </c>
      <c r="AE7">
        <f t="shared" ca="1" si="21"/>
        <v>1</v>
      </c>
      <c r="AF7">
        <f t="shared" ca="1" si="22"/>
        <v>0</v>
      </c>
      <c r="AG7">
        <f t="shared" ca="1" si="23"/>
        <v>2</v>
      </c>
    </row>
    <row r="8" spans="1:36">
      <c r="A8" s="2" t="str">
        <f>'- D -'!B10</f>
        <v>Tunez</v>
      </c>
      <c r="B8" s="1">
        <f ca="1">IF('- D -'!C10&lt;&gt;"",'- D -'!C10,"")</f>
        <v>4</v>
      </c>
      <c r="C8" s="1" t="str">
        <f>'- D -'!D10</f>
        <v>-</v>
      </c>
      <c r="D8" s="1">
        <f ca="1">IF('- D -'!E10&lt;&gt;"",'- D -'!E10,"")</f>
        <v>6</v>
      </c>
      <c r="E8" s="3" t="str">
        <f>'- D -'!F10</f>
        <v>Francia</v>
      </c>
      <c r="F8" s="1">
        <f ca="1">COUNTBLANK('- D -'!C10:'- D -'!E10)</f>
        <v>0</v>
      </c>
      <c r="G8">
        <f t="shared" ca="1" si="0"/>
        <v>1</v>
      </c>
      <c r="H8">
        <f t="shared" ca="1" si="1"/>
        <v>1</v>
      </c>
      <c r="I8">
        <f t="shared" ca="1" si="2"/>
        <v>0</v>
      </c>
      <c r="J8">
        <f t="shared" ca="1" si="3"/>
        <v>0</v>
      </c>
      <c r="K8">
        <f t="shared" ca="1" si="4"/>
        <v>6</v>
      </c>
      <c r="L8">
        <f t="shared" ca="1" si="5"/>
        <v>4</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0</v>
      </c>
      <c r="AE8">
        <f t="shared" ca="1" si="21"/>
        <v>1</v>
      </c>
      <c r="AF8">
        <f t="shared" ca="1" si="22"/>
        <v>4</v>
      </c>
      <c r="AG8">
        <f t="shared" ca="1" si="23"/>
        <v>6</v>
      </c>
    </row>
    <row r="9" spans="1:36">
      <c r="A9" s="2" t="str">
        <f>'- D -'!B11</f>
        <v>Australia</v>
      </c>
      <c r="B9" s="1">
        <f ca="1">IF('- D -'!C11&lt;&gt;"",'- D -'!C11,"")</f>
        <v>6</v>
      </c>
      <c r="C9" s="1" t="str">
        <f>'- D -'!D11</f>
        <v>-</v>
      </c>
      <c r="D9" s="1">
        <f ca="1">IF('- D -'!E11&lt;&gt;"",'- D -'!E11,"")</f>
        <v>6</v>
      </c>
      <c r="E9" s="3" t="str">
        <f>'- D -'!F11</f>
        <v>Dinamarca</v>
      </c>
      <c r="F9" s="1">
        <f ca="1">COUNTBLANK('- D -'!C11:'- D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6</v>
      </c>
      <c r="S9">
        <f t="shared" ca="1" si="11"/>
        <v>6</v>
      </c>
      <c r="U9">
        <f t="shared" ca="1" si="12"/>
        <v>1</v>
      </c>
      <c r="V9">
        <f t="shared" ca="1" si="13"/>
        <v>0</v>
      </c>
      <c r="W9">
        <f t="shared" ca="1" si="14"/>
        <v>1</v>
      </c>
      <c r="X9">
        <f t="shared" ca="1" si="15"/>
        <v>0</v>
      </c>
      <c r="Y9">
        <f t="shared" ca="1" si="16"/>
        <v>6</v>
      </c>
      <c r="Z9">
        <f t="shared" ca="1" si="17"/>
        <v>6</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2</v>
      </c>
      <c r="I10">
        <f t="shared" ca="1" si="24"/>
        <v>0</v>
      </c>
      <c r="J10">
        <f t="shared" ca="1" si="24"/>
        <v>1</v>
      </c>
      <c r="K10">
        <f t="shared" ca="1" si="24"/>
        <v>14</v>
      </c>
      <c r="L10">
        <f t="shared" ca="1" si="24"/>
        <v>14</v>
      </c>
      <c r="M10">
        <f ca="1">H10*3+I10</f>
        <v>6</v>
      </c>
      <c r="N10">
        <f t="shared" ref="N10:S10" ca="1" si="25">SUM(N4:N9)</f>
        <v>3</v>
      </c>
      <c r="O10">
        <f t="shared" ca="1" si="25"/>
        <v>2</v>
      </c>
      <c r="P10">
        <f t="shared" ca="1" si="25"/>
        <v>1</v>
      </c>
      <c r="Q10">
        <f t="shared" ca="1" si="25"/>
        <v>0</v>
      </c>
      <c r="R10">
        <f t="shared" ca="1" si="25"/>
        <v>17</v>
      </c>
      <c r="S10">
        <f t="shared" ca="1" si="25"/>
        <v>12</v>
      </c>
      <c r="T10">
        <f ca="1">O10*3+P10</f>
        <v>7</v>
      </c>
      <c r="U10">
        <f t="shared" ref="U10:Z10" ca="1" si="26">SUM(U4:U9)</f>
        <v>3</v>
      </c>
      <c r="V10">
        <f t="shared" ca="1" si="26"/>
        <v>1</v>
      </c>
      <c r="W10">
        <f t="shared" ca="1" si="26"/>
        <v>1</v>
      </c>
      <c r="X10">
        <f t="shared" ca="1" si="26"/>
        <v>1</v>
      </c>
      <c r="Y10">
        <f t="shared" ca="1" si="26"/>
        <v>8</v>
      </c>
      <c r="Z10">
        <f t="shared" ca="1" si="26"/>
        <v>8</v>
      </c>
      <c r="AA10">
        <f ca="1">V10*3+W10</f>
        <v>4</v>
      </c>
      <c r="AB10">
        <f t="shared" ref="AB10:AG10" ca="1" si="27">SUM(AB4:AB9)</f>
        <v>3</v>
      </c>
      <c r="AC10">
        <f t="shared" ca="1" si="27"/>
        <v>0</v>
      </c>
      <c r="AD10">
        <f t="shared" ca="1" si="27"/>
        <v>0</v>
      </c>
      <c r="AE10">
        <f t="shared" ca="1" si="27"/>
        <v>3</v>
      </c>
      <c r="AF10">
        <f t="shared" ca="1" si="27"/>
        <v>4</v>
      </c>
      <c r="AG10">
        <f t="shared" ca="1" si="27"/>
        <v>9</v>
      </c>
      <c r="AH10">
        <f ca="1">AC10*3+AD10</f>
        <v>0</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Francia</v>
      </c>
      <c r="G16">
        <f t="shared" ref="G16:M16" ca="1" si="28">G10</f>
        <v>3</v>
      </c>
      <c r="H16">
        <f t="shared" ca="1" si="28"/>
        <v>2</v>
      </c>
      <c r="I16">
        <f t="shared" ca="1" si="28"/>
        <v>0</v>
      </c>
      <c r="J16">
        <f t="shared" ca="1" si="28"/>
        <v>1</v>
      </c>
      <c r="K16">
        <f t="shared" ca="1" si="28"/>
        <v>14</v>
      </c>
      <c r="L16">
        <f t="shared" ca="1" si="28"/>
        <v>14</v>
      </c>
      <c r="M16">
        <f t="shared" ca="1" si="28"/>
        <v>6</v>
      </c>
      <c r="O16" t="str">
        <f ca="1">IF($M16&gt;=$M17,$F16,$F17)</f>
        <v>Australia</v>
      </c>
      <c r="P16">
        <f ca="1">VLOOKUP(O16,$F$16:$M$25,8,FALSE)</f>
        <v>7</v>
      </c>
      <c r="S16" t="str">
        <f ca="1">IF($P16&gt;=$P18,$O16,$O18)</f>
        <v>Australia</v>
      </c>
      <c r="T16">
        <f ca="1">VLOOKUP(S16,$O$16:$P$25,2,FALSE)</f>
        <v>7</v>
      </c>
      <c r="W16" t="str">
        <f ca="1">IF($T16&gt;=$T19,$S16,$S19)</f>
        <v>Australia</v>
      </c>
      <c r="X16">
        <f ca="1">VLOOKUP(W16,$S$16:$T$25,2,FALSE)</f>
        <v>7</v>
      </c>
      <c r="AA16" t="str">
        <f ca="1">W16</f>
        <v>Australia</v>
      </c>
      <c r="AB16">
        <f ca="1">VLOOKUP(AA16,W16:X25,2,FALSE)</f>
        <v>7</v>
      </c>
      <c r="AE16" t="str">
        <f ca="1">AA16</f>
        <v>Australia</v>
      </c>
      <c r="AF16">
        <f ca="1">VLOOKUP(AE16,AA16:AB25,2,FALSE)</f>
        <v>7</v>
      </c>
      <c r="AI16" t="str">
        <f ca="1">AE16</f>
        <v>Australia</v>
      </c>
      <c r="AJ16">
        <f ca="1">VLOOKUP(AI16,AE16:AF25,2,FALSE)</f>
        <v>7</v>
      </c>
    </row>
    <row r="17" spans="6:37">
      <c r="F17" t="str">
        <f>N2</f>
        <v>Australia</v>
      </c>
      <c r="G17">
        <f t="shared" ref="G17:M17" ca="1" si="29">N10</f>
        <v>3</v>
      </c>
      <c r="H17">
        <f t="shared" ca="1" si="29"/>
        <v>2</v>
      </c>
      <c r="I17">
        <f t="shared" ca="1" si="29"/>
        <v>1</v>
      </c>
      <c r="J17">
        <f t="shared" ca="1" si="29"/>
        <v>0</v>
      </c>
      <c r="K17">
        <f t="shared" ca="1" si="29"/>
        <v>17</v>
      </c>
      <c r="L17">
        <f t="shared" ca="1" si="29"/>
        <v>12</v>
      </c>
      <c r="M17">
        <f t="shared" ca="1" si="29"/>
        <v>7</v>
      </c>
      <c r="O17" t="str">
        <f ca="1">IF($M17&lt;=$M16,$F17,$F16)</f>
        <v>Francia</v>
      </c>
      <c r="P17">
        <f ca="1">VLOOKUP(O17,$F$16:$M$25,8,FALSE)</f>
        <v>6</v>
      </c>
      <c r="S17" t="str">
        <f ca="1">O17</f>
        <v>Francia</v>
      </c>
      <c r="T17">
        <f ca="1">VLOOKUP(S17,$O$16:$P$25,2,FALSE)</f>
        <v>6</v>
      </c>
      <c r="W17" t="str">
        <f ca="1">S17</f>
        <v>Francia</v>
      </c>
      <c r="X17">
        <f ca="1">VLOOKUP(W17,$S$16:$T$25,2,FALSE)</f>
        <v>6</v>
      </c>
      <c r="AA17" t="str">
        <f ca="1">IF(X17&gt;=X18,W17,W18)</f>
        <v>Francia</v>
      </c>
      <c r="AB17">
        <f ca="1">VLOOKUP(AA17,W16:X25,2,FALSE)</f>
        <v>6</v>
      </c>
      <c r="AE17" t="str">
        <f ca="1">IF(AB17&gt;=AB19,AA17,AA19)</f>
        <v>Francia</v>
      </c>
      <c r="AF17">
        <f ca="1">VLOOKUP(AE17,AA16:AB25,2,FALSE)</f>
        <v>6</v>
      </c>
      <c r="AI17" t="str">
        <f ca="1">AE17</f>
        <v>Francia</v>
      </c>
      <c r="AJ17">
        <f ca="1">VLOOKUP(AI17,AE16:AF25,2,FALSE)</f>
        <v>6</v>
      </c>
    </row>
    <row r="18" spans="6:37">
      <c r="F18" t="str">
        <f>U2</f>
        <v>Dinamarca</v>
      </c>
      <c r="G18">
        <f t="shared" ref="G18:M18" ca="1" si="30">U10</f>
        <v>3</v>
      </c>
      <c r="H18">
        <f t="shared" ca="1" si="30"/>
        <v>1</v>
      </c>
      <c r="I18">
        <f t="shared" ca="1" si="30"/>
        <v>1</v>
      </c>
      <c r="J18">
        <f t="shared" ca="1" si="30"/>
        <v>1</v>
      </c>
      <c r="K18">
        <f t="shared" ca="1" si="30"/>
        <v>8</v>
      </c>
      <c r="L18">
        <f t="shared" ca="1" si="30"/>
        <v>8</v>
      </c>
      <c r="M18">
        <f t="shared" ca="1" si="30"/>
        <v>4</v>
      </c>
      <c r="O18" t="str">
        <f>F18</f>
        <v>Dinamarca</v>
      </c>
      <c r="P18">
        <f ca="1">VLOOKUP(O18,$F$16:$M$25,8,FALSE)</f>
        <v>4</v>
      </c>
      <c r="S18" t="str">
        <f ca="1">IF($P18&lt;=$P16,$O18,$O16)</f>
        <v>Dinamarca</v>
      </c>
      <c r="T18">
        <f ca="1">VLOOKUP(S18,$O$16:$P$25,2,FALSE)</f>
        <v>4</v>
      </c>
      <c r="W18" t="str">
        <f ca="1">S18</f>
        <v>Dinamarca</v>
      </c>
      <c r="X18">
        <f ca="1">VLOOKUP(W18,$S$16:$T$25,2,FALSE)</f>
        <v>4</v>
      </c>
      <c r="AA18" t="str">
        <f ca="1">IF(X18&lt;=X17,W18,W17)</f>
        <v>Dinamarca</v>
      </c>
      <c r="AB18">
        <f ca="1">VLOOKUP(AA18,W16:X25,2,FALSE)</f>
        <v>4</v>
      </c>
      <c r="AE18" t="str">
        <f ca="1">AA18</f>
        <v>Dinamarca</v>
      </c>
      <c r="AF18">
        <f ca="1">VLOOKUP(AE18,AA16:AB25,2,FALSE)</f>
        <v>4</v>
      </c>
      <c r="AI18" t="str">
        <f ca="1">IF(AF18&gt;=AF19,AE18,AE19)</f>
        <v>Dinamarca</v>
      </c>
      <c r="AJ18">
        <f ca="1">VLOOKUP(AI18,AE16:AF25,2,FALSE)</f>
        <v>4</v>
      </c>
    </row>
    <row r="19" spans="6:37">
      <c r="F19" t="str">
        <f>AB2</f>
        <v>Tunez</v>
      </c>
      <c r="G19">
        <f t="shared" ref="G19:M19" ca="1" si="31">AB10</f>
        <v>3</v>
      </c>
      <c r="H19">
        <f t="shared" ca="1" si="31"/>
        <v>0</v>
      </c>
      <c r="I19">
        <f t="shared" ca="1" si="31"/>
        <v>0</v>
      </c>
      <c r="J19">
        <f t="shared" ca="1" si="31"/>
        <v>3</v>
      </c>
      <c r="K19">
        <f t="shared" ca="1" si="31"/>
        <v>4</v>
      </c>
      <c r="L19">
        <f t="shared" ca="1" si="31"/>
        <v>9</v>
      </c>
      <c r="M19">
        <f t="shared" ca="1" si="31"/>
        <v>0</v>
      </c>
      <c r="O19" t="str">
        <f>F19</f>
        <v>Tunez</v>
      </c>
      <c r="P19">
        <f ca="1">VLOOKUP(O19,$F$16:$M$25,8,FALSE)</f>
        <v>0</v>
      </c>
      <c r="S19" t="str">
        <f>O19</f>
        <v>Tunez</v>
      </c>
      <c r="T19">
        <f ca="1">VLOOKUP(S19,$O$16:$P$25,2,FALSE)</f>
        <v>0</v>
      </c>
      <c r="W19" t="str">
        <f ca="1">IF($T19&lt;=$T16,$S19,$S16)</f>
        <v>Tunez</v>
      </c>
      <c r="X19">
        <f ca="1">VLOOKUP(W19,$S$16:$T$25,2,FALSE)</f>
        <v>0</v>
      </c>
      <c r="AA19" t="str">
        <f ca="1">W19</f>
        <v>Tunez</v>
      </c>
      <c r="AB19">
        <f ca="1">VLOOKUP(AA19,W16:X25,2,FALSE)</f>
        <v>0</v>
      </c>
      <c r="AE19" t="str">
        <f ca="1">IF(AB19&lt;=AB17,AA19,AA17)</f>
        <v>Tunez</v>
      </c>
      <c r="AF19">
        <f ca="1">VLOOKUP(AE19,AA16:AB25,2,FALSE)</f>
        <v>0</v>
      </c>
      <c r="AI19" t="str">
        <f ca="1">IF(AF19&lt;=AF18,AE19,AE18)</f>
        <v>Tunez</v>
      </c>
      <c r="AJ19">
        <f ca="1">VLOOKUP(AI19,AE16:AF25,2,FALSE)</f>
        <v>0</v>
      </c>
    </row>
    <row r="28" spans="6:37">
      <c r="F28" t="str">
        <f ca="1">AI16</f>
        <v>Australia</v>
      </c>
      <c r="J28">
        <f ca="1">AJ16</f>
        <v>7</v>
      </c>
      <c r="K28">
        <f ca="1">VLOOKUP(AI16,$F$16:$M$25,6,FALSE)</f>
        <v>17</v>
      </c>
      <c r="L28">
        <f ca="1">VLOOKUP(AI16,$F$16:$M$25,7,FALSE)</f>
        <v>12</v>
      </c>
      <c r="M28">
        <f ca="1">K28-L28</f>
        <v>5</v>
      </c>
      <c r="O28" t="str">
        <f ca="1">IF(AND($J28=$J29,$M29&gt;$M28),$F29,$F28)</f>
        <v>Australia</v>
      </c>
      <c r="P28">
        <f ca="1">VLOOKUP(O28,$F$28:$M$37,5,FALSE)</f>
        <v>7</v>
      </c>
      <c r="Q28">
        <f ca="1">VLOOKUP(O28,$F$28:$M$37,8,FALSE)</f>
        <v>5</v>
      </c>
      <c r="S28" t="str">
        <f ca="1">IF(AND(P28=P30,Q30&gt;Q28),O30,O28)</f>
        <v>Australia</v>
      </c>
      <c r="T28">
        <f ca="1">VLOOKUP(S28,$O$28:$Q$37,2,FALSE)</f>
        <v>7</v>
      </c>
      <c r="U28">
        <f ca="1">VLOOKUP(S28,$O$28:$Q$37,3,FALSE)</f>
        <v>5</v>
      </c>
      <c r="W28" t="str">
        <f ca="1">IF(AND(T28=T31,U31&gt;U28),S31,S28)</f>
        <v>Australia</v>
      </c>
      <c r="X28">
        <f ca="1">VLOOKUP(W28,$S$28:$U$37,2,FALSE)</f>
        <v>7</v>
      </c>
      <c r="Y28">
        <f ca="1">VLOOKUP(W28,$S$28:$U$37,3,FALSE)</f>
        <v>5</v>
      </c>
      <c r="AA28" t="str">
        <f ca="1">W28</f>
        <v>Australia</v>
      </c>
      <c r="AB28">
        <f ca="1">VLOOKUP(AA28,W28:Y37,2,FALSE)</f>
        <v>7</v>
      </c>
      <c r="AC28">
        <f ca="1">VLOOKUP(AA28,W28:Y37,3,FALSE)</f>
        <v>5</v>
      </c>
      <c r="AE28" t="str">
        <f ca="1">AA28</f>
        <v>Australia</v>
      </c>
      <c r="AF28">
        <f ca="1">VLOOKUP(AE28,AA28:AC37,2,FALSE)</f>
        <v>7</v>
      </c>
      <c r="AG28">
        <f ca="1">VLOOKUP(AE28,AA28:AC37,3,FALSE)</f>
        <v>5</v>
      </c>
      <c r="AI28" t="str">
        <f ca="1">AE28</f>
        <v>Australia</v>
      </c>
      <c r="AJ28">
        <f ca="1">VLOOKUP(AI28,AE28:AG37,2,FALSE)</f>
        <v>7</v>
      </c>
      <c r="AK28">
        <f ca="1">VLOOKUP(AI28,AE28:AG37,3,FALSE)</f>
        <v>5</v>
      </c>
    </row>
    <row r="29" spans="6:37">
      <c r="F29" t="str">
        <f ca="1">AI17</f>
        <v>Francia</v>
      </c>
      <c r="J29">
        <f ca="1">AJ17</f>
        <v>6</v>
      </c>
      <c r="K29">
        <f ca="1">VLOOKUP(AI17,$F$16:$M$25,6,FALSE)</f>
        <v>14</v>
      </c>
      <c r="L29">
        <f ca="1">VLOOKUP(AI17,$F$16:$M$25,7,FALSE)</f>
        <v>14</v>
      </c>
      <c r="M29">
        <f ca="1">K29-L29</f>
        <v>0</v>
      </c>
      <c r="O29" t="str">
        <f ca="1">IF(AND($J28=$J29,$M29&gt;$M28),$F28,$F29)</f>
        <v>Francia</v>
      </c>
      <c r="P29">
        <f ca="1">VLOOKUP(O29,$F$28:$M$37,5,FALSE)</f>
        <v>6</v>
      </c>
      <c r="Q29">
        <f ca="1">VLOOKUP(O29,$F$28:$M$37,8,FALSE)</f>
        <v>0</v>
      </c>
      <c r="S29" t="str">
        <f ca="1">O29</f>
        <v>Francia</v>
      </c>
      <c r="T29">
        <f ca="1">VLOOKUP(S29,$O$28:$Q$37,2,FALSE)</f>
        <v>6</v>
      </c>
      <c r="U29">
        <f ca="1">VLOOKUP(S29,$O$28:$Q$37,3,FALSE)</f>
        <v>0</v>
      </c>
      <c r="W29" t="str">
        <f ca="1">S29</f>
        <v>Francia</v>
      </c>
      <c r="X29">
        <f ca="1">VLOOKUP(W29,$S$28:$U$37,2,FALSE)</f>
        <v>6</v>
      </c>
      <c r="Y29">
        <f ca="1">VLOOKUP(W29,$S$28:$U$37,3,FALSE)</f>
        <v>0</v>
      </c>
      <c r="AA29" t="str">
        <f ca="1">IF(AND(X29=X30,Y30&gt;Y29),W30,W29)</f>
        <v>Francia</v>
      </c>
      <c r="AB29">
        <f ca="1">VLOOKUP(AA29,W28:Y37,2,FALSE)</f>
        <v>6</v>
      </c>
      <c r="AC29">
        <f ca="1">VLOOKUP(AA29,W28:Y37,3,FALSE)</f>
        <v>0</v>
      </c>
      <c r="AE29" t="str">
        <f ca="1">IF(AND(AB29=AB31,AC31&gt;AC29),AA31,AA29)</f>
        <v>Francia</v>
      </c>
      <c r="AF29">
        <f ca="1">VLOOKUP(AE29,AA28:AC37,2,FALSE)</f>
        <v>6</v>
      </c>
      <c r="AG29">
        <f ca="1">VLOOKUP(AE29,AA28:AC37,3,FALSE)</f>
        <v>0</v>
      </c>
      <c r="AI29" t="str">
        <f ca="1">AE29</f>
        <v>Francia</v>
      </c>
      <c r="AJ29">
        <f ca="1">VLOOKUP(AI29,AE28:AG37,2,FALSE)</f>
        <v>6</v>
      </c>
      <c r="AK29">
        <f ca="1">VLOOKUP(AI29,AE28:AG37,3,FALSE)</f>
        <v>0</v>
      </c>
    </row>
    <row r="30" spans="6:37">
      <c r="F30" t="str">
        <f ca="1">AI18</f>
        <v>Dinamarca</v>
      </c>
      <c r="J30">
        <f ca="1">AJ18</f>
        <v>4</v>
      </c>
      <c r="K30">
        <f ca="1">VLOOKUP(AI18,$F$16:$M$25,6,FALSE)</f>
        <v>8</v>
      </c>
      <c r="L30">
        <f ca="1">VLOOKUP(AI18,$F$16:$M$25,7,FALSE)</f>
        <v>8</v>
      </c>
      <c r="M30">
        <f ca="1">K30-L30</f>
        <v>0</v>
      </c>
      <c r="O30" t="str">
        <f ca="1">F30</f>
        <v>Dinamarca</v>
      </c>
      <c r="P30">
        <f ca="1">VLOOKUP(O30,$F$28:$M$37,5,FALSE)</f>
        <v>4</v>
      </c>
      <c r="Q30">
        <f ca="1">VLOOKUP(O30,$F$28:$M$37,8,FALSE)</f>
        <v>0</v>
      </c>
      <c r="S30" t="str">
        <f ca="1">IF(AND($P28=P30,Q30&gt;Q28),O28,O30)</f>
        <v>Dinamarca</v>
      </c>
      <c r="T30">
        <f ca="1">VLOOKUP(S30,$O$28:$Q$37,2,FALSE)</f>
        <v>4</v>
      </c>
      <c r="U30">
        <f ca="1">VLOOKUP(S30,$O$28:$Q$37,3,FALSE)</f>
        <v>0</v>
      </c>
      <c r="W30" t="str">
        <f ca="1">S30</f>
        <v>Dinamarca</v>
      </c>
      <c r="X30">
        <f ca="1">VLOOKUP(W30,$S$28:$U$37,2,FALSE)</f>
        <v>4</v>
      </c>
      <c r="Y30">
        <f ca="1">VLOOKUP(W30,$S$28:$U$37,3,FALSE)</f>
        <v>0</v>
      </c>
      <c r="AA30" t="str">
        <f ca="1">IF(AND(X29=X30,Y30&gt;Y29),W29,W30)</f>
        <v>Dinamarca</v>
      </c>
      <c r="AB30">
        <f ca="1">VLOOKUP(AA30,W28:Y37,2,FALSE)</f>
        <v>4</v>
      </c>
      <c r="AC30">
        <f ca="1">VLOOKUP(AA30,W28:Y37,3,FALSE)</f>
        <v>0</v>
      </c>
      <c r="AE30" t="str">
        <f ca="1">AA30</f>
        <v>Dinamarca</v>
      </c>
      <c r="AF30">
        <f ca="1">VLOOKUP(AE30,AA28:AC37,2,FALSE)</f>
        <v>4</v>
      </c>
      <c r="AG30">
        <f ca="1">VLOOKUP(AE30,AA28:AC37,3,FALSE)</f>
        <v>0</v>
      </c>
      <c r="AI30" t="str">
        <f ca="1">IF(AND(AF30=AF31,AG31&gt;AG30),AE31,AE30)</f>
        <v>Dinamarca</v>
      </c>
      <c r="AJ30">
        <f ca="1">VLOOKUP(AI30,AE28:AG37,2,FALSE)</f>
        <v>4</v>
      </c>
      <c r="AK30">
        <f ca="1">VLOOKUP(AI30,AE28:AG37,3,FALSE)</f>
        <v>0</v>
      </c>
    </row>
    <row r="31" spans="6:37">
      <c r="F31" t="str">
        <f ca="1">AI19</f>
        <v>Tunez</v>
      </c>
      <c r="J31">
        <f ca="1">AJ19</f>
        <v>0</v>
      </c>
      <c r="K31">
        <f ca="1">VLOOKUP(AI19,$F$16:$M$25,6,FALSE)</f>
        <v>4</v>
      </c>
      <c r="L31">
        <f ca="1">VLOOKUP(AI19,$F$16:$M$25,7,FALSE)</f>
        <v>9</v>
      </c>
      <c r="M31">
        <f ca="1">K31-L31</f>
        <v>-5</v>
      </c>
      <c r="O31" t="str">
        <f ca="1">F31</f>
        <v>Tunez</v>
      </c>
      <c r="P31">
        <f ca="1">VLOOKUP(O31,$F$28:$M$37,5,FALSE)</f>
        <v>0</v>
      </c>
      <c r="Q31">
        <f ca="1">VLOOKUP(O31,$F$28:$M$37,8,FALSE)</f>
        <v>-5</v>
      </c>
      <c r="S31" t="str">
        <f ca="1">O31</f>
        <v>Tunez</v>
      </c>
      <c r="T31">
        <f ca="1">VLOOKUP(S31,$O$28:$Q$37,2,FALSE)</f>
        <v>0</v>
      </c>
      <c r="U31">
        <f ca="1">VLOOKUP(S31,$O$28:$Q$37,3,FALSE)</f>
        <v>-5</v>
      </c>
      <c r="W31" t="str">
        <f ca="1">IF(AND(T28=T31,U31&gt;U28),S28,S31)</f>
        <v>Tunez</v>
      </c>
      <c r="X31">
        <f ca="1">VLOOKUP(W31,$S$28:$U$37,2,FALSE)</f>
        <v>0</v>
      </c>
      <c r="Y31">
        <f ca="1">VLOOKUP(W31,$S$28:$U$37,3,FALSE)</f>
        <v>-5</v>
      </c>
      <c r="AA31" t="str">
        <f ca="1">W31</f>
        <v>Tunez</v>
      </c>
      <c r="AB31">
        <f ca="1">VLOOKUP(AA31,W28:Y37,2,FALSE)</f>
        <v>0</v>
      </c>
      <c r="AC31">
        <f ca="1">VLOOKUP(AA31,W28:Y37,3,FALSE)</f>
        <v>-5</v>
      </c>
      <c r="AE31" t="str">
        <f ca="1">IF(AND(AB29=AB31,AC31&gt;AC29),AA29,AA31)</f>
        <v>Tunez</v>
      </c>
      <c r="AF31">
        <f ca="1">VLOOKUP(AE31,AA28:AC37,2,FALSE)</f>
        <v>0</v>
      </c>
      <c r="AG31">
        <f ca="1">VLOOKUP(AE31,AA28:AC37,3,FALSE)</f>
        <v>-5</v>
      </c>
      <c r="AI31" t="str">
        <f ca="1">IF(AND(AF30=AF31,AG31&gt;AG30),AE30,AE31)</f>
        <v>Tunez</v>
      </c>
      <c r="AJ31">
        <f ca="1">VLOOKUP(AI31,AE28:AG37,2,FALSE)</f>
        <v>0</v>
      </c>
      <c r="AK31">
        <f ca="1">VLOOKUP(AI31,AE28:AG37,3,FALSE)</f>
        <v>-5</v>
      </c>
    </row>
    <row r="40" spans="6:38">
      <c r="F40" t="str">
        <f ca="1">AI28</f>
        <v>Australia</v>
      </c>
      <c r="J40">
        <f ca="1">VLOOKUP(F40,$F$16:$M$25,8,FALSE)</f>
        <v>7</v>
      </c>
      <c r="K40">
        <f ca="1">VLOOKUP(F40,$F$16:$M$25,6,FALSE)</f>
        <v>17</v>
      </c>
      <c r="L40">
        <f ca="1">VLOOKUP(F40,$F$16:$M$25,7,FALSE)</f>
        <v>12</v>
      </c>
      <c r="M40">
        <f ca="1">K40-L40</f>
        <v>5</v>
      </c>
      <c r="O40" t="str">
        <f ca="1">IF(AND(J40=J41,M40=M41,K41&gt;K40),F41,F40)</f>
        <v>Australia</v>
      </c>
      <c r="P40">
        <f ca="1">VLOOKUP(O40,$F$40:$M$49,5,FALSE)</f>
        <v>7</v>
      </c>
      <c r="Q40">
        <f ca="1">VLOOKUP(O40,$F$40:$M$49,8,FALSE)</f>
        <v>5</v>
      </c>
      <c r="R40">
        <f ca="1">VLOOKUP(O40,$F$40:$M$49,6,FALSE)</f>
        <v>17</v>
      </c>
      <c r="S40" t="str">
        <f ca="1">IF(AND(P40=P42,Q40=Q42,R42&gt;R40),O42,O40)</f>
        <v>Australia</v>
      </c>
      <c r="T40">
        <f ca="1">VLOOKUP(S40,$O$40:$R$49,2,FALSE)</f>
        <v>7</v>
      </c>
      <c r="U40">
        <f ca="1">VLOOKUP(S40,$O$40:$R$49,3,FALSE)</f>
        <v>5</v>
      </c>
      <c r="V40">
        <f ca="1">VLOOKUP(S40,$O$40:$R$49,4,FALSE)</f>
        <v>17</v>
      </c>
      <c r="W40" t="str">
        <f ca="1">IF(AND(T40=T43,U40=U43,V43&gt;V40),S43,S40)</f>
        <v>Australia</v>
      </c>
      <c r="X40">
        <f ca="1">VLOOKUP(W40,$S$40:$V$49,2,FALSE)</f>
        <v>7</v>
      </c>
      <c r="Y40">
        <f ca="1">VLOOKUP(W40,$S$40:$V$49,3,FALSE)</f>
        <v>5</v>
      </c>
      <c r="Z40">
        <f ca="1">VLOOKUP(W40,$S$40:$V$49,4,FALSE)</f>
        <v>17</v>
      </c>
      <c r="AA40" t="str">
        <f ca="1">W40</f>
        <v>Australia</v>
      </c>
      <c r="AB40">
        <f ca="1">VLOOKUP(AA40,W40:Z49,2,FALSE)</f>
        <v>7</v>
      </c>
      <c r="AC40">
        <f ca="1">VLOOKUP(AA40,W40:Z49,3,FALSE)</f>
        <v>5</v>
      </c>
      <c r="AD40">
        <f ca="1">VLOOKUP(AA40,W40:Z49,4,FALSE)</f>
        <v>17</v>
      </c>
      <c r="AE40" t="str">
        <f ca="1">AA40</f>
        <v>Australia</v>
      </c>
      <c r="AF40">
        <f ca="1">VLOOKUP(AE40,AA40:AD49,2,FALSE)</f>
        <v>7</v>
      </c>
      <c r="AG40">
        <f ca="1">VLOOKUP(AE40,AA40:AD49,3,FALSE)</f>
        <v>5</v>
      </c>
      <c r="AH40">
        <f ca="1">VLOOKUP(AE40,AA40:AD49,4,FALSE)</f>
        <v>17</v>
      </c>
      <c r="AI40" t="str">
        <f ca="1">AE40</f>
        <v>Australia</v>
      </c>
      <c r="AJ40">
        <f ca="1">VLOOKUP(AI40,AE40:AH49,2,FALSE)</f>
        <v>7</v>
      </c>
      <c r="AK40">
        <f ca="1">VLOOKUP(AI40,AE40:AH49,3,FALSE)</f>
        <v>5</v>
      </c>
      <c r="AL40">
        <f ca="1">VLOOKUP(AI40,AE40:AH49,4,FALSE)</f>
        <v>17</v>
      </c>
    </row>
    <row r="41" spans="6:38">
      <c r="F41" t="str">
        <f ca="1">AI29</f>
        <v>Francia</v>
      </c>
      <c r="J41">
        <f ca="1">VLOOKUP(F41,$F$16:$M$25,8,FALSE)</f>
        <v>6</v>
      </c>
      <c r="K41">
        <f ca="1">VLOOKUP(F41,$F$16:$M$25,6,FALSE)</f>
        <v>14</v>
      </c>
      <c r="L41">
        <f ca="1">VLOOKUP(F41,$F$16:$M$25,7,FALSE)</f>
        <v>14</v>
      </c>
      <c r="M41">
        <f ca="1">K41-L41</f>
        <v>0</v>
      </c>
      <c r="O41" t="str">
        <f ca="1">IF(AND(J40=J41,M40=M41,K41&gt;K40),F40,F41)</f>
        <v>Francia</v>
      </c>
      <c r="P41">
        <f ca="1">VLOOKUP(O41,$F$40:$M$49,5,FALSE)</f>
        <v>6</v>
      </c>
      <c r="Q41">
        <f ca="1">VLOOKUP(O41,$F$40:$M$49,8,FALSE)</f>
        <v>0</v>
      </c>
      <c r="R41">
        <f ca="1">VLOOKUP(O41,$F$40:$M$49,6,FALSE)</f>
        <v>14</v>
      </c>
      <c r="S41" t="str">
        <f ca="1">O41</f>
        <v>Francia</v>
      </c>
      <c r="T41">
        <f ca="1">VLOOKUP(S41,$O$40:$R$49,2,FALSE)</f>
        <v>6</v>
      </c>
      <c r="U41">
        <f ca="1">VLOOKUP(S41,$O$40:$R$49,3,FALSE)</f>
        <v>0</v>
      </c>
      <c r="V41">
        <f ca="1">VLOOKUP(S41,$O$40:$R$49,4,FALSE)</f>
        <v>14</v>
      </c>
      <c r="W41" t="str">
        <f ca="1">S41</f>
        <v>Francia</v>
      </c>
      <c r="X41">
        <f ca="1">VLOOKUP(W41,$S$40:$V$49,2,FALSE)</f>
        <v>6</v>
      </c>
      <c r="Y41">
        <f ca="1">VLOOKUP(W41,$S$40:$V$49,3,FALSE)</f>
        <v>0</v>
      </c>
      <c r="Z41">
        <f ca="1">VLOOKUP(W41,$S$40:$V$49,4,FALSE)</f>
        <v>14</v>
      </c>
      <c r="AA41" t="str">
        <f ca="1">IF(AND(X41=X42,Y41=Y42,Z42&gt;Z41),W42,W41)</f>
        <v>Francia</v>
      </c>
      <c r="AB41">
        <f ca="1">VLOOKUP(AA41,W40:Z49,2,FALSE)</f>
        <v>6</v>
      </c>
      <c r="AC41">
        <f ca="1">VLOOKUP(AA41,W40:Z49,3,FALSE)</f>
        <v>0</v>
      </c>
      <c r="AD41">
        <f ca="1">VLOOKUP(AA41,W40:Z49,4,FALSE)</f>
        <v>14</v>
      </c>
      <c r="AE41" t="str">
        <f ca="1">IF(AND(AB41=AB43,AC41=AC43,AD43&gt;AD41),AA43,AA41)</f>
        <v>Francia</v>
      </c>
      <c r="AF41">
        <f ca="1">VLOOKUP(AE41,AA40:AD49,2,FALSE)</f>
        <v>6</v>
      </c>
      <c r="AG41">
        <f ca="1">VLOOKUP(AE41,AA40:AD49,3,FALSE)</f>
        <v>0</v>
      </c>
      <c r="AH41">
        <f ca="1">VLOOKUP(AE41,AA40:AD49,4,FALSE)</f>
        <v>14</v>
      </c>
      <c r="AI41" t="str">
        <f ca="1">AE41</f>
        <v>Francia</v>
      </c>
      <c r="AJ41">
        <f ca="1">VLOOKUP(AI41,AE40:AH49,2,FALSE)</f>
        <v>6</v>
      </c>
      <c r="AK41">
        <f ca="1">VLOOKUP(AI41,AE40:AH49,3,FALSE)</f>
        <v>0</v>
      </c>
      <c r="AL41">
        <f ca="1">VLOOKUP(AI41,AE40:AH49,4,FALSE)</f>
        <v>14</v>
      </c>
    </row>
    <row r="42" spans="6:38">
      <c r="F42" t="str">
        <f ca="1">AI30</f>
        <v>Dinamarca</v>
      </c>
      <c r="J42">
        <f ca="1">VLOOKUP(F42,$F$16:$M$25,8,FALSE)</f>
        <v>4</v>
      </c>
      <c r="K42">
        <f ca="1">VLOOKUP(F42,$F$16:$M$25,6,FALSE)</f>
        <v>8</v>
      </c>
      <c r="L42">
        <f ca="1">VLOOKUP(F42,$F$16:$M$25,7,FALSE)</f>
        <v>8</v>
      </c>
      <c r="M42">
        <f ca="1">K42-L42</f>
        <v>0</v>
      </c>
      <c r="O42" t="str">
        <f ca="1">F42</f>
        <v>Dinamarca</v>
      </c>
      <c r="P42">
        <f ca="1">VLOOKUP(O42,$F$40:$M$49,5,FALSE)</f>
        <v>4</v>
      </c>
      <c r="Q42">
        <f ca="1">VLOOKUP(O42,$F$40:$M$49,8,FALSE)</f>
        <v>0</v>
      </c>
      <c r="R42">
        <f ca="1">VLOOKUP(O42,$F$40:$M$49,6,FALSE)</f>
        <v>8</v>
      </c>
      <c r="S42" t="str">
        <f ca="1">IF(AND(P40=P42,Q40=Q42,R42&gt;R40),O40,O42)</f>
        <v>Dinamarca</v>
      </c>
      <c r="T42">
        <f ca="1">VLOOKUP(S42,$O$40:$R$49,2,FALSE)</f>
        <v>4</v>
      </c>
      <c r="U42">
        <f ca="1">VLOOKUP(S42,$O$40:$R$49,3,FALSE)</f>
        <v>0</v>
      </c>
      <c r="V42">
        <f ca="1">VLOOKUP(S42,$O$40:$R$49,4,FALSE)</f>
        <v>8</v>
      </c>
      <c r="W42" t="str">
        <f ca="1">S42</f>
        <v>Dinamarca</v>
      </c>
      <c r="X42">
        <f ca="1">VLOOKUP(W42,$S$40:$V$49,2,FALSE)</f>
        <v>4</v>
      </c>
      <c r="Y42">
        <f ca="1">VLOOKUP(W42,$S$40:$V$49,3,FALSE)</f>
        <v>0</v>
      </c>
      <c r="Z42">
        <f ca="1">VLOOKUP(W42,$S$40:$V$49,4,FALSE)</f>
        <v>8</v>
      </c>
      <c r="AA42" t="str">
        <f ca="1">IF(AND(X41=X42,Y41=Y42,Z42&gt;Z41),W41,W42)</f>
        <v>Dinamarca</v>
      </c>
      <c r="AB42">
        <f ca="1">VLOOKUP(AA42,W40:Z49,2,FALSE)</f>
        <v>4</v>
      </c>
      <c r="AC42">
        <f ca="1">VLOOKUP(AA42,W40:Z49,3,FALSE)</f>
        <v>0</v>
      </c>
      <c r="AD42">
        <f ca="1">VLOOKUP(AA42,W40:Z49,4,FALSE)</f>
        <v>8</v>
      </c>
      <c r="AE42" t="str">
        <f ca="1">AA42</f>
        <v>Dinamarca</v>
      </c>
      <c r="AF42">
        <f ca="1">VLOOKUP(AE42,AA40:AD49,2,FALSE)</f>
        <v>4</v>
      </c>
      <c r="AG42">
        <f ca="1">VLOOKUP(AE42,AA40:AD49,3,FALSE)</f>
        <v>0</v>
      </c>
      <c r="AH42">
        <f ca="1">VLOOKUP(AE42,AA40:AD49,4,FALSE)</f>
        <v>8</v>
      </c>
      <c r="AI42" t="str">
        <f ca="1">IF(AND(AF42=AF43,AG42=AG43,AH43&gt;AH42),AE43,AE42)</f>
        <v>Dinamarca</v>
      </c>
      <c r="AJ42">
        <f ca="1">VLOOKUP(AI42,AE40:AH49,2,FALSE)</f>
        <v>4</v>
      </c>
      <c r="AK42">
        <f ca="1">VLOOKUP(AI42,AE40:AH49,3,FALSE)</f>
        <v>0</v>
      </c>
      <c r="AL42">
        <f ca="1">VLOOKUP(AI42,AE40:AH49,4,FALSE)</f>
        <v>8</v>
      </c>
    </row>
    <row r="43" spans="6:38">
      <c r="F43" t="str">
        <f ca="1">AI31</f>
        <v>Tunez</v>
      </c>
      <c r="J43">
        <f ca="1">VLOOKUP(F43,$F$16:$M$25,8,FALSE)</f>
        <v>0</v>
      </c>
      <c r="K43">
        <f ca="1">VLOOKUP(F43,$F$16:$M$25,6,FALSE)</f>
        <v>4</v>
      </c>
      <c r="L43">
        <f ca="1">VLOOKUP(F43,$F$16:$M$25,7,FALSE)</f>
        <v>9</v>
      </c>
      <c r="M43">
        <f ca="1">K43-L43</f>
        <v>-5</v>
      </c>
      <c r="O43" t="str">
        <f ca="1">F43</f>
        <v>Tunez</v>
      </c>
      <c r="P43">
        <f ca="1">VLOOKUP(O43,$F$40:$M$49,5,FALSE)</f>
        <v>0</v>
      </c>
      <c r="Q43">
        <f ca="1">VLOOKUP(O43,$F$40:$M$49,8,FALSE)</f>
        <v>-5</v>
      </c>
      <c r="R43">
        <f ca="1">VLOOKUP(O43,$F$40:$M$49,6,FALSE)</f>
        <v>4</v>
      </c>
      <c r="S43" t="str">
        <f ca="1">O43</f>
        <v>Tunez</v>
      </c>
      <c r="T43">
        <f ca="1">VLOOKUP(S43,$O$40:$R$49,2,FALSE)</f>
        <v>0</v>
      </c>
      <c r="U43">
        <f ca="1">VLOOKUP(S43,$O$40:$R$49,3,FALSE)</f>
        <v>-5</v>
      </c>
      <c r="V43">
        <f ca="1">VLOOKUP(S43,$O$40:$R$49,4,FALSE)</f>
        <v>4</v>
      </c>
      <c r="W43" t="str">
        <f ca="1">IF(AND(T40=T43,U40=U43,V43&gt;V40),S40,S43)</f>
        <v>Tunez</v>
      </c>
      <c r="X43">
        <f ca="1">VLOOKUP(W43,$S$40:$V$49,2,FALSE)</f>
        <v>0</v>
      </c>
      <c r="Y43">
        <f ca="1">VLOOKUP(W43,$S$40:$V$49,3,FALSE)</f>
        <v>-5</v>
      </c>
      <c r="Z43">
        <f ca="1">VLOOKUP(W43,$S$40:$V$49,4,FALSE)</f>
        <v>4</v>
      </c>
      <c r="AA43" t="str">
        <f ca="1">W43</f>
        <v>Tunez</v>
      </c>
      <c r="AB43">
        <f ca="1">VLOOKUP(AA43,W40:Z49,2,FALSE)</f>
        <v>0</v>
      </c>
      <c r="AC43">
        <f ca="1">VLOOKUP(AA43,W40:Z49,3,FALSE)</f>
        <v>-5</v>
      </c>
      <c r="AD43">
        <f ca="1">VLOOKUP(AA43,W40:Z49,4,FALSE)</f>
        <v>4</v>
      </c>
      <c r="AE43" t="str">
        <f ca="1">IF(AND(AB41=AB43,AC41=AC43,AD43&gt;AD41),AA41,AA43)</f>
        <v>Tunez</v>
      </c>
      <c r="AF43">
        <f ca="1">VLOOKUP(AE43,AA40:AD49,2,FALSE)</f>
        <v>0</v>
      </c>
      <c r="AG43">
        <f ca="1">VLOOKUP(AE43,AA40:AD49,3,FALSE)</f>
        <v>-5</v>
      </c>
      <c r="AH43">
        <f ca="1">VLOOKUP(AE43,AA40:AD49,4,FALSE)</f>
        <v>4</v>
      </c>
      <c r="AI43" t="str">
        <f ca="1">IF(AND(AF42=AF43,AG42=AG43,AH43&gt;AH42),AE42,AE43)</f>
        <v>Tunez</v>
      </c>
      <c r="AJ43">
        <f ca="1">VLOOKUP(AI43,AE40:AH49,2,FALSE)</f>
        <v>0</v>
      </c>
      <c r="AK43">
        <f ca="1">VLOOKUP(AI43,AE40:AH49,3,FALSE)</f>
        <v>-5</v>
      </c>
      <c r="AL43">
        <f ca="1">VLOOKUP(AI43,AE40:AH49,4,FALSE)</f>
        <v>4</v>
      </c>
    </row>
    <row r="51" spans="6:13">
      <c r="F51" t="s">
        <v>334</v>
      </c>
    </row>
    <row r="52" spans="6:13">
      <c r="F52" t="str">
        <f ca="1">AI40</f>
        <v>Australia</v>
      </c>
      <c r="G52">
        <f ca="1">VLOOKUP(F52,$F$16:$M$25,2,FALSE)</f>
        <v>3</v>
      </c>
      <c r="H52">
        <f ca="1">VLOOKUP(F52,$F$16:$M$25,3,FALSE)</f>
        <v>2</v>
      </c>
      <c r="I52">
        <f ca="1">VLOOKUP(F52,$F$16:$M$25,4,FALSE)</f>
        <v>1</v>
      </c>
      <c r="J52">
        <f ca="1">VLOOKUP(F52,$F$16:$M$25,5,FALSE)</f>
        <v>0</v>
      </c>
      <c r="K52">
        <f ca="1">VLOOKUP(F52,$F$16:$M$25,6,FALSE)</f>
        <v>17</v>
      </c>
      <c r="L52">
        <f ca="1">VLOOKUP(F52,$F$16:$M$25,7,FALSE)</f>
        <v>12</v>
      </c>
      <c r="M52">
        <f ca="1">VLOOKUP(F52,$F$16:$M$25,8,FALSE)</f>
        <v>7</v>
      </c>
    </row>
    <row r="53" spans="6:13">
      <c r="F53" t="str">
        <f ca="1">AI41</f>
        <v>Francia</v>
      </c>
      <c r="G53">
        <f ca="1">VLOOKUP(F53,$F$16:$M$25,2,FALSE)</f>
        <v>3</v>
      </c>
      <c r="H53">
        <f ca="1">VLOOKUP(F53,$F$16:$M$25,3,FALSE)</f>
        <v>2</v>
      </c>
      <c r="I53">
        <f ca="1">VLOOKUP(F53,$F$16:$M$25,4,FALSE)</f>
        <v>0</v>
      </c>
      <c r="J53">
        <f ca="1">VLOOKUP(F53,$F$16:$M$25,5,FALSE)</f>
        <v>1</v>
      </c>
      <c r="K53">
        <f ca="1">VLOOKUP(F53,$F$16:$M$25,6,FALSE)</f>
        <v>14</v>
      </c>
      <c r="L53">
        <f ca="1">VLOOKUP(F53,$F$16:$M$25,7,FALSE)</f>
        <v>14</v>
      </c>
      <c r="M53">
        <f ca="1">VLOOKUP(F53,$F$16:$M$25,8,FALSE)</f>
        <v>6</v>
      </c>
    </row>
    <row r="54" spans="6:13">
      <c r="F54" t="str">
        <f ca="1">AI42</f>
        <v>Dinamarca</v>
      </c>
      <c r="G54">
        <f ca="1">VLOOKUP(F54,$F$16:$M$25,2,FALSE)</f>
        <v>3</v>
      </c>
      <c r="H54">
        <f ca="1">VLOOKUP(F54,$F$16:$M$25,3,FALSE)</f>
        <v>1</v>
      </c>
      <c r="I54">
        <f ca="1">VLOOKUP(F54,$F$16:$M$25,4,FALSE)</f>
        <v>1</v>
      </c>
      <c r="J54">
        <f ca="1">VLOOKUP(F54,$F$16:$M$25,5,FALSE)</f>
        <v>1</v>
      </c>
      <c r="K54">
        <f ca="1">VLOOKUP(F54,$F$16:$M$25,6,FALSE)</f>
        <v>8</v>
      </c>
      <c r="L54">
        <f ca="1">VLOOKUP(F54,$F$16:$M$25,7,FALSE)</f>
        <v>8</v>
      </c>
      <c r="M54">
        <f ca="1">VLOOKUP(F54,$F$16:$M$25,8,FALSE)</f>
        <v>4</v>
      </c>
    </row>
    <row r="55" spans="6:13">
      <c r="F55" t="str">
        <f ca="1">AI43</f>
        <v>Tunez</v>
      </c>
      <c r="G55">
        <f ca="1">VLOOKUP(F55,$F$16:$M$25,2,FALSE)</f>
        <v>3</v>
      </c>
      <c r="H55">
        <f ca="1">VLOOKUP(F55,$F$16:$M$25,3,FALSE)</f>
        <v>0</v>
      </c>
      <c r="I55">
        <f ca="1">VLOOKUP(F55,$F$16:$M$25,4,FALSE)</f>
        <v>0</v>
      </c>
      <c r="J55">
        <f ca="1">VLOOKUP(F55,$F$16:$M$25,5,FALSE)</f>
        <v>3</v>
      </c>
      <c r="K55">
        <f ca="1">VLOOKUP(F55,$F$16:$M$25,6,FALSE)</f>
        <v>4</v>
      </c>
      <c r="L55">
        <f ca="1">VLOOKUP(F55,$F$16:$M$25,7,FALSE)</f>
        <v>9</v>
      </c>
      <c r="M55">
        <f ca="1">VLOOKUP(F55,$F$16:$M$25,8,FALSE)</f>
        <v>0</v>
      </c>
    </row>
  </sheetData>
  <sheetProtection algorithmName="SHA-512" hashValue="+W96lSvVPl7ezXLDoZxZvsyq4cT86wPSZbEP8O9g+c6lClLVAjFPuk26sZWFzGt/scK8AAansfhqcKDZ42OH0A==" saltValue="h97fu8/dHlnjcv507I7lTA==" spinCount="100000" sheet="1" selectLockedCells="1" selectUnlockedCells="1"/>
  <customSheetViews>
    <customSheetView guid="{387210E2-BDFB-42E5-A6C7-A37C9701EAB6}" state="hidden" topLeftCell="A24">
      <pane xSplit="5" topLeftCell="F1" activePane="topRight" state="frozen"/>
      <selection pane="topRight" activeCell="Q41" sqref="Q41"/>
      <pageMargins left="0" right="0" top="0" bottom="0" header="0" footer="0"/>
      <headerFooter alignWithMargins="0"/>
    </customSheetView>
    <customSheetView guid="{E2621C8A-2AE3-484D-B751-B92E60BB88F8}" state="hidden" topLeftCell="A24">
      <pane xSplit="5" topLeftCell="F1" activePane="topRight" state="frozen"/>
      <selection pane="topRight" activeCell="Q41" sqref="Q4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10"/>
  <dimension ref="A2:AL55"/>
  <sheetViews>
    <sheetView topLeftCell="A24"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E -'!U7&lt;&gt;"",'- E -'!U7,"")</f>
        <v>España</v>
      </c>
      <c r="N2" t="str">
        <f>IF('- E -'!U9&lt;&gt;"",'- E -'!U9,"")</f>
        <v>Costa Rica</v>
      </c>
      <c r="U2" t="str">
        <f>IF('- E -'!U11&lt;&gt;"",'- E -'!U11,"")</f>
        <v>Alemania</v>
      </c>
      <c r="AB2" t="str">
        <f>IF('- E -'!U13&lt;&gt;"",'- E -'!U13,"")</f>
        <v>Japon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E -'!B6</f>
        <v>España</v>
      </c>
      <c r="B4" s="1">
        <f ca="1">IF('- E -'!C6&lt;&gt;"",'- E -'!C6,"")</f>
        <v>5</v>
      </c>
      <c r="C4" s="1" t="str">
        <f>'- E -'!D6</f>
        <v>-</v>
      </c>
      <c r="D4" s="1">
        <f ca="1">IF('- E -'!E6&lt;&gt;"",'- E -'!E6,"")</f>
        <v>0</v>
      </c>
      <c r="E4" s="3" t="str">
        <f>'- E -'!F6</f>
        <v>Costa Rica</v>
      </c>
      <c r="F4" s="1">
        <f ca="1">COUNTBLANK('- E -'!C6:'- E -'!E6)</f>
        <v>0</v>
      </c>
      <c r="G4">
        <f t="shared" ref="G4:G9" ca="1" si="0">IF(AND(F4=0,OR($A4=$G$2,$E4=$G$2)),1,0)</f>
        <v>1</v>
      </c>
      <c r="H4">
        <f t="shared" ref="H4:H9" ca="1" si="1">IF(AND(F4=0,OR(AND($A4=$G$2,$B4&gt;$D4),AND($E4=$G$2,$D4&gt;$B4))),1,0)</f>
        <v>1</v>
      </c>
      <c r="I4">
        <f t="shared" ref="I4:I9" ca="1" si="2">IF(AND(F4=0,G4=1,$B4=$D4),1,0)</f>
        <v>0</v>
      </c>
      <c r="J4">
        <f t="shared" ref="J4:J9" ca="1" si="3">IF(AND(F4=0,OR(AND($A4=$G$2,$B4&lt;$D4),AND($E4=$G$2,$D4&lt;$B4))),1,0)</f>
        <v>0</v>
      </c>
      <c r="K4">
        <f t="shared" ref="K4:K9" ca="1" si="4">IF(F4&gt;0,0,IF($A4=$G$2,$B4,IF($E4=$G$2,$D4,0)))</f>
        <v>5</v>
      </c>
      <c r="L4">
        <f t="shared" ref="L4:L9" ca="1" si="5">IF(F4&gt;0,0,IF($A4=$G$2,$D4,IF($E4=$G$2,$B4,0)))</f>
        <v>0</v>
      </c>
      <c r="N4">
        <f t="shared" ref="N4:N9" ca="1" si="6">IF(AND(F4=0,OR($A4=$N$2,$E4=$N$2)),1,0)</f>
        <v>1</v>
      </c>
      <c r="O4">
        <f t="shared" ref="O4:O9" ca="1" si="7">IF(AND(F4=0,OR(AND($A4=$N$2,$B4&gt;$D4),AND($E4=$N$2,$D4&gt;$B4))),1,0)</f>
        <v>0</v>
      </c>
      <c r="P4">
        <f t="shared" ref="P4:P9" ca="1" si="8">IF(AND(F4=0,N4=1,$B4=$D4),1,0)</f>
        <v>0</v>
      </c>
      <c r="Q4">
        <f t="shared" ref="Q4:Q9" ca="1" si="9">IF(AND(F4=0,OR(AND($A4=$N$2,$B4&lt;$D4),AND($E4=$N$2,$D4&lt;$B4))),1,0)</f>
        <v>1</v>
      </c>
      <c r="R4">
        <f t="shared" ref="R4:R9" ca="1" si="10">IF(F4&gt;0,0,IF($A4=$N$2,$B4,IF($E4=$N$2,$D4,0)))</f>
        <v>0</v>
      </c>
      <c r="S4">
        <f t="shared" ref="S4:S9" ca="1" si="11">IF(F4&gt;0,0,IF($A4=$N$2,$D4,IF($E4=$N$2,$B4,0)))</f>
        <v>5</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E -'!B7</f>
        <v>Alemania</v>
      </c>
      <c r="B5" s="1">
        <f ca="1">IF('- E -'!C7&lt;&gt;"",'- E -'!C7,"")</f>
        <v>9</v>
      </c>
      <c r="C5" s="1" t="str">
        <f>'- E -'!D7</f>
        <v>-</v>
      </c>
      <c r="D5" s="1">
        <f ca="1">IF('- E -'!E7&lt;&gt;"",'- E -'!E7,"")</f>
        <v>3</v>
      </c>
      <c r="E5" s="3" t="str">
        <f>'- E -'!F7</f>
        <v>Japon</v>
      </c>
      <c r="F5" s="1">
        <f ca="1">COUNTBLANK('- E -'!C7:'- E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9</v>
      </c>
      <c r="Z5">
        <f t="shared" ca="1" si="17"/>
        <v>3</v>
      </c>
      <c r="AB5">
        <f t="shared" ca="1" si="18"/>
        <v>1</v>
      </c>
      <c r="AC5">
        <f t="shared" ca="1" si="19"/>
        <v>0</v>
      </c>
      <c r="AD5">
        <f t="shared" ca="1" si="20"/>
        <v>0</v>
      </c>
      <c r="AE5">
        <f t="shared" ca="1" si="21"/>
        <v>1</v>
      </c>
      <c r="AF5">
        <f t="shared" ca="1" si="22"/>
        <v>3</v>
      </c>
      <c r="AG5">
        <f t="shared" ca="1" si="23"/>
        <v>9</v>
      </c>
    </row>
    <row r="6" spans="1:36">
      <c r="A6" s="2" t="str">
        <f>'- E -'!B8</f>
        <v>España</v>
      </c>
      <c r="B6" s="1">
        <f ca="1">IF('- E -'!C8&lt;&gt;"",'- E -'!C8,"")</f>
        <v>9</v>
      </c>
      <c r="C6" s="1" t="str">
        <f>'- E -'!D8</f>
        <v>-</v>
      </c>
      <c r="D6" s="1">
        <f ca="1">IF('- E -'!E8&lt;&gt;"",'- E -'!E8,"")</f>
        <v>1</v>
      </c>
      <c r="E6" s="3" t="str">
        <f>'- E -'!F8</f>
        <v>Alemania</v>
      </c>
      <c r="F6" s="1">
        <f ca="1">COUNTBLANK('- E -'!C8:'- E -'!E8)</f>
        <v>0</v>
      </c>
      <c r="G6">
        <f t="shared" ca="1" si="0"/>
        <v>1</v>
      </c>
      <c r="H6">
        <f t="shared" ca="1" si="1"/>
        <v>1</v>
      </c>
      <c r="I6">
        <f t="shared" ca="1" si="2"/>
        <v>0</v>
      </c>
      <c r="J6">
        <f t="shared" ca="1" si="3"/>
        <v>0</v>
      </c>
      <c r="K6">
        <f t="shared" ca="1" si="4"/>
        <v>9</v>
      </c>
      <c r="L6">
        <f t="shared" ca="1" si="5"/>
        <v>1</v>
      </c>
      <c r="N6">
        <f t="shared" ca="1" si="6"/>
        <v>0</v>
      </c>
      <c r="O6">
        <f t="shared" ca="1" si="7"/>
        <v>0</v>
      </c>
      <c r="P6">
        <f t="shared" ca="1" si="8"/>
        <v>0</v>
      </c>
      <c r="Q6">
        <f t="shared" ca="1" si="9"/>
        <v>0</v>
      </c>
      <c r="R6">
        <f t="shared" ca="1" si="10"/>
        <v>0</v>
      </c>
      <c r="S6">
        <f t="shared" ca="1" si="11"/>
        <v>0</v>
      </c>
      <c r="U6">
        <f t="shared" ca="1" si="12"/>
        <v>1</v>
      </c>
      <c r="V6">
        <f t="shared" ca="1" si="13"/>
        <v>0</v>
      </c>
      <c r="W6">
        <f t="shared" ca="1" si="14"/>
        <v>0</v>
      </c>
      <c r="X6">
        <f t="shared" ca="1" si="15"/>
        <v>1</v>
      </c>
      <c r="Y6">
        <f t="shared" ca="1" si="16"/>
        <v>1</v>
      </c>
      <c r="Z6">
        <f t="shared" ca="1" si="17"/>
        <v>9</v>
      </c>
      <c r="AB6">
        <f t="shared" ca="1" si="18"/>
        <v>0</v>
      </c>
      <c r="AC6">
        <f t="shared" ca="1" si="19"/>
        <v>0</v>
      </c>
      <c r="AD6">
        <f t="shared" ca="1" si="20"/>
        <v>0</v>
      </c>
      <c r="AE6">
        <f t="shared" ca="1" si="21"/>
        <v>0</v>
      </c>
      <c r="AF6">
        <f t="shared" ca="1" si="22"/>
        <v>0</v>
      </c>
      <c r="AG6">
        <f t="shared" ca="1" si="23"/>
        <v>0</v>
      </c>
    </row>
    <row r="7" spans="1:36">
      <c r="A7" s="2" t="str">
        <f>'- E -'!B9</f>
        <v>Japon</v>
      </c>
      <c r="B7" s="1">
        <f ca="1">IF('- E -'!C9&lt;&gt;"",'- E -'!C9,"")</f>
        <v>9</v>
      </c>
      <c r="C7" s="1" t="str">
        <f>'- E -'!D9</f>
        <v>-</v>
      </c>
      <c r="D7" s="1">
        <f ca="1">IF('- E -'!E9&lt;&gt;"",'- E -'!E9,"")</f>
        <v>8</v>
      </c>
      <c r="E7" s="3" t="str">
        <f>'- E -'!F9</f>
        <v>Costa Rica</v>
      </c>
      <c r="F7" s="1">
        <f ca="1">COUNTBLANK('- E -'!C9:'- E -'!E9)</f>
        <v>0</v>
      </c>
      <c r="G7">
        <f t="shared" ca="1" si="0"/>
        <v>0</v>
      </c>
      <c r="H7">
        <f t="shared" ca="1" si="1"/>
        <v>0</v>
      </c>
      <c r="I7">
        <f t="shared" ca="1" si="2"/>
        <v>0</v>
      </c>
      <c r="J7">
        <f t="shared" ca="1" si="3"/>
        <v>0</v>
      </c>
      <c r="K7">
        <f t="shared" ca="1" si="4"/>
        <v>0</v>
      </c>
      <c r="L7">
        <f t="shared" ca="1" si="5"/>
        <v>0</v>
      </c>
      <c r="N7">
        <f t="shared" ca="1" si="6"/>
        <v>1</v>
      </c>
      <c r="O7">
        <f t="shared" ca="1" si="7"/>
        <v>0</v>
      </c>
      <c r="P7">
        <f t="shared" ca="1" si="8"/>
        <v>0</v>
      </c>
      <c r="Q7">
        <f t="shared" ca="1" si="9"/>
        <v>1</v>
      </c>
      <c r="R7">
        <f t="shared" ca="1" si="10"/>
        <v>8</v>
      </c>
      <c r="S7">
        <f t="shared" ca="1" si="11"/>
        <v>9</v>
      </c>
      <c r="U7">
        <f t="shared" ca="1" si="12"/>
        <v>0</v>
      </c>
      <c r="V7">
        <f t="shared" ca="1" si="13"/>
        <v>0</v>
      </c>
      <c r="W7">
        <f t="shared" ca="1" si="14"/>
        <v>0</v>
      </c>
      <c r="X7">
        <f t="shared" ca="1" si="15"/>
        <v>0</v>
      </c>
      <c r="Y7">
        <f t="shared" ca="1" si="16"/>
        <v>0</v>
      </c>
      <c r="Z7">
        <f t="shared" ca="1" si="17"/>
        <v>0</v>
      </c>
      <c r="AB7">
        <f t="shared" ca="1" si="18"/>
        <v>1</v>
      </c>
      <c r="AC7">
        <f t="shared" ca="1" si="19"/>
        <v>1</v>
      </c>
      <c r="AD7">
        <f t="shared" ca="1" si="20"/>
        <v>0</v>
      </c>
      <c r="AE7">
        <f t="shared" ca="1" si="21"/>
        <v>0</v>
      </c>
      <c r="AF7">
        <f t="shared" ca="1" si="22"/>
        <v>9</v>
      </c>
      <c r="AG7">
        <f t="shared" ca="1" si="23"/>
        <v>8</v>
      </c>
    </row>
    <row r="8" spans="1:36">
      <c r="A8" s="2" t="str">
        <f>'- E -'!B10</f>
        <v>Costa Rica</v>
      </c>
      <c r="B8" s="1">
        <f ca="1">IF('- E -'!C10&lt;&gt;"",'- E -'!C10,"")</f>
        <v>9</v>
      </c>
      <c r="C8" s="1" t="str">
        <f>'- E -'!D10</f>
        <v>-</v>
      </c>
      <c r="D8" s="1">
        <f ca="1">IF('- E -'!E10&lt;&gt;"",'- E -'!E10,"")</f>
        <v>6</v>
      </c>
      <c r="E8" s="3" t="str">
        <f>'- E -'!F10</f>
        <v>Alemania</v>
      </c>
      <c r="F8" s="1">
        <f ca="1">COUNTBLANK('- E -'!C10:'- E -'!E10)</f>
        <v>0</v>
      </c>
      <c r="G8">
        <f t="shared" ca="1" si="0"/>
        <v>0</v>
      </c>
      <c r="H8">
        <f t="shared" ca="1" si="1"/>
        <v>0</v>
      </c>
      <c r="I8">
        <f t="shared" ca="1" si="2"/>
        <v>0</v>
      </c>
      <c r="J8">
        <f t="shared" ca="1" si="3"/>
        <v>0</v>
      </c>
      <c r="K8">
        <f t="shared" ca="1" si="4"/>
        <v>0</v>
      </c>
      <c r="L8">
        <f t="shared" ca="1" si="5"/>
        <v>0</v>
      </c>
      <c r="N8">
        <f t="shared" ca="1" si="6"/>
        <v>1</v>
      </c>
      <c r="O8">
        <f t="shared" ca="1" si="7"/>
        <v>1</v>
      </c>
      <c r="P8">
        <f t="shared" ca="1" si="8"/>
        <v>0</v>
      </c>
      <c r="Q8">
        <f t="shared" ca="1" si="9"/>
        <v>0</v>
      </c>
      <c r="R8">
        <f t="shared" ca="1" si="10"/>
        <v>9</v>
      </c>
      <c r="S8">
        <f t="shared" ca="1" si="11"/>
        <v>6</v>
      </c>
      <c r="U8">
        <f t="shared" ca="1" si="12"/>
        <v>1</v>
      </c>
      <c r="V8">
        <f t="shared" ca="1" si="13"/>
        <v>0</v>
      </c>
      <c r="W8">
        <f t="shared" ca="1" si="14"/>
        <v>0</v>
      </c>
      <c r="X8">
        <f t="shared" ca="1" si="15"/>
        <v>1</v>
      </c>
      <c r="Y8">
        <f t="shared" ca="1" si="16"/>
        <v>6</v>
      </c>
      <c r="Z8">
        <f t="shared" ca="1" si="17"/>
        <v>9</v>
      </c>
      <c r="AB8">
        <f t="shared" ca="1" si="18"/>
        <v>0</v>
      </c>
      <c r="AC8">
        <f t="shared" ca="1" si="19"/>
        <v>0</v>
      </c>
      <c r="AD8">
        <f t="shared" ca="1" si="20"/>
        <v>0</v>
      </c>
      <c r="AE8">
        <f t="shared" ca="1" si="21"/>
        <v>0</v>
      </c>
      <c r="AF8">
        <f t="shared" ca="1" si="22"/>
        <v>0</v>
      </c>
      <c r="AG8">
        <f t="shared" ca="1" si="23"/>
        <v>0</v>
      </c>
    </row>
    <row r="9" spans="1:36">
      <c r="A9" s="2" t="str">
        <f>'- E -'!B11</f>
        <v>Japon</v>
      </c>
      <c r="B9" s="1">
        <f ca="1">IF('- E -'!C11&lt;&gt;"",'- E -'!C11,"")</f>
        <v>10</v>
      </c>
      <c r="C9" s="1" t="str">
        <f>'- E -'!D11</f>
        <v>-</v>
      </c>
      <c r="D9" s="1">
        <f ca="1">IF('- E -'!E11&lt;&gt;"",'- E -'!E11,"")</f>
        <v>8</v>
      </c>
      <c r="E9" s="3" t="str">
        <f>'- E -'!F11</f>
        <v>España</v>
      </c>
      <c r="F9" s="1">
        <f ca="1">COUNTBLANK('- E -'!C11:'- E -'!E11)</f>
        <v>0</v>
      </c>
      <c r="G9">
        <f t="shared" ca="1" si="0"/>
        <v>1</v>
      </c>
      <c r="H9">
        <f t="shared" ca="1" si="1"/>
        <v>0</v>
      </c>
      <c r="I9">
        <f t="shared" ca="1" si="2"/>
        <v>0</v>
      </c>
      <c r="J9">
        <f t="shared" ca="1" si="3"/>
        <v>1</v>
      </c>
      <c r="K9">
        <f t="shared" ca="1" si="4"/>
        <v>8</v>
      </c>
      <c r="L9">
        <f t="shared" ca="1" si="5"/>
        <v>10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1</v>
      </c>
      <c r="AD9">
        <f t="shared" ca="1" si="20"/>
        <v>0</v>
      </c>
      <c r="AE9">
        <f t="shared" ca="1" si="21"/>
        <v>0</v>
      </c>
      <c r="AF9">
        <f t="shared" ca="1" si="22"/>
        <v>10</v>
      </c>
      <c r="AG9">
        <f t="shared" ca="1" si="23"/>
        <v>8</v>
      </c>
    </row>
    <row r="10" spans="1:36">
      <c r="G10">
        <f t="shared" ref="G10:L10" ca="1" si="24">SUM(G4:G9)</f>
        <v>3</v>
      </c>
      <c r="H10">
        <f t="shared" ca="1" si="24"/>
        <v>2</v>
      </c>
      <c r="I10">
        <f t="shared" ca="1" si="24"/>
        <v>0</v>
      </c>
      <c r="J10">
        <f t="shared" ca="1" si="24"/>
        <v>1</v>
      </c>
      <c r="K10">
        <f t="shared" ca="1" si="24"/>
        <v>22</v>
      </c>
      <c r="L10">
        <f t="shared" ca="1" si="24"/>
        <v>11</v>
      </c>
      <c r="M10">
        <f ca="1">H10*3+I10</f>
        <v>6</v>
      </c>
      <c r="N10">
        <f t="shared" ref="N10:S10" ca="1" si="25">SUM(N4:N9)</f>
        <v>3</v>
      </c>
      <c r="O10">
        <f t="shared" ca="1" si="25"/>
        <v>1</v>
      </c>
      <c r="P10">
        <f t="shared" ca="1" si="25"/>
        <v>0</v>
      </c>
      <c r="Q10">
        <f t="shared" ca="1" si="25"/>
        <v>2</v>
      </c>
      <c r="R10">
        <f t="shared" ca="1" si="25"/>
        <v>17</v>
      </c>
      <c r="S10">
        <f t="shared" ca="1" si="25"/>
        <v>20</v>
      </c>
      <c r="T10">
        <f ca="1">O10*3+P10</f>
        <v>3</v>
      </c>
      <c r="U10">
        <f t="shared" ref="U10:Z10" ca="1" si="26">SUM(U4:U9)</f>
        <v>3</v>
      </c>
      <c r="V10">
        <f t="shared" ca="1" si="26"/>
        <v>1</v>
      </c>
      <c r="W10">
        <f t="shared" ca="1" si="26"/>
        <v>0</v>
      </c>
      <c r="X10">
        <f t="shared" ca="1" si="26"/>
        <v>2</v>
      </c>
      <c r="Y10">
        <f t="shared" ca="1" si="26"/>
        <v>16</v>
      </c>
      <c r="Z10">
        <f t="shared" ca="1" si="26"/>
        <v>21</v>
      </c>
      <c r="AA10">
        <f ca="1">V10*3+W10</f>
        <v>3</v>
      </c>
      <c r="AB10">
        <f t="shared" ref="AB10:AG10" ca="1" si="27">SUM(AB4:AB9)</f>
        <v>3</v>
      </c>
      <c r="AC10">
        <f t="shared" ca="1" si="27"/>
        <v>2</v>
      </c>
      <c r="AD10">
        <f t="shared" ca="1" si="27"/>
        <v>0</v>
      </c>
      <c r="AE10">
        <f t="shared" ca="1" si="27"/>
        <v>1</v>
      </c>
      <c r="AF10">
        <f t="shared" ca="1" si="27"/>
        <v>22</v>
      </c>
      <c r="AG10">
        <f t="shared" ca="1" si="27"/>
        <v>25</v>
      </c>
      <c r="AH10">
        <f ca="1">AC10*3+AD10</f>
        <v>6</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España</v>
      </c>
      <c r="G16">
        <f t="shared" ref="G16:M16" ca="1" si="28">G10</f>
        <v>3</v>
      </c>
      <c r="H16">
        <f t="shared" ca="1" si="28"/>
        <v>2</v>
      </c>
      <c r="I16">
        <f t="shared" ca="1" si="28"/>
        <v>0</v>
      </c>
      <c r="J16">
        <f t="shared" ca="1" si="28"/>
        <v>1</v>
      </c>
      <c r="K16">
        <f t="shared" ca="1" si="28"/>
        <v>22</v>
      </c>
      <c r="L16">
        <f t="shared" ca="1" si="28"/>
        <v>11</v>
      </c>
      <c r="M16">
        <f t="shared" ca="1" si="28"/>
        <v>6</v>
      </c>
      <c r="O16" t="str">
        <f ca="1">IF($M16&gt;=$M17,$F16,$F17)</f>
        <v>España</v>
      </c>
      <c r="P16">
        <f ca="1">VLOOKUP(O16,$F$16:$M$25,8,FALSE)</f>
        <v>6</v>
      </c>
      <c r="S16" t="str">
        <f ca="1">IF($P16&gt;=$P18,$O16,$O18)</f>
        <v>España</v>
      </c>
      <c r="T16">
        <f ca="1">VLOOKUP(S16,$O$16:$P$25,2,FALSE)</f>
        <v>6</v>
      </c>
      <c r="W16" t="str">
        <f ca="1">IF($T16&gt;=$T19,$S16,$S19)</f>
        <v>España</v>
      </c>
      <c r="X16">
        <f ca="1">VLOOKUP(W16,$S$16:$T$25,2,FALSE)</f>
        <v>6</v>
      </c>
      <c r="AA16" t="str">
        <f ca="1">W16</f>
        <v>España</v>
      </c>
      <c r="AB16">
        <f ca="1">VLOOKUP(AA16,W16:X25,2,FALSE)</f>
        <v>6</v>
      </c>
      <c r="AE16" t="str">
        <f ca="1">AA16</f>
        <v>España</v>
      </c>
      <c r="AF16">
        <f ca="1">VLOOKUP(AE16,AA16:AB25,2,FALSE)</f>
        <v>6</v>
      </c>
      <c r="AI16" t="str">
        <f ca="1">AE16</f>
        <v>España</v>
      </c>
      <c r="AJ16">
        <f ca="1">VLOOKUP(AI16,AE16:AF25,2,FALSE)</f>
        <v>6</v>
      </c>
    </row>
    <row r="17" spans="6:37">
      <c r="F17" t="str">
        <f>N2</f>
        <v>Costa Rica</v>
      </c>
      <c r="G17">
        <f t="shared" ref="G17:M17" ca="1" si="29">N10</f>
        <v>3</v>
      </c>
      <c r="H17">
        <f t="shared" ca="1" si="29"/>
        <v>1</v>
      </c>
      <c r="I17">
        <f t="shared" ca="1" si="29"/>
        <v>0</v>
      </c>
      <c r="J17">
        <f t="shared" ca="1" si="29"/>
        <v>2</v>
      </c>
      <c r="K17">
        <f t="shared" ca="1" si="29"/>
        <v>17</v>
      </c>
      <c r="L17">
        <f t="shared" ca="1" si="29"/>
        <v>20</v>
      </c>
      <c r="M17">
        <f t="shared" ca="1" si="29"/>
        <v>3</v>
      </c>
      <c r="O17" t="str">
        <f ca="1">IF($M17&lt;=$M16,$F17,$F16)</f>
        <v>Costa Rica</v>
      </c>
      <c r="P17">
        <f ca="1">VLOOKUP(O17,$F$16:$M$25,8,FALSE)</f>
        <v>3</v>
      </c>
      <c r="S17" t="str">
        <f ca="1">O17</f>
        <v>Costa Rica</v>
      </c>
      <c r="T17">
        <f ca="1">VLOOKUP(S17,$O$16:$P$25,2,FALSE)</f>
        <v>3</v>
      </c>
      <c r="W17" t="str">
        <f ca="1">S17</f>
        <v>Costa Rica</v>
      </c>
      <c r="X17">
        <f ca="1">VLOOKUP(W17,$S$16:$T$25,2,FALSE)</f>
        <v>3</v>
      </c>
      <c r="AA17" t="str">
        <f ca="1">IF(X17&gt;=X18,W17,W18)</f>
        <v>Costa Rica</v>
      </c>
      <c r="AB17">
        <f ca="1">VLOOKUP(AA17,W16:X25,2,FALSE)</f>
        <v>3</v>
      </c>
      <c r="AE17" t="str">
        <f ca="1">IF(AB17&gt;=AB19,AA17,AA19)</f>
        <v>Japon</v>
      </c>
      <c r="AF17">
        <f ca="1">VLOOKUP(AE17,AA16:AB25,2,FALSE)</f>
        <v>6</v>
      </c>
      <c r="AI17" t="str">
        <f ca="1">AE17</f>
        <v>Japon</v>
      </c>
      <c r="AJ17">
        <f ca="1">VLOOKUP(AI17,AE16:AF25,2,FALSE)</f>
        <v>6</v>
      </c>
    </row>
    <row r="18" spans="6:37">
      <c r="F18" t="str">
        <f>U2</f>
        <v>Alemania</v>
      </c>
      <c r="G18">
        <f t="shared" ref="G18:M18" ca="1" si="30">U10</f>
        <v>3</v>
      </c>
      <c r="H18">
        <f t="shared" ca="1" si="30"/>
        <v>1</v>
      </c>
      <c r="I18">
        <f t="shared" ca="1" si="30"/>
        <v>0</v>
      </c>
      <c r="J18">
        <f t="shared" ca="1" si="30"/>
        <v>2</v>
      </c>
      <c r="K18">
        <f t="shared" ca="1" si="30"/>
        <v>16</v>
      </c>
      <c r="L18">
        <f t="shared" ca="1" si="30"/>
        <v>21</v>
      </c>
      <c r="M18">
        <f t="shared" ca="1" si="30"/>
        <v>3</v>
      </c>
      <c r="O18" t="str">
        <f>F18</f>
        <v>Alemania</v>
      </c>
      <c r="P18">
        <f ca="1">VLOOKUP(O18,$F$16:$M$25,8,FALSE)</f>
        <v>3</v>
      </c>
      <c r="S18" t="str">
        <f ca="1">IF($P18&lt;=$P16,$O18,$O16)</f>
        <v>Alemania</v>
      </c>
      <c r="T18">
        <f ca="1">VLOOKUP(S18,$O$16:$P$25,2,FALSE)</f>
        <v>3</v>
      </c>
      <c r="W18" t="str">
        <f ca="1">S18</f>
        <v>Alemania</v>
      </c>
      <c r="X18">
        <f ca="1">VLOOKUP(W18,$S$16:$T$25,2,FALSE)</f>
        <v>3</v>
      </c>
      <c r="AA18" t="str">
        <f ca="1">IF(X18&lt;=X17,W18,W17)</f>
        <v>Alemania</v>
      </c>
      <c r="AB18">
        <f ca="1">VLOOKUP(AA18,W16:X25,2,FALSE)</f>
        <v>3</v>
      </c>
      <c r="AE18" t="str">
        <f ca="1">AA18</f>
        <v>Alemania</v>
      </c>
      <c r="AF18">
        <f ca="1">VLOOKUP(AE18,AA16:AB25,2,FALSE)</f>
        <v>3</v>
      </c>
      <c r="AI18" t="str">
        <f ca="1">IF(AF18&gt;=AF19,AE18,AE19)</f>
        <v>Alemania</v>
      </c>
      <c r="AJ18">
        <f ca="1">VLOOKUP(AI18,AE16:AF25,2,FALSE)</f>
        <v>3</v>
      </c>
    </row>
    <row r="19" spans="6:37">
      <c r="F19" t="str">
        <f>AB2</f>
        <v>Japon</v>
      </c>
      <c r="G19">
        <f t="shared" ref="G19:M19" ca="1" si="31">AB10</f>
        <v>3</v>
      </c>
      <c r="H19">
        <f t="shared" ca="1" si="31"/>
        <v>2</v>
      </c>
      <c r="I19">
        <f t="shared" ca="1" si="31"/>
        <v>0</v>
      </c>
      <c r="J19">
        <f t="shared" ca="1" si="31"/>
        <v>1</v>
      </c>
      <c r="K19">
        <f t="shared" ca="1" si="31"/>
        <v>22</v>
      </c>
      <c r="L19">
        <f t="shared" ca="1" si="31"/>
        <v>25</v>
      </c>
      <c r="M19">
        <f t="shared" ca="1" si="31"/>
        <v>6</v>
      </c>
      <c r="O19" t="str">
        <f>F19</f>
        <v>Japon</v>
      </c>
      <c r="P19">
        <f ca="1">VLOOKUP(O19,$F$16:$M$25,8,FALSE)</f>
        <v>6</v>
      </c>
      <c r="S19" t="str">
        <f>O19</f>
        <v>Japon</v>
      </c>
      <c r="T19">
        <f ca="1">VLOOKUP(S19,$O$16:$P$25,2,FALSE)</f>
        <v>6</v>
      </c>
      <c r="W19" t="str">
        <f ca="1">IF($T19&lt;=$T16,$S19,$S16)</f>
        <v>Japon</v>
      </c>
      <c r="X19">
        <f ca="1">VLOOKUP(W19,$S$16:$T$25,2,FALSE)</f>
        <v>6</v>
      </c>
      <c r="AA19" t="str">
        <f ca="1">W19</f>
        <v>Japon</v>
      </c>
      <c r="AB19">
        <f ca="1">VLOOKUP(AA19,W16:X25,2,FALSE)</f>
        <v>6</v>
      </c>
      <c r="AE19" t="str">
        <f ca="1">IF(AB19&lt;=AB17,AA19,AA17)</f>
        <v>Costa Rica</v>
      </c>
      <c r="AF19">
        <f ca="1">VLOOKUP(AE19,AA16:AB25,2,FALSE)</f>
        <v>3</v>
      </c>
      <c r="AI19" t="str">
        <f ca="1">IF(AF19&lt;=AF18,AE19,AE18)</f>
        <v>Costa Rica</v>
      </c>
      <c r="AJ19">
        <f ca="1">VLOOKUP(AI19,AE16:AF25,2,FALSE)</f>
        <v>3</v>
      </c>
    </row>
    <row r="28" spans="6:37">
      <c r="F28" t="str">
        <f ca="1">AI16</f>
        <v>España</v>
      </c>
      <c r="J28">
        <f ca="1">AJ16</f>
        <v>6</v>
      </c>
      <c r="K28">
        <f ca="1">VLOOKUP(AI16,$F$16:$M$25,6,FALSE)</f>
        <v>22</v>
      </c>
      <c r="L28">
        <f ca="1">VLOOKUP(AI16,$F$16:$M$25,7,FALSE)</f>
        <v>11</v>
      </c>
      <c r="M28">
        <f ca="1">K28-L28</f>
        <v>11</v>
      </c>
      <c r="O28" t="str">
        <f ca="1">IF(AND($J28=$J29,$M29&gt;$M28),$F29,$F28)</f>
        <v>España</v>
      </c>
      <c r="P28">
        <f ca="1">VLOOKUP(O28,$F$28:$M$37,5,FALSE)</f>
        <v>6</v>
      </c>
      <c r="Q28">
        <f ca="1">VLOOKUP(O28,$F$28:$M$37,8,FALSE)</f>
        <v>11</v>
      </c>
      <c r="S28" t="str">
        <f ca="1">IF(AND(P28=P30,Q30&gt;Q28),O30,O28)</f>
        <v>España</v>
      </c>
      <c r="T28">
        <f ca="1">VLOOKUP(S28,$O$28:$Q$37,2,FALSE)</f>
        <v>6</v>
      </c>
      <c r="U28">
        <f ca="1">VLOOKUP(S28,$O$28:$Q$37,3,FALSE)</f>
        <v>11</v>
      </c>
      <c r="W28" t="str">
        <f ca="1">IF(AND(T28=T31,U31&gt;U28),S31,S28)</f>
        <v>España</v>
      </c>
      <c r="X28">
        <f ca="1">VLOOKUP(W28,$S$28:$U$37,2,FALSE)</f>
        <v>6</v>
      </c>
      <c r="Y28">
        <f ca="1">VLOOKUP(W28,$S$28:$U$37,3,FALSE)</f>
        <v>11</v>
      </c>
      <c r="AA28" t="str">
        <f ca="1">W28</f>
        <v>España</v>
      </c>
      <c r="AB28">
        <f ca="1">VLOOKUP(AA28,W28:Y37,2,FALSE)</f>
        <v>6</v>
      </c>
      <c r="AC28">
        <f ca="1">VLOOKUP(AA28,W28:Y37,3,FALSE)</f>
        <v>11</v>
      </c>
      <c r="AE28" t="str">
        <f ca="1">AA28</f>
        <v>España</v>
      </c>
      <c r="AF28">
        <f ca="1">VLOOKUP(AE28,AA28:AC37,2,FALSE)</f>
        <v>6</v>
      </c>
      <c r="AG28">
        <f ca="1">VLOOKUP(AE28,AA28:AC37,3,FALSE)</f>
        <v>11</v>
      </c>
      <c r="AI28" t="str">
        <f ca="1">AE28</f>
        <v>España</v>
      </c>
      <c r="AJ28">
        <f ca="1">VLOOKUP(AI28,AE28:AG37,2,FALSE)</f>
        <v>6</v>
      </c>
      <c r="AK28">
        <f ca="1">VLOOKUP(AI28,AE28:AG37,3,FALSE)</f>
        <v>11</v>
      </c>
    </row>
    <row r="29" spans="6:37">
      <c r="F29" t="str">
        <f ca="1">AI17</f>
        <v>Japon</v>
      </c>
      <c r="J29">
        <f ca="1">AJ17</f>
        <v>6</v>
      </c>
      <c r="K29">
        <f ca="1">VLOOKUP(AI17,$F$16:$M$25,6,FALSE)</f>
        <v>22</v>
      </c>
      <c r="L29">
        <f ca="1">VLOOKUP(AI17,$F$16:$M$25,7,FALSE)</f>
        <v>25</v>
      </c>
      <c r="M29">
        <f ca="1">K29-L29</f>
        <v>-3</v>
      </c>
      <c r="O29" t="str">
        <f ca="1">IF(AND($J28=$J29,$M29&gt;$M28),$F28,$F29)</f>
        <v>Japon</v>
      </c>
      <c r="P29">
        <f ca="1">VLOOKUP(O29,$F$28:$M$37,5,FALSE)</f>
        <v>6</v>
      </c>
      <c r="Q29">
        <f ca="1">VLOOKUP(O29,$F$28:$M$37,8,FALSE)</f>
        <v>-3</v>
      </c>
      <c r="S29" t="str">
        <f ca="1">O29</f>
        <v>Japon</v>
      </c>
      <c r="T29">
        <f ca="1">VLOOKUP(S29,$O$28:$Q$37,2,FALSE)</f>
        <v>6</v>
      </c>
      <c r="U29">
        <f ca="1">VLOOKUP(S29,$O$28:$Q$37,3,FALSE)</f>
        <v>-3</v>
      </c>
      <c r="W29" t="str">
        <f ca="1">S29</f>
        <v>Japon</v>
      </c>
      <c r="X29">
        <f ca="1">VLOOKUP(W29,$S$28:$U$37,2,FALSE)</f>
        <v>6</v>
      </c>
      <c r="Y29">
        <f ca="1">VLOOKUP(W29,$S$28:$U$37,3,FALSE)</f>
        <v>-3</v>
      </c>
      <c r="AA29" t="str">
        <f ca="1">IF(AND(X29=X30,Y30&gt;Y29),W30,W29)</f>
        <v>Japon</v>
      </c>
      <c r="AB29">
        <f ca="1">VLOOKUP(AA29,W28:Y37,2,FALSE)</f>
        <v>6</v>
      </c>
      <c r="AC29">
        <f ca="1">VLOOKUP(AA29,W28:Y37,3,FALSE)</f>
        <v>-3</v>
      </c>
      <c r="AE29" t="str">
        <f ca="1">IF(AND(AB29=AB31,AC31&gt;AC29),AA31,AA29)</f>
        <v>Japon</v>
      </c>
      <c r="AF29">
        <f ca="1">VLOOKUP(AE29,AA28:AC37,2,FALSE)</f>
        <v>6</v>
      </c>
      <c r="AG29">
        <f ca="1">VLOOKUP(AE29,AA28:AC37,3,FALSE)</f>
        <v>-3</v>
      </c>
      <c r="AI29" t="str">
        <f ca="1">AE29</f>
        <v>Japon</v>
      </c>
      <c r="AJ29">
        <f ca="1">VLOOKUP(AI29,AE28:AG37,2,FALSE)</f>
        <v>6</v>
      </c>
      <c r="AK29">
        <f ca="1">VLOOKUP(AI29,AE28:AG37,3,FALSE)</f>
        <v>-3</v>
      </c>
    </row>
    <row r="30" spans="6:37">
      <c r="F30" t="str">
        <f ca="1">AI18</f>
        <v>Alemania</v>
      </c>
      <c r="J30">
        <f ca="1">AJ18</f>
        <v>3</v>
      </c>
      <c r="K30">
        <f ca="1">VLOOKUP(AI18,$F$16:$M$25,6,FALSE)</f>
        <v>16</v>
      </c>
      <c r="L30">
        <f ca="1">VLOOKUP(AI18,$F$16:$M$25,7,FALSE)</f>
        <v>21</v>
      </c>
      <c r="M30">
        <f ca="1">K30-L30</f>
        <v>-5</v>
      </c>
      <c r="O30" t="str">
        <f ca="1">F30</f>
        <v>Alemania</v>
      </c>
      <c r="P30">
        <f ca="1">VLOOKUP(O30,$F$28:$M$37,5,FALSE)</f>
        <v>3</v>
      </c>
      <c r="Q30">
        <f ca="1">VLOOKUP(O30,$F$28:$M$37,8,FALSE)</f>
        <v>-5</v>
      </c>
      <c r="S30" t="str">
        <f ca="1">IF(AND($P28=P30,Q30&gt;Q28),O28,O30)</f>
        <v>Alemania</v>
      </c>
      <c r="T30">
        <f ca="1">VLOOKUP(S30,$O$28:$Q$37,2,FALSE)</f>
        <v>3</v>
      </c>
      <c r="U30">
        <f ca="1">VLOOKUP(S30,$O$28:$Q$37,3,FALSE)</f>
        <v>-5</v>
      </c>
      <c r="W30" t="str">
        <f ca="1">S30</f>
        <v>Alemania</v>
      </c>
      <c r="X30">
        <f ca="1">VLOOKUP(W30,$S$28:$U$37,2,FALSE)</f>
        <v>3</v>
      </c>
      <c r="Y30">
        <f ca="1">VLOOKUP(W30,$S$28:$U$37,3,FALSE)</f>
        <v>-5</v>
      </c>
      <c r="AA30" t="str">
        <f ca="1">IF(AND(X29=X30,Y30&gt;Y29),W29,W30)</f>
        <v>Alemania</v>
      </c>
      <c r="AB30">
        <f ca="1">VLOOKUP(AA30,W28:Y37,2,FALSE)</f>
        <v>3</v>
      </c>
      <c r="AC30">
        <f ca="1">VLOOKUP(AA30,W28:Y37,3,FALSE)</f>
        <v>-5</v>
      </c>
      <c r="AE30" t="str">
        <f ca="1">AA30</f>
        <v>Alemania</v>
      </c>
      <c r="AF30">
        <f ca="1">VLOOKUP(AE30,AA28:AC37,2,FALSE)</f>
        <v>3</v>
      </c>
      <c r="AG30">
        <f ca="1">VLOOKUP(AE30,AA28:AC37,3,FALSE)</f>
        <v>-5</v>
      </c>
      <c r="AI30" t="str">
        <f ca="1">IF(AND(AF30=AF31,AG31&gt;AG30),AE31,AE30)</f>
        <v>Costa Rica</v>
      </c>
      <c r="AJ30">
        <f ca="1">VLOOKUP(AI30,AE28:AG37,2,FALSE)</f>
        <v>3</v>
      </c>
      <c r="AK30">
        <f ca="1">VLOOKUP(AI30,AE28:AG37,3,FALSE)</f>
        <v>-3</v>
      </c>
    </row>
    <row r="31" spans="6:37">
      <c r="F31" t="str">
        <f ca="1">AI19</f>
        <v>Costa Rica</v>
      </c>
      <c r="J31">
        <f ca="1">AJ19</f>
        <v>3</v>
      </c>
      <c r="K31">
        <f ca="1">VLOOKUP(AI19,$F$16:$M$25,6,FALSE)</f>
        <v>17</v>
      </c>
      <c r="L31">
        <f ca="1">VLOOKUP(AI19,$F$16:$M$25,7,FALSE)</f>
        <v>20</v>
      </c>
      <c r="M31">
        <f ca="1">K31-L31</f>
        <v>-3</v>
      </c>
      <c r="O31" t="str">
        <f ca="1">F31</f>
        <v>Costa Rica</v>
      </c>
      <c r="P31">
        <f ca="1">VLOOKUP(O31,$F$28:$M$37,5,FALSE)</f>
        <v>3</v>
      </c>
      <c r="Q31">
        <f ca="1">VLOOKUP(O31,$F$28:$M$37,8,FALSE)</f>
        <v>-3</v>
      </c>
      <c r="S31" t="str">
        <f ca="1">O31</f>
        <v>Costa Rica</v>
      </c>
      <c r="T31">
        <f ca="1">VLOOKUP(S31,$O$28:$Q$37,2,FALSE)</f>
        <v>3</v>
      </c>
      <c r="U31">
        <f ca="1">VLOOKUP(S31,$O$28:$Q$37,3,FALSE)</f>
        <v>-3</v>
      </c>
      <c r="W31" t="str">
        <f ca="1">IF(AND(T28=T31,U31&gt;U28),S28,S31)</f>
        <v>Costa Rica</v>
      </c>
      <c r="X31">
        <f ca="1">VLOOKUP(W31,$S$28:$U$37,2,FALSE)</f>
        <v>3</v>
      </c>
      <c r="Y31">
        <f ca="1">VLOOKUP(W31,$S$28:$U$37,3,FALSE)</f>
        <v>-3</v>
      </c>
      <c r="AA31" t="str">
        <f ca="1">W31</f>
        <v>Costa Rica</v>
      </c>
      <c r="AB31">
        <f ca="1">VLOOKUP(AA31,W28:Y37,2,FALSE)</f>
        <v>3</v>
      </c>
      <c r="AC31">
        <f ca="1">VLOOKUP(AA31,W28:Y37,3,FALSE)</f>
        <v>-3</v>
      </c>
      <c r="AE31" t="str">
        <f ca="1">IF(AND(AB29=AB31,AC31&gt;AC29),AA29,AA31)</f>
        <v>Costa Rica</v>
      </c>
      <c r="AF31">
        <f ca="1">VLOOKUP(AE31,AA28:AC37,2,FALSE)</f>
        <v>3</v>
      </c>
      <c r="AG31">
        <f ca="1">VLOOKUP(AE31,AA28:AC37,3,FALSE)</f>
        <v>-3</v>
      </c>
      <c r="AI31" t="str">
        <f ca="1">IF(AND(AF30=AF31,AG31&gt;AG30),AE30,AE31)</f>
        <v>Alemania</v>
      </c>
      <c r="AJ31">
        <f ca="1">VLOOKUP(AI31,AE28:AG37,2,FALSE)</f>
        <v>3</v>
      </c>
      <c r="AK31">
        <f ca="1">VLOOKUP(AI31,AE28:AG37,3,FALSE)</f>
        <v>-5</v>
      </c>
    </row>
    <row r="40" spans="6:38">
      <c r="F40" t="str">
        <f ca="1">AI28</f>
        <v>España</v>
      </c>
      <c r="J40">
        <f ca="1">VLOOKUP(F40,$F$16:$M$25,8,FALSE)</f>
        <v>6</v>
      </c>
      <c r="K40">
        <f ca="1">VLOOKUP(F40,$F$16:$M$25,6,FALSE)</f>
        <v>22</v>
      </c>
      <c r="L40">
        <f ca="1">VLOOKUP(F40,$F$16:$M$25,7,FALSE)</f>
        <v>11</v>
      </c>
      <c r="M40">
        <f ca="1">K40-L40</f>
        <v>11</v>
      </c>
      <c r="O40" t="str">
        <f ca="1">IF(AND(J40=J41,M40=M41,K41&gt;K40),F41,F40)</f>
        <v>España</v>
      </c>
      <c r="P40">
        <f ca="1">VLOOKUP(O40,$F$40:$M$49,5,FALSE)</f>
        <v>6</v>
      </c>
      <c r="Q40">
        <f ca="1">VLOOKUP(O40,$F$40:$M$49,8,FALSE)</f>
        <v>11</v>
      </c>
      <c r="R40">
        <f ca="1">VLOOKUP(O40,$F$40:$M$49,6,FALSE)</f>
        <v>22</v>
      </c>
      <c r="S40" t="str">
        <f ca="1">IF(AND(P40=P42,Q40=Q42,R42&gt;R40),O42,O40)</f>
        <v>España</v>
      </c>
      <c r="T40">
        <f ca="1">VLOOKUP(S40,$O$40:$R$49,2,FALSE)</f>
        <v>6</v>
      </c>
      <c r="U40">
        <f ca="1">VLOOKUP(S40,$O$40:$R$49,3,FALSE)</f>
        <v>11</v>
      </c>
      <c r="V40">
        <f ca="1">VLOOKUP(S40,$O$40:$R$49,4,FALSE)</f>
        <v>22</v>
      </c>
      <c r="W40" t="str">
        <f ca="1">IF(AND(T40=T43,U40=U43,V43&gt;V40),S43,S40)</f>
        <v>España</v>
      </c>
      <c r="X40">
        <f ca="1">VLOOKUP(W40,$S$40:$V$49,2,FALSE)</f>
        <v>6</v>
      </c>
      <c r="Y40">
        <f ca="1">VLOOKUP(W40,$S$40:$V$49,3,FALSE)</f>
        <v>11</v>
      </c>
      <c r="Z40">
        <f ca="1">VLOOKUP(W40,$S$40:$V$49,4,FALSE)</f>
        <v>22</v>
      </c>
      <c r="AA40" t="str">
        <f ca="1">W40</f>
        <v>España</v>
      </c>
      <c r="AB40">
        <f ca="1">VLOOKUP(AA40,W40:Z49,2,FALSE)</f>
        <v>6</v>
      </c>
      <c r="AC40">
        <f ca="1">VLOOKUP(AA40,W40:Z49,3,FALSE)</f>
        <v>11</v>
      </c>
      <c r="AD40">
        <f ca="1">VLOOKUP(AA40,W40:Z49,4,FALSE)</f>
        <v>22</v>
      </c>
      <c r="AE40" t="str">
        <f ca="1">AA40</f>
        <v>España</v>
      </c>
      <c r="AF40">
        <f ca="1">VLOOKUP(AE40,AA40:AD49,2,FALSE)</f>
        <v>6</v>
      </c>
      <c r="AG40">
        <f ca="1">VLOOKUP(AE40,AA40:AD49,3,FALSE)</f>
        <v>11</v>
      </c>
      <c r="AH40">
        <f ca="1">VLOOKUP(AE40,AA40:AD49,4,FALSE)</f>
        <v>22</v>
      </c>
      <c r="AI40" t="str">
        <f ca="1">AE40</f>
        <v>España</v>
      </c>
      <c r="AJ40">
        <f ca="1">VLOOKUP(AI40,AE40:AH49,2,FALSE)</f>
        <v>6</v>
      </c>
      <c r="AK40">
        <f ca="1">VLOOKUP(AI40,AE40:AH49,3,FALSE)</f>
        <v>11</v>
      </c>
      <c r="AL40">
        <f ca="1">VLOOKUP(AI40,AE40:AH49,4,FALSE)</f>
        <v>22</v>
      </c>
    </row>
    <row r="41" spans="6:38">
      <c r="F41" t="str">
        <f ca="1">AI29</f>
        <v>Japon</v>
      </c>
      <c r="J41">
        <f ca="1">VLOOKUP(F41,$F$16:$M$25,8,FALSE)</f>
        <v>6</v>
      </c>
      <c r="K41">
        <f ca="1">VLOOKUP(F41,$F$16:$M$25,6,FALSE)</f>
        <v>22</v>
      </c>
      <c r="L41">
        <f ca="1">VLOOKUP(F41,$F$16:$M$25,7,FALSE)</f>
        <v>25</v>
      </c>
      <c r="M41">
        <f ca="1">K41-L41</f>
        <v>-3</v>
      </c>
      <c r="O41" t="str">
        <f ca="1">IF(AND(J40=J41,M40=M41,K41&gt;K40),F40,F41)</f>
        <v>Japon</v>
      </c>
      <c r="P41">
        <f ca="1">VLOOKUP(O41,$F$40:$M$49,5,FALSE)</f>
        <v>6</v>
      </c>
      <c r="Q41">
        <f ca="1">VLOOKUP(O41,$F$40:$M$49,8,FALSE)</f>
        <v>-3</v>
      </c>
      <c r="R41">
        <f ca="1">VLOOKUP(O41,$F$40:$M$49,6,FALSE)</f>
        <v>22</v>
      </c>
      <c r="S41" t="str">
        <f ca="1">O41</f>
        <v>Japon</v>
      </c>
      <c r="T41">
        <f ca="1">VLOOKUP(S41,$O$40:$R$49,2,FALSE)</f>
        <v>6</v>
      </c>
      <c r="U41">
        <f ca="1">VLOOKUP(S41,$O$40:$R$49,3,FALSE)</f>
        <v>-3</v>
      </c>
      <c r="V41">
        <f ca="1">VLOOKUP(S41,$O$40:$R$49,4,FALSE)</f>
        <v>22</v>
      </c>
      <c r="W41" t="str">
        <f ca="1">S41</f>
        <v>Japon</v>
      </c>
      <c r="X41">
        <f ca="1">VLOOKUP(W41,$S$40:$V$49,2,FALSE)</f>
        <v>6</v>
      </c>
      <c r="Y41">
        <f ca="1">VLOOKUP(W41,$S$40:$V$49,3,FALSE)</f>
        <v>-3</v>
      </c>
      <c r="Z41">
        <f ca="1">VLOOKUP(W41,$S$40:$V$49,4,FALSE)</f>
        <v>22</v>
      </c>
      <c r="AA41" t="str">
        <f ca="1">IF(AND(X41=X42,Y41=Y42,Z42&gt;Z41),W42,W41)</f>
        <v>Japon</v>
      </c>
      <c r="AB41">
        <f ca="1">VLOOKUP(AA41,W40:Z49,2,FALSE)</f>
        <v>6</v>
      </c>
      <c r="AC41">
        <f ca="1">VLOOKUP(AA41,W40:Z49,3,FALSE)</f>
        <v>-3</v>
      </c>
      <c r="AD41">
        <f ca="1">VLOOKUP(AA41,W40:Z49,4,FALSE)</f>
        <v>22</v>
      </c>
      <c r="AE41" t="str">
        <f ca="1">IF(AND(AB41=AB43,AC41=AC43,AD43&gt;AD41),AA43,AA41)</f>
        <v>Japon</v>
      </c>
      <c r="AF41">
        <f ca="1">VLOOKUP(AE41,AA40:AD49,2,FALSE)</f>
        <v>6</v>
      </c>
      <c r="AG41">
        <f ca="1">VLOOKUP(AE41,AA40:AD49,3,FALSE)</f>
        <v>-3</v>
      </c>
      <c r="AH41">
        <f ca="1">VLOOKUP(AE41,AA40:AD49,4,FALSE)</f>
        <v>22</v>
      </c>
      <c r="AI41" t="str">
        <f ca="1">AE41</f>
        <v>Japon</v>
      </c>
      <c r="AJ41">
        <f ca="1">VLOOKUP(AI41,AE40:AH49,2,FALSE)</f>
        <v>6</v>
      </c>
      <c r="AK41">
        <f ca="1">VLOOKUP(AI41,AE40:AH49,3,FALSE)</f>
        <v>-3</v>
      </c>
      <c r="AL41">
        <f ca="1">VLOOKUP(AI41,AE40:AH49,4,FALSE)</f>
        <v>22</v>
      </c>
    </row>
    <row r="42" spans="6:38">
      <c r="F42" t="str">
        <f ca="1">AI30</f>
        <v>Costa Rica</v>
      </c>
      <c r="J42">
        <f ca="1">VLOOKUP(F42,$F$16:$M$25,8,FALSE)</f>
        <v>3</v>
      </c>
      <c r="K42">
        <f ca="1">VLOOKUP(F42,$F$16:$M$25,6,FALSE)</f>
        <v>17</v>
      </c>
      <c r="L42">
        <f ca="1">VLOOKUP(F42,$F$16:$M$25,7,FALSE)</f>
        <v>20</v>
      </c>
      <c r="M42">
        <f ca="1">K42-L42</f>
        <v>-3</v>
      </c>
      <c r="O42" t="str">
        <f ca="1">F42</f>
        <v>Costa Rica</v>
      </c>
      <c r="P42">
        <f ca="1">VLOOKUP(O42,$F$40:$M$49,5,FALSE)</f>
        <v>3</v>
      </c>
      <c r="Q42">
        <f ca="1">VLOOKUP(O42,$F$40:$M$49,8,FALSE)</f>
        <v>-3</v>
      </c>
      <c r="R42">
        <f ca="1">VLOOKUP(O42,$F$40:$M$49,6,FALSE)</f>
        <v>17</v>
      </c>
      <c r="S42" t="str">
        <f ca="1">IF(AND(P40=P42,Q40=Q42,R42&gt;R40),O40,O42)</f>
        <v>Costa Rica</v>
      </c>
      <c r="T42">
        <f ca="1">VLOOKUP(S42,$O$40:$R$49,2,FALSE)</f>
        <v>3</v>
      </c>
      <c r="U42">
        <f ca="1">VLOOKUP(S42,$O$40:$R$49,3,FALSE)</f>
        <v>-3</v>
      </c>
      <c r="V42">
        <f ca="1">VLOOKUP(S42,$O$40:$R$49,4,FALSE)</f>
        <v>17</v>
      </c>
      <c r="W42" t="str">
        <f ca="1">S42</f>
        <v>Costa Rica</v>
      </c>
      <c r="X42">
        <f ca="1">VLOOKUP(W42,$S$40:$V$49,2,FALSE)</f>
        <v>3</v>
      </c>
      <c r="Y42">
        <f ca="1">VLOOKUP(W42,$S$40:$V$49,3,FALSE)</f>
        <v>-3</v>
      </c>
      <c r="Z42">
        <f ca="1">VLOOKUP(W42,$S$40:$V$49,4,FALSE)</f>
        <v>17</v>
      </c>
      <c r="AA42" t="str">
        <f ca="1">IF(AND(X41=X42,Y41=Y42,Z42&gt;Z41),W41,W42)</f>
        <v>Costa Rica</v>
      </c>
      <c r="AB42">
        <f ca="1">VLOOKUP(AA42,W40:Z49,2,FALSE)</f>
        <v>3</v>
      </c>
      <c r="AC42">
        <f ca="1">VLOOKUP(AA42,W40:Z49,3,FALSE)</f>
        <v>-3</v>
      </c>
      <c r="AD42">
        <f ca="1">VLOOKUP(AA42,W40:Z49,4,FALSE)</f>
        <v>17</v>
      </c>
      <c r="AE42" t="str">
        <f ca="1">AA42</f>
        <v>Costa Rica</v>
      </c>
      <c r="AF42">
        <f ca="1">VLOOKUP(AE42,AA40:AD49,2,FALSE)</f>
        <v>3</v>
      </c>
      <c r="AG42">
        <f ca="1">VLOOKUP(AE42,AA40:AD49,3,FALSE)</f>
        <v>-3</v>
      </c>
      <c r="AH42">
        <f ca="1">VLOOKUP(AE42,AA40:AD49,4,FALSE)</f>
        <v>17</v>
      </c>
      <c r="AI42" t="str">
        <f ca="1">IF(AND(AF42=AF43,AG42=AG43,AH43&gt;AH42),AE43,AE42)</f>
        <v>Costa Rica</v>
      </c>
      <c r="AJ42">
        <f ca="1">VLOOKUP(AI42,AE40:AH49,2,FALSE)</f>
        <v>3</v>
      </c>
      <c r="AK42">
        <f ca="1">VLOOKUP(AI42,AE40:AH49,3,FALSE)</f>
        <v>-3</v>
      </c>
      <c r="AL42">
        <f ca="1">VLOOKUP(AI42,AE40:AH49,4,FALSE)</f>
        <v>17</v>
      </c>
    </row>
    <row r="43" spans="6:38">
      <c r="F43" t="str">
        <f ca="1">AI31</f>
        <v>Alemania</v>
      </c>
      <c r="J43">
        <f ca="1">VLOOKUP(F43,$F$16:$M$25,8,FALSE)</f>
        <v>3</v>
      </c>
      <c r="K43">
        <f ca="1">VLOOKUP(F43,$F$16:$M$25,6,FALSE)</f>
        <v>16</v>
      </c>
      <c r="L43">
        <f ca="1">VLOOKUP(F43,$F$16:$M$25,7,FALSE)</f>
        <v>21</v>
      </c>
      <c r="M43">
        <f ca="1">K43-L43</f>
        <v>-5</v>
      </c>
      <c r="O43" t="str">
        <f ca="1">F43</f>
        <v>Alemania</v>
      </c>
      <c r="P43">
        <f ca="1">VLOOKUP(O43,$F$40:$M$49,5,FALSE)</f>
        <v>3</v>
      </c>
      <c r="Q43">
        <f ca="1">VLOOKUP(O43,$F$40:$M$49,8,FALSE)</f>
        <v>-5</v>
      </c>
      <c r="R43">
        <f ca="1">VLOOKUP(O43,$F$40:$M$49,6,FALSE)</f>
        <v>16</v>
      </c>
      <c r="S43" t="str">
        <f ca="1">O43</f>
        <v>Alemania</v>
      </c>
      <c r="T43">
        <f ca="1">VLOOKUP(S43,$O$40:$R$49,2,FALSE)</f>
        <v>3</v>
      </c>
      <c r="U43">
        <f ca="1">VLOOKUP(S43,$O$40:$R$49,3,FALSE)</f>
        <v>-5</v>
      </c>
      <c r="V43">
        <f ca="1">VLOOKUP(S43,$O$40:$R$49,4,FALSE)</f>
        <v>16</v>
      </c>
      <c r="W43" t="str">
        <f ca="1">IF(AND(T40=T43,U40=U43,V43&gt;V40),S40,S43)</f>
        <v>Alemania</v>
      </c>
      <c r="X43">
        <f ca="1">VLOOKUP(W43,$S$40:$V$49,2,FALSE)</f>
        <v>3</v>
      </c>
      <c r="Y43">
        <f ca="1">VLOOKUP(W43,$S$40:$V$49,3,FALSE)</f>
        <v>-5</v>
      </c>
      <c r="Z43">
        <f ca="1">VLOOKUP(W43,$S$40:$V$49,4,FALSE)</f>
        <v>16</v>
      </c>
      <c r="AA43" t="str">
        <f ca="1">W43</f>
        <v>Alemania</v>
      </c>
      <c r="AB43">
        <f ca="1">VLOOKUP(AA43,W40:Z49,2,FALSE)</f>
        <v>3</v>
      </c>
      <c r="AC43">
        <f ca="1">VLOOKUP(AA43,W40:Z49,3,FALSE)</f>
        <v>-5</v>
      </c>
      <c r="AD43">
        <f ca="1">VLOOKUP(AA43,W40:Z49,4,FALSE)</f>
        <v>16</v>
      </c>
      <c r="AE43" t="str">
        <f ca="1">IF(AND(AB41=AB43,AC41=AC43,AD43&gt;AD41),AA41,AA43)</f>
        <v>Alemania</v>
      </c>
      <c r="AF43">
        <f ca="1">VLOOKUP(AE43,AA40:AD49,2,FALSE)</f>
        <v>3</v>
      </c>
      <c r="AG43">
        <f ca="1">VLOOKUP(AE43,AA40:AD49,3,FALSE)</f>
        <v>-5</v>
      </c>
      <c r="AH43">
        <f ca="1">VLOOKUP(AE43,AA40:AD49,4,FALSE)</f>
        <v>16</v>
      </c>
      <c r="AI43" t="str">
        <f ca="1">IF(AND(AF42=AF43,AG42=AG43,AH43&gt;AH42),AE42,AE43)</f>
        <v>Alemania</v>
      </c>
      <c r="AJ43">
        <f ca="1">VLOOKUP(AI43,AE40:AH49,2,FALSE)</f>
        <v>3</v>
      </c>
      <c r="AK43">
        <f ca="1">VLOOKUP(AI43,AE40:AH49,3,FALSE)</f>
        <v>-5</v>
      </c>
      <c r="AL43">
        <f ca="1">VLOOKUP(AI43,AE40:AH49,4,FALSE)</f>
        <v>16</v>
      </c>
    </row>
    <row r="51" spans="6:13">
      <c r="F51" t="s">
        <v>334</v>
      </c>
    </row>
    <row r="52" spans="6:13">
      <c r="F52" t="str">
        <f ca="1">AI40</f>
        <v>España</v>
      </c>
      <c r="G52">
        <f ca="1">VLOOKUP(F52,$F$16:$M$25,2,FALSE)</f>
        <v>3</v>
      </c>
      <c r="H52">
        <f ca="1">VLOOKUP(F52,$F$16:$M$25,3,FALSE)</f>
        <v>2</v>
      </c>
      <c r="I52">
        <f ca="1">VLOOKUP(F52,$F$16:$M$25,4,FALSE)</f>
        <v>0</v>
      </c>
      <c r="J52">
        <f ca="1">VLOOKUP(F52,$F$16:$M$25,5,FALSE)</f>
        <v>1</v>
      </c>
      <c r="K52">
        <f ca="1">VLOOKUP(F52,$F$16:$M$25,6,FALSE)</f>
        <v>22</v>
      </c>
      <c r="L52">
        <f ca="1">VLOOKUP(F52,$F$16:$M$25,7,FALSE)</f>
        <v>11</v>
      </c>
      <c r="M52">
        <f ca="1">VLOOKUP(F52,$F$16:$M$25,8,FALSE)</f>
        <v>6</v>
      </c>
    </row>
    <row r="53" spans="6:13">
      <c r="F53" t="str">
        <f ca="1">AI41</f>
        <v>Japon</v>
      </c>
      <c r="G53">
        <f ca="1">VLOOKUP(F53,$F$16:$M$25,2,FALSE)</f>
        <v>3</v>
      </c>
      <c r="H53">
        <f ca="1">VLOOKUP(F53,$F$16:$M$25,3,FALSE)</f>
        <v>2</v>
      </c>
      <c r="I53">
        <f ca="1">VLOOKUP(F53,$F$16:$M$25,4,FALSE)</f>
        <v>0</v>
      </c>
      <c r="J53">
        <f ca="1">VLOOKUP(F53,$F$16:$M$25,5,FALSE)</f>
        <v>1</v>
      </c>
      <c r="K53">
        <f ca="1">VLOOKUP(F53,$F$16:$M$25,6,FALSE)</f>
        <v>22</v>
      </c>
      <c r="L53">
        <f ca="1">VLOOKUP(F53,$F$16:$M$25,7,FALSE)</f>
        <v>25</v>
      </c>
      <c r="M53">
        <f ca="1">VLOOKUP(F53,$F$16:$M$25,8,FALSE)</f>
        <v>6</v>
      </c>
    </row>
    <row r="54" spans="6:13">
      <c r="F54" t="str">
        <f ca="1">AI42</f>
        <v>Costa Rica</v>
      </c>
      <c r="G54">
        <f ca="1">VLOOKUP(F54,$F$16:$M$25,2,FALSE)</f>
        <v>3</v>
      </c>
      <c r="H54">
        <f ca="1">VLOOKUP(F54,$F$16:$M$25,3,FALSE)</f>
        <v>1</v>
      </c>
      <c r="I54">
        <f ca="1">VLOOKUP(F54,$F$16:$M$25,4,FALSE)</f>
        <v>0</v>
      </c>
      <c r="J54">
        <f ca="1">VLOOKUP(F54,$F$16:$M$25,5,FALSE)</f>
        <v>2</v>
      </c>
      <c r="K54">
        <f ca="1">VLOOKUP(F54,$F$16:$M$25,6,FALSE)</f>
        <v>17</v>
      </c>
      <c r="L54">
        <f ca="1">VLOOKUP(F54,$F$16:$M$25,7,FALSE)</f>
        <v>20</v>
      </c>
      <c r="M54">
        <f ca="1">VLOOKUP(F54,$F$16:$M$25,8,FALSE)</f>
        <v>3</v>
      </c>
    </row>
    <row r="55" spans="6:13">
      <c r="F55" t="str">
        <f ca="1">AI43</f>
        <v>Alemania</v>
      </c>
      <c r="G55">
        <f ca="1">VLOOKUP(F55,$F$16:$M$25,2,FALSE)</f>
        <v>3</v>
      </c>
      <c r="H55">
        <f ca="1">VLOOKUP(F55,$F$16:$M$25,3,FALSE)</f>
        <v>1</v>
      </c>
      <c r="I55">
        <f ca="1">VLOOKUP(F55,$F$16:$M$25,4,FALSE)</f>
        <v>0</v>
      </c>
      <c r="J55">
        <f ca="1">VLOOKUP(F55,$F$16:$M$25,5,FALSE)</f>
        <v>2</v>
      </c>
      <c r="K55">
        <f ca="1">VLOOKUP(F55,$F$16:$M$25,6,FALSE)</f>
        <v>16</v>
      </c>
      <c r="L55">
        <f ca="1">VLOOKUP(F55,$F$16:$M$25,7,FALSE)</f>
        <v>21</v>
      </c>
      <c r="M55">
        <f ca="1">VLOOKUP(F55,$F$16:$M$25,8,FALSE)</f>
        <v>3</v>
      </c>
    </row>
  </sheetData>
  <sheetProtection algorithmName="SHA-512" hashValue="GdscEqh4S/+aorqWQME8Z7V0HGIM87JJdXEp5754o/yDZigq7yH2b0wLf/IFq0kjyn1RnrWolJjIHAmt7E+29g==" saltValue="4jQlgxI6PUVrYMySQxi3rA==" spinCount="100000" sheet="1" selectLockedCells="1" selectUnlockedCells="1"/>
  <customSheetViews>
    <customSheetView guid="{387210E2-BDFB-42E5-A6C7-A37C9701EAB6}" state="hidden" topLeftCell="A24">
      <pane xSplit="5" topLeftCell="F1" activePane="topRight" state="frozen"/>
      <selection pane="topRight" activeCell="Q47" sqref="Q47"/>
      <pageMargins left="0" right="0" top="0" bottom="0" header="0" footer="0"/>
      <headerFooter alignWithMargins="0"/>
    </customSheetView>
    <customSheetView guid="{E2621C8A-2AE3-484D-B751-B92E60BB88F8}" state="hidden" topLeftCell="A24">
      <pane xSplit="5" topLeftCell="F1" activePane="topRight" state="frozen"/>
      <selection pane="topRight" activeCell="Q47" sqref="Q47"/>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13"/>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F -'!U7&lt;&gt;"",'- F -'!U7,"")</f>
        <v>Belgica</v>
      </c>
      <c r="N2" t="str">
        <f>IF('- F -'!U9&lt;&gt;"",'- F -'!U9,"")</f>
        <v>Canada</v>
      </c>
      <c r="U2" t="str">
        <f>IF('- F -'!U11&lt;&gt;"",'- F -'!U11,"")</f>
        <v>Marruecos</v>
      </c>
      <c r="AB2" t="str">
        <f>IF('- F -'!U13&lt;&gt;"",'- F -'!U13,"")</f>
        <v>Croacia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F -'!B6</f>
        <v>Belgica</v>
      </c>
      <c r="B4" s="1">
        <f ca="1">IF('- F -'!C6&lt;&gt;"",'- F -'!C6,"")</f>
        <v>10</v>
      </c>
      <c r="C4" s="1" t="str">
        <f>'- F -'!D6</f>
        <v>-</v>
      </c>
      <c r="D4" s="1">
        <f ca="1">IF('- F -'!E6&lt;&gt;"",'- F -'!E6,"")</f>
        <v>8</v>
      </c>
      <c r="E4" s="3" t="str">
        <f>'- F -'!F6</f>
        <v>Canada</v>
      </c>
      <c r="F4" s="1">
        <f ca="1">COUNTBLANK('- F -'!C6:'- F -'!E6)</f>
        <v>0</v>
      </c>
      <c r="G4">
        <f t="shared" ref="G4:G9" ca="1" si="0">IF(AND(F4=0,OR($A4=$G$2,$E4=$G$2)),1,0)</f>
        <v>1</v>
      </c>
      <c r="H4">
        <f t="shared" ref="H4:H9" ca="1" si="1">IF(AND(F4=0,OR(AND($A4=$G$2,$B4&gt;$D4),AND($E4=$G$2,$D4&gt;$B4))),1,0)</f>
        <v>1</v>
      </c>
      <c r="I4">
        <f t="shared" ref="I4:I9" ca="1" si="2">IF(AND(F4=0,G4=1,$B4=$D4),1,0)</f>
        <v>0</v>
      </c>
      <c r="J4">
        <f t="shared" ref="J4:J9" ca="1" si="3">IF(AND(F4=0,OR(AND($A4=$G$2,$B4&lt;$D4),AND($E4=$G$2,$D4&lt;$B4))),1,0)</f>
        <v>0</v>
      </c>
      <c r="K4">
        <f t="shared" ref="K4:K9" ca="1" si="4">IF(F4&gt;0,0,IF($A4=$G$2,$B4,IF($E4=$G$2,$D4,0)))</f>
        <v>10</v>
      </c>
      <c r="L4">
        <f t="shared" ref="L4:L9" ca="1" si="5">IF(F4&gt;0,0,IF($A4=$G$2,$D4,IF($E4=$G$2,$B4,0)))</f>
        <v>8</v>
      </c>
      <c r="N4">
        <f t="shared" ref="N4:N9" ca="1" si="6">IF(AND(F4=0,OR($A4=$N$2,$E4=$N$2)),1,0)</f>
        <v>1</v>
      </c>
      <c r="O4">
        <f t="shared" ref="O4:O9" ca="1" si="7">IF(AND(F4=0,OR(AND($A4=$N$2,$B4&gt;$D4),AND($E4=$N$2,$D4&gt;$B4))),1,0)</f>
        <v>0</v>
      </c>
      <c r="P4">
        <f t="shared" ref="P4:P9" ca="1" si="8">IF(AND(F4=0,N4=1,$B4=$D4),1,0)</f>
        <v>0</v>
      </c>
      <c r="Q4">
        <f t="shared" ref="Q4:Q9" ca="1" si="9">IF(AND(F4=0,OR(AND($A4=$N$2,$B4&lt;$D4),AND($E4=$N$2,$D4&lt;$B4))),1,0)</f>
        <v>1</v>
      </c>
      <c r="R4">
        <f t="shared" ref="R4:R9" ca="1" si="10">IF(F4&gt;0,0,IF($A4=$N$2,$B4,IF($E4=$N$2,$D4,0)))</f>
        <v>8</v>
      </c>
      <c r="S4">
        <f t="shared" ref="S4:S9" ca="1" si="11">IF(F4&gt;0,0,IF($A4=$N$2,$D4,IF($E4=$N$2,$B4,0)))</f>
        <v>10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F -'!B7</f>
        <v>Marruecos</v>
      </c>
      <c r="B5" s="1">
        <f ca="1">IF('- F -'!C7&lt;&gt;"",'- F -'!C7,"")</f>
        <v>1</v>
      </c>
      <c r="C5" s="1" t="str">
        <f>'- F -'!D7</f>
        <v>-</v>
      </c>
      <c r="D5" s="1">
        <f ca="1">IF('- F -'!E7&lt;&gt;"",'- F -'!E7,"")</f>
        <v>8</v>
      </c>
      <c r="E5" s="3" t="str">
        <f>'- F -'!F7</f>
        <v>Croacia</v>
      </c>
      <c r="F5" s="1">
        <f ca="1">COUNTBLANK('- F -'!C7:'- F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0</v>
      </c>
      <c r="X5">
        <f t="shared" ca="1" si="15"/>
        <v>1</v>
      </c>
      <c r="Y5">
        <f t="shared" ca="1" si="16"/>
        <v>1</v>
      </c>
      <c r="Z5">
        <f t="shared" ca="1" si="17"/>
        <v>8</v>
      </c>
      <c r="AB5">
        <f t="shared" ca="1" si="18"/>
        <v>1</v>
      </c>
      <c r="AC5">
        <f t="shared" ca="1" si="19"/>
        <v>1</v>
      </c>
      <c r="AD5">
        <f t="shared" ca="1" si="20"/>
        <v>0</v>
      </c>
      <c r="AE5">
        <f t="shared" ca="1" si="21"/>
        <v>0</v>
      </c>
      <c r="AF5">
        <f t="shared" ca="1" si="22"/>
        <v>8</v>
      </c>
      <c r="AG5">
        <f t="shared" ca="1" si="23"/>
        <v>1</v>
      </c>
    </row>
    <row r="6" spans="1:36">
      <c r="A6" s="2" t="str">
        <f>'- F -'!B8</f>
        <v>Croacia</v>
      </c>
      <c r="B6" s="1">
        <f ca="1">IF('- F -'!C8&lt;&gt;"",'- F -'!C8,"")</f>
        <v>0</v>
      </c>
      <c r="C6" s="1" t="str">
        <f>'- F -'!D8</f>
        <v>-</v>
      </c>
      <c r="D6" s="1">
        <f ca="1">IF('- F -'!E8&lt;&gt;"",'- F -'!E8,"")</f>
        <v>7</v>
      </c>
      <c r="E6" s="3" t="str">
        <f>'- F -'!F8</f>
        <v>Canada</v>
      </c>
      <c r="F6" s="1">
        <f ca="1">COUNTBLANK('- F -'!C8:'- F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7</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0</v>
      </c>
      <c r="AG6">
        <f t="shared" ca="1" si="23"/>
        <v>7</v>
      </c>
    </row>
    <row r="7" spans="1:36">
      <c r="A7" s="2" t="str">
        <f>'- F -'!B9</f>
        <v>Belgica</v>
      </c>
      <c r="B7" s="1">
        <f ca="1">IF('- F -'!C9&lt;&gt;"",'- F -'!C9,"")</f>
        <v>2</v>
      </c>
      <c r="C7" s="1" t="str">
        <f>'- F -'!D9</f>
        <v>-</v>
      </c>
      <c r="D7" s="1">
        <f ca="1">IF('- F -'!E9&lt;&gt;"",'- F -'!E9,"")</f>
        <v>10</v>
      </c>
      <c r="E7" s="3" t="str">
        <f>'- F -'!F9</f>
        <v>Marruecos</v>
      </c>
      <c r="F7" s="1">
        <f ca="1">COUNTBLANK('- F -'!C9:'- F -'!E9)</f>
        <v>0</v>
      </c>
      <c r="G7">
        <f t="shared" ca="1" si="0"/>
        <v>1</v>
      </c>
      <c r="H7">
        <f t="shared" ca="1" si="1"/>
        <v>0</v>
      </c>
      <c r="I7">
        <f t="shared" ca="1" si="2"/>
        <v>0</v>
      </c>
      <c r="J7">
        <f t="shared" ca="1" si="3"/>
        <v>1</v>
      </c>
      <c r="K7">
        <f t="shared" ca="1" si="4"/>
        <v>2</v>
      </c>
      <c r="L7">
        <f t="shared" ca="1" si="5"/>
        <v>10</v>
      </c>
      <c r="N7">
        <f t="shared" ca="1" si="6"/>
        <v>0</v>
      </c>
      <c r="O7">
        <f t="shared" ca="1" si="7"/>
        <v>0</v>
      </c>
      <c r="P7">
        <f t="shared" ca="1" si="8"/>
        <v>0</v>
      </c>
      <c r="Q7">
        <f t="shared" ca="1" si="9"/>
        <v>0</v>
      </c>
      <c r="R7">
        <f t="shared" ca="1" si="10"/>
        <v>0</v>
      </c>
      <c r="S7">
        <f t="shared" ca="1" si="11"/>
        <v>0</v>
      </c>
      <c r="U7">
        <f t="shared" ca="1" si="12"/>
        <v>1</v>
      </c>
      <c r="V7">
        <f t="shared" ca="1" si="13"/>
        <v>1</v>
      </c>
      <c r="W7">
        <f t="shared" ca="1" si="14"/>
        <v>0</v>
      </c>
      <c r="X7">
        <f t="shared" ca="1" si="15"/>
        <v>0</v>
      </c>
      <c r="Y7">
        <f t="shared" ca="1" si="16"/>
        <v>10</v>
      </c>
      <c r="Z7">
        <f t="shared" ca="1" si="17"/>
        <v>2</v>
      </c>
      <c r="AB7">
        <f t="shared" ca="1" si="18"/>
        <v>0</v>
      </c>
      <c r="AC7">
        <f t="shared" ca="1" si="19"/>
        <v>0</v>
      </c>
      <c r="AD7">
        <f t="shared" ca="1" si="20"/>
        <v>0</v>
      </c>
      <c r="AE7">
        <f t="shared" ca="1" si="21"/>
        <v>0</v>
      </c>
      <c r="AF7">
        <f t="shared" ca="1" si="22"/>
        <v>0</v>
      </c>
      <c r="AG7">
        <f t="shared" ca="1" si="23"/>
        <v>0</v>
      </c>
    </row>
    <row r="8" spans="1:36">
      <c r="A8" s="2" t="str">
        <f>'- F -'!B10</f>
        <v>Croacia</v>
      </c>
      <c r="B8" s="1">
        <f ca="1">IF('- F -'!C10&lt;&gt;"",'- F -'!C10,"")</f>
        <v>7</v>
      </c>
      <c r="C8" s="1" t="str">
        <f>'- F -'!D10</f>
        <v>-</v>
      </c>
      <c r="D8" s="1">
        <f ca="1">IF('- F -'!E10&lt;&gt;"",'- F -'!E10,"")</f>
        <v>3</v>
      </c>
      <c r="E8" s="3" t="str">
        <f>'- F -'!F10</f>
        <v>Belgica</v>
      </c>
      <c r="F8" s="1">
        <f ca="1">COUNTBLANK('- F -'!C10:'- F -'!E10)</f>
        <v>0</v>
      </c>
      <c r="G8">
        <f t="shared" ca="1" si="0"/>
        <v>1</v>
      </c>
      <c r="H8">
        <f t="shared" ca="1" si="1"/>
        <v>0</v>
      </c>
      <c r="I8">
        <f t="shared" ca="1" si="2"/>
        <v>0</v>
      </c>
      <c r="J8">
        <f t="shared" ca="1" si="3"/>
        <v>1</v>
      </c>
      <c r="K8">
        <f t="shared" ca="1" si="4"/>
        <v>3</v>
      </c>
      <c r="L8">
        <f t="shared" ca="1" si="5"/>
        <v>7</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7</v>
      </c>
      <c r="AG8">
        <f t="shared" ca="1" si="23"/>
        <v>3</v>
      </c>
    </row>
    <row r="9" spans="1:36">
      <c r="A9" s="2" t="str">
        <f>'- F -'!B11</f>
        <v>Canada</v>
      </c>
      <c r="B9" s="1">
        <f ca="1">IF('- F -'!C11&lt;&gt;"",'- F -'!C11,"")</f>
        <v>4</v>
      </c>
      <c r="C9" s="1" t="str">
        <f>'- F -'!D11</f>
        <v>-</v>
      </c>
      <c r="D9" s="1">
        <f ca="1">IF('- F -'!E11&lt;&gt;"",'- F -'!E11,"")</f>
        <v>0</v>
      </c>
      <c r="E9" s="3" t="str">
        <f>'- F -'!F11</f>
        <v>Marruecos</v>
      </c>
      <c r="F9" s="1">
        <f ca="1">COUNTBLANK('- F -'!C11:'- F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4</v>
      </c>
      <c r="S9">
        <f t="shared" ca="1" si="11"/>
        <v>0</v>
      </c>
      <c r="U9">
        <f t="shared" ca="1" si="12"/>
        <v>1</v>
      </c>
      <c r="V9">
        <f t="shared" ca="1" si="13"/>
        <v>0</v>
      </c>
      <c r="W9">
        <f t="shared" ca="1" si="14"/>
        <v>0</v>
      </c>
      <c r="X9">
        <f t="shared" ca="1" si="15"/>
        <v>1</v>
      </c>
      <c r="Y9">
        <f t="shared" ca="1" si="16"/>
        <v>0</v>
      </c>
      <c r="Z9">
        <f t="shared" ca="1" si="17"/>
        <v>4</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0</v>
      </c>
      <c r="J10">
        <f t="shared" ca="1" si="24"/>
        <v>2</v>
      </c>
      <c r="K10">
        <f t="shared" ca="1" si="24"/>
        <v>15</v>
      </c>
      <c r="L10">
        <f t="shared" ca="1" si="24"/>
        <v>25</v>
      </c>
      <c r="M10">
        <f ca="1">H10*3+I10</f>
        <v>3</v>
      </c>
      <c r="N10">
        <f t="shared" ref="N10:S10" ca="1" si="25">SUM(N4:N9)</f>
        <v>3</v>
      </c>
      <c r="O10">
        <f t="shared" ca="1" si="25"/>
        <v>2</v>
      </c>
      <c r="P10">
        <f t="shared" ca="1" si="25"/>
        <v>0</v>
      </c>
      <c r="Q10">
        <f t="shared" ca="1" si="25"/>
        <v>1</v>
      </c>
      <c r="R10">
        <f t="shared" ca="1" si="25"/>
        <v>19</v>
      </c>
      <c r="S10">
        <f t="shared" ca="1" si="25"/>
        <v>10</v>
      </c>
      <c r="T10">
        <f ca="1">O10*3+P10</f>
        <v>6</v>
      </c>
      <c r="U10">
        <f t="shared" ref="U10:Z10" ca="1" si="26">SUM(U4:U9)</f>
        <v>3</v>
      </c>
      <c r="V10">
        <f t="shared" ca="1" si="26"/>
        <v>1</v>
      </c>
      <c r="W10">
        <f t="shared" ca="1" si="26"/>
        <v>0</v>
      </c>
      <c r="X10">
        <f t="shared" ca="1" si="26"/>
        <v>2</v>
      </c>
      <c r="Y10">
        <f t="shared" ca="1" si="26"/>
        <v>11</v>
      </c>
      <c r="Z10">
        <f t="shared" ca="1" si="26"/>
        <v>14</v>
      </c>
      <c r="AA10">
        <f ca="1">V10*3+W10</f>
        <v>3</v>
      </c>
      <c r="AB10">
        <f t="shared" ref="AB10:AG10" ca="1" si="27">SUM(AB4:AB9)</f>
        <v>3</v>
      </c>
      <c r="AC10">
        <f t="shared" ca="1" si="27"/>
        <v>2</v>
      </c>
      <c r="AD10">
        <f t="shared" ca="1" si="27"/>
        <v>0</v>
      </c>
      <c r="AE10">
        <f t="shared" ca="1" si="27"/>
        <v>1</v>
      </c>
      <c r="AF10">
        <f t="shared" ca="1" si="27"/>
        <v>15</v>
      </c>
      <c r="AG10">
        <f t="shared" ca="1" si="27"/>
        <v>11</v>
      </c>
      <c r="AH10">
        <f ca="1">AC10*3+AD10</f>
        <v>6</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Belgica</v>
      </c>
      <c r="G16">
        <f t="shared" ref="G16:M16" ca="1" si="28">G10</f>
        <v>3</v>
      </c>
      <c r="H16">
        <f t="shared" ca="1" si="28"/>
        <v>1</v>
      </c>
      <c r="I16">
        <f t="shared" ca="1" si="28"/>
        <v>0</v>
      </c>
      <c r="J16">
        <f t="shared" ca="1" si="28"/>
        <v>2</v>
      </c>
      <c r="K16">
        <f t="shared" ca="1" si="28"/>
        <v>15</v>
      </c>
      <c r="L16">
        <f t="shared" ca="1" si="28"/>
        <v>25</v>
      </c>
      <c r="M16">
        <f t="shared" ca="1" si="28"/>
        <v>3</v>
      </c>
      <c r="O16" t="str">
        <f ca="1">IF($M16&gt;=$M17,$F16,$F17)</f>
        <v>Canada</v>
      </c>
      <c r="P16">
        <f ca="1">VLOOKUP(O16,$F$16:$M$25,8,FALSE)</f>
        <v>6</v>
      </c>
      <c r="S16" t="str">
        <f ca="1">IF($P16&gt;=$P18,$O16,$O18)</f>
        <v>Canada</v>
      </c>
      <c r="T16">
        <f ca="1">VLOOKUP(S16,$O$16:$P$25,2,FALSE)</f>
        <v>6</v>
      </c>
      <c r="W16" t="str">
        <f ca="1">IF($T16&gt;=$T19,$S16,$S19)</f>
        <v>Canada</v>
      </c>
      <c r="X16">
        <f ca="1">VLOOKUP(W16,$S$16:$T$25,2,FALSE)</f>
        <v>6</v>
      </c>
      <c r="AA16" t="str">
        <f ca="1">W16</f>
        <v>Canada</v>
      </c>
      <c r="AB16">
        <f ca="1">VLOOKUP(AA16,W16:X25,2,FALSE)</f>
        <v>6</v>
      </c>
      <c r="AE16" t="str">
        <f ca="1">AA16</f>
        <v>Canada</v>
      </c>
      <c r="AF16">
        <f ca="1">VLOOKUP(AE16,AA16:AB25,2,FALSE)</f>
        <v>6</v>
      </c>
      <c r="AI16" t="str">
        <f ca="1">AE16</f>
        <v>Canada</v>
      </c>
      <c r="AJ16">
        <f ca="1">VLOOKUP(AI16,AE16:AF25,2,FALSE)</f>
        <v>6</v>
      </c>
    </row>
    <row r="17" spans="6:37">
      <c r="F17" t="str">
        <f>N2</f>
        <v>Canada</v>
      </c>
      <c r="G17">
        <f t="shared" ref="G17:M17" ca="1" si="29">N10</f>
        <v>3</v>
      </c>
      <c r="H17">
        <f t="shared" ca="1" si="29"/>
        <v>2</v>
      </c>
      <c r="I17">
        <f t="shared" ca="1" si="29"/>
        <v>0</v>
      </c>
      <c r="J17">
        <f t="shared" ca="1" si="29"/>
        <v>1</v>
      </c>
      <c r="K17">
        <f t="shared" ca="1" si="29"/>
        <v>19</v>
      </c>
      <c r="L17">
        <f t="shared" ca="1" si="29"/>
        <v>10</v>
      </c>
      <c r="M17">
        <f t="shared" ca="1" si="29"/>
        <v>6</v>
      </c>
      <c r="O17" t="str">
        <f ca="1">IF($M17&lt;=$M16,$F17,$F16)</f>
        <v>Belgica</v>
      </c>
      <c r="P17">
        <f ca="1">VLOOKUP(O17,$F$16:$M$25,8,FALSE)</f>
        <v>3</v>
      </c>
      <c r="S17" t="str">
        <f ca="1">O17</f>
        <v>Belgica</v>
      </c>
      <c r="T17">
        <f ca="1">VLOOKUP(S17,$O$16:$P$25,2,FALSE)</f>
        <v>3</v>
      </c>
      <c r="W17" t="str">
        <f ca="1">S17</f>
        <v>Belgica</v>
      </c>
      <c r="X17">
        <f ca="1">VLOOKUP(W17,$S$16:$T$25,2,FALSE)</f>
        <v>3</v>
      </c>
      <c r="AA17" t="str">
        <f ca="1">IF(X17&gt;=X18,W17,W18)</f>
        <v>Belgica</v>
      </c>
      <c r="AB17">
        <f ca="1">VLOOKUP(AA17,W16:X25,2,FALSE)</f>
        <v>3</v>
      </c>
      <c r="AE17" t="str">
        <f ca="1">IF(AB17&gt;=AB19,AA17,AA19)</f>
        <v>Croacia</v>
      </c>
      <c r="AF17">
        <f ca="1">VLOOKUP(AE17,AA16:AB25,2,FALSE)</f>
        <v>6</v>
      </c>
      <c r="AI17" t="str">
        <f ca="1">AE17</f>
        <v>Croacia</v>
      </c>
      <c r="AJ17">
        <f ca="1">VLOOKUP(AI17,AE16:AF25,2,FALSE)</f>
        <v>6</v>
      </c>
    </row>
    <row r="18" spans="6:37">
      <c r="F18" t="str">
        <f>U2</f>
        <v>Marruecos</v>
      </c>
      <c r="G18">
        <f t="shared" ref="G18:M18" ca="1" si="30">U10</f>
        <v>3</v>
      </c>
      <c r="H18">
        <f t="shared" ca="1" si="30"/>
        <v>1</v>
      </c>
      <c r="I18">
        <f t="shared" ca="1" si="30"/>
        <v>0</v>
      </c>
      <c r="J18">
        <f t="shared" ca="1" si="30"/>
        <v>2</v>
      </c>
      <c r="K18">
        <f t="shared" ca="1" si="30"/>
        <v>11</v>
      </c>
      <c r="L18">
        <f t="shared" ca="1" si="30"/>
        <v>14</v>
      </c>
      <c r="M18">
        <f t="shared" ca="1" si="30"/>
        <v>3</v>
      </c>
      <c r="O18" t="str">
        <f>F18</f>
        <v>Marruecos</v>
      </c>
      <c r="P18">
        <f ca="1">VLOOKUP(O18,$F$16:$M$25,8,FALSE)</f>
        <v>3</v>
      </c>
      <c r="S18" t="str">
        <f ca="1">IF($P18&lt;=$P16,$O18,$O16)</f>
        <v>Marruecos</v>
      </c>
      <c r="T18">
        <f ca="1">VLOOKUP(S18,$O$16:$P$25,2,FALSE)</f>
        <v>3</v>
      </c>
      <c r="W18" t="str">
        <f ca="1">S18</f>
        <v>Marruecos</v>
      </c>
      <c r="X18">
        <f ca="1">VLOOKUP(W18,$S$16:$T$25,2,FALSE)</f>
        <v>3</v>
      </c>
      <c r="AA18" t="str">
        <f ca="1">IF(X18&lt;=X17,W18,W17)</f>
        <v>Marruecos</v>
      </c>
      <c r="AB18">
        <f ca="1">VLOOKUP(AA18,W16:X25,2,FALSE)</f>
        <v>3</v>
      </c>
      <c r="AE18" t="str">
        <f ca="1">AA18</f>
        <v>Marruecos</v>
      </c>
      <c r="AF18">
        <f ca="1">VLOOKUP(AE18,AA16:AB25,2,FALSE)</f>
        <v>3</v>
      </c>
      <c r="AI18" t="str">
        <f ca="1">IF(AF18&gt;=AF19,AE18,AE19)</f>
        <v>Marruecos</v>
      </c>
      <c r="AJ18">
        <f ca="1">VLOOKUP(AI18,AE16:AF25,2,FALSE)</f>
        <v>3</v>
      </c>
    </row>
    <row r="19" spans="6:37">
      <c r="F19" t="str">
        <f>AB2</f>
        <v>Croacia</v>
      </c>
      <c r="G19">
        <f t="shared" ref="G19:M19" ca="1" si="31">AB10</f>
        <v>3</v>
      </c>
      <c r="H19">
        <f t="shared" ca="1" si="31"/>
        <v>2</v>
      </c>
      <c r="I19">
        <f t="shared" ca="1" si="31"/>
        <v>0</v>
      </c>
      <c r="J19">
        <f t="shared" ca="1" si="31"/>
        <v>1</v>
      </c>
      <c r="K19">
        <f t="shared" ca="1" si="31"/>
        <v>15</v>
      </c>
      <c r="L19">
        <f t="shared" ca="1" si="31"/>
        <v>11</v>
      </c>
      <c r="M19">
        <f t="shared" ca="1" si="31"/>
        <v>6</v>
      </c>
      <c r="O19" t="str">
        <f>F19</f>
        <v>Croacia</v>
      </c>
      <c r="P19">
        <f ca="1">VLOOKUP(O19,$F$16:$M$25,8,FALSE)</f>
        <v>6</v>
      </c>
      <c r="S19" t="str">
        <f>O19</f>
        <v>Croacia</v>
      </c>
      <c r="T19">
        <f ca="1">VLOOKUP(S19,$O$16:$P$25,2,FALSE)</f>
        <v>6</v>
      </c>
      <c r="W19" t="str">
        <f ca="1">IF($T19&lt;=$T16,$S19,$S16)</f>
        <v>Croacia</v>
      </c>
      <c r="X19">
        <f ca="1">VLOOKUP(W19,$S$16:$T$25,2,FALSE)</f>
        <v>6</v>
      </c>
      <c r="AA19" t="str">
        <f ca="1">W19</f>
        <v>Croacia</v>
      </c>
      <c r="AB19">
        <f ca="1">VLOOKUP(AA19,W16:X25,2,FALSE)</f>
        <v>6</v>
      </c>
      <c r="AE19" t="str">
        <f ca="1">IF(AB19&lt;=AB17,AA19,AA17)</f>
        <v>Belgica</v>
      </c>
      <c r="AF19">
        <f ca="1">VLOOKUP(AE19,AA16:AB25,2,FALSE)</f>
        <v>3</v>
      </c>
      <c r="AI19" t="str">
        <f ca="1">IF(AF19&lt;=AF18,AE19,AE18)</f>
        <v>Belgica</v>
      </c>
      <c r="AJ19">
        <f ca="1">VLOOKUP(AI19,AE16:AF25,2,FALSE)</f>
        <v>3</v>
      </c>
    </row>
    <row r="28" spans="6:37">
      <c r="F28" t="str">
        <f ca="1">AI16</f>
        <v>Canada</v>
      </c>
      <c r="J28">
        <f ca="1">AJ16</f>
        <v>6</v>
      </c>
      <c r="K28">
        <f ca="1">VLOOKUP(AI16,$F$16:$M$25,6,FALSE)</f>
        <v>19</v>
      </c>
      <c r="L28">
        <f ca="1">VLOOKUP(AI16,$F$16:$M$25,7,FALSE)</f>
        <v>10</v>
      </c>
      <c r="M28">
        <f ca="1">K28-L28</f>
        <v>9</v>
      </c>
      <c r="O28" t="str">
        <f ca="1">IF(AND($J28=$J29,$M29&gt;$M28),$F29,$F28)</f>
        <v>Canada</v>
      </c>
      <c r="P28">
        <f ca="1">VLOOKUP(O28,$F$28:$M$37,5,FALSE)</f>
        <v>6</v>
      </c>
      <c r="Q28">
        <f ca="1">VLOOKUP(O28,$F$28:$M$37,8,FALSE)</f>
        <v>9</v>
      </c>
      <c r="S28" t="str">
        <f ca="1">IF(AND(P28=P30,Q30&gt;Q28),O30,O28)</f>
        <v>Canada</v>
      </c>
      <c r="T28">
        <f ca="1">VLOOKUP(S28,$O$28:$Q$37,2,FALSE)</f>
        <v>6</v>
      </c>
      <c r="U28">
        <f ca="1">VLOOKUP(S28,$O$28:$Q$37,3,FALSE)</f>
        <v>9</v>
      </c>
      <c r="W28" t="str">
        <f ca="1">IF(AND(T28=T31,U31&gt;U28),S31,S28)</f>
        <v>Canada</v>
      </c>
      <c r="X28">
        <f ca="1">VLOOKUP(W28,$S$28:$U$37,2,FALSE)</f>
        <v>6</v>
      </c>
      <c r="Y28">
        <f ca="1">VLOOKUP(W28,$S$28:$U$37,3,FALSE)</f>
        <v>9</v>
      </c>
      <c r="AA28" t="str">
        <f ca="1">W28</f>
        <v>Canada</v>
      </c>
      <c r="AB28">
        <f ca="1">VLOOKUP(AA28,W28:Y37,2,FALSE)</f>
        <v>6</v>
      </c>
      <c r="AC28">
        <f ca="1">VLOOKUP(AA28,W28:Y37,3,FALSE)</f>
        <v>9</v>
      </c>
      <c r="AE28" t="str">
        <f ca="1">AA28</f>
        <v>Canada</v>
      </c>
      <c r="AF28">
        <f ca="1">VLOOKUP(AE28,AA28:AC37,2,FALSE)</f>
        <v>6</v>
      </c>
      <c r="AG28">
        <f ca="1">VLOOKUP(AE28,AA28:AC37,3,FALSE)</f>
        <v>9</v>
      </c>
      <c r="AI28" t="str">
        <f ca="1">AE28</f>
        <v>Canada</v>
      </c>
      <c r="AJ28">
        <f ca="1">VLOOKUP(AI28,AE28:AG37,2,FALSE)</f>
        <v>6</v>
      </c>
      <c r="AK28">
        <f ca="1">VLOOKUP(AI28,AE28:AG37,3,FALSE)</f>
        <v>9</v>
      </c>
    </row>
    <row r="29" spans="6:37">
      <c r="F29" t="str">
        <f ca="1">AI17</f>
        <v>Croacia</v>
      </c>
      <c r="J29">
        <f ca="1">AJ17</f>
        <v>6</v>
      </c>
      <c r="K29">
        <f ca="1">VLOOKUP(AI17,$F$16:$M$25,6,FALSE)</f>
        <v>15</v>
      </c>
      <c r="L29">
        <f ca="1">VLOOKUP(AI17,$F$16:$M$25,7,FALSE)</f>
        <v>11</v>
      </c>
      <c r="M29">
        <f ca="1">K29-L29</f>
        <v>4</v>
      </c>
      <c r="O29" t="str">
        <f ca="1">IF(AND($J28=$J29,$M29&gt;$M28),$F28,$F29)</f>
        <v>Croacia</v>
      </c>
      <c r="P29">
        <f ca="1">VLOOKUP(O29,$F$28:$M$37,5,FALSE)</f>
        <v>6</v>
      </c>
      <c r="Q29">
        <f ca="1">VLOOKUP(O29,$F$28:$M$37,8,FALSE)</f>
        <v>4</v>
      </c>
      <c r="S29" t="str">
        <f ca="1">O29</f>
        <v>Croacia</v>
      </c>
      <c r="T29">
        <f ca="1">VLOOKUP(S29,$O$28:$Q$37,2,FALSE)</f>
        <v>6</v>
      </c>
      <c r="U29">
        <f ca="1">VLOOKUP(S29,$O$28:$Q$37,3,FALSE)</f>
        <v>4</v>
      </c>
      <c r="W29" t="str">
        <f ca="1">S29</f>
        <v>Croacia</v>
      </c>
      <c r="X29">
        <f ca="1">VLOOKUP(W29,$S$28:$U$37,2,FALSE)</f>
        <v>6</v>
      </c>
      <c r="Y29">
        <f ca="1">VLOOKUP(W29,$S$28:$U$37,3,FALSE)</f>
        <v>4</v>
      </c>
      <c r="AA29" t="str">
        <f ca="1">IF(AND(X29=X30,Y30&gt;Y29),W30,W29)</f>
        <v>Croacia</v>
      </c>
      <c r="AB29">
        <f ca="1">VLOOKUP(AA29,W28:Y37,2,FALSE)</f>
        <v>6</v>
      </c>
      <c r="AC29">
        <f ca="1">VLOOKUP(AA29,W28:Y37,3,FALSE)</f>
        <v>4</v>
      </c>
      <c r="AE29" t="str">
        <f ca="1">IF(AND(AB29=AB31,AC31&gt;AC29),AA31,AA29)</f>
        <v>Croacia</v>
      </c>
      <c r="AF29">
        <f ca="1">VLOOKUP(AE29,AA28:AC37,2,FALSE)</f>
        <v>6</v>
      </c>
      <c r="AG29">
        <f ca="1">VLOOKUP(AE29,AA28:AC37,3,FALSE)</f>
        <v>4</v>
      </c>
      <c r="AI29" t="str">
        <f ca="1">AE29</f>
        <v>Croacia</v>
      </c>
      <c r="AJ29">
        <f ca="1">VLOOKUP(AI29,AE28:AG37,2,FALSE)</f>
        <v>6</v>
      </c>
      <c r="AK29">
        <f ca="1">VLOOKUP(AI29,AE28:AG37,3,FALSE)</f>
        <v>4</v>
      </c>
    </row>
    <row r="30" spans="6:37">
      <c r="F30" t="str">
        <f ca="1">AI18</f>
        <v>Marruecos</v>
      </c>
      <c r="J30">
        <f ca="1">AJ18</f>
        <v>3</v>
      </c>
      <c r="K30">
        <f ca="1">VLOOKUP(AI18,$F$16:$M$25,6,FALSE)</f>
        <v>11</v>
      </c>
      <c r="L30">
        <f ca="1">VLOOKUP(AI18,$F$16:$M$25,7,FALSE)</f>
        <v>14</v>
      </c>
      <c r="M30">
        <f ca="1">K30-L30</f>
        <v>-3</v>
      </c>
      <c r="O30" t="str">
        <f ca="1">F30</f>
        <v>Marruecos</v>
      </c>
      <c r="P30">
        <f ca="1">VLOOKUP(O30,$F$28:$M$37,5,FALSE)</f>
        <v>3</v>
      </c>
      <c r="Q30">
        <f ca="1">VLOOKUP(O30,$F$28:$M$37,8,FALSE)</f>
        <v>-3</v>
      </c>
      <c r="S30" t="str">
        <f ca="1">IF(AND($P28=P30,Q30&gt;Q28),O28,O30)</f>
        <v>Marruecos</v>
      </c>
      <c r="T30">
        <f ca="1">VLOOKUP(S30,$O$28:$Q$37,2,FALSE)</f>
        <v>3</v>
      </c>
      <c r="U30">
        <f ca="1">VLOOKUP(S30,$O$28:$Q$37,3,FALSE)</f>
        <v>-3</v>
      </c>
      <c r="W30" t="str">
        <f ca="1">S30</f>
        <v>Marruecos</v>
      </c>
      <c r="X30">
        <f ca="1">VLOOKUP(W30,$S$28:$U$37,2,FALSE)</f>
        <v>3</v>
      </c>
      <c r="Y30">
        <f ca="1">VLOOKUP(W30,$S$28:$U$37,3,FALSE)</f>
        <v>-3</v>
      </c>
      <c r="AA30" t="str">
        <f ca="1">IF(AND(X29=X30,Y30&gt;Y29),W29,W30)</f>
        <v>Marruecos</v>
      </c>
      <c r="AB30">
        <f ca="1">VLOOKUP(AA30,W28:Y37,2,FALSE)</f>
        <v>3</v>
      </c>
      <c r="AC30">
        <f ca="1">VLOOKUP(AA30,W28:Y37,3,FALSE)</f>
        <v>-3</v>
      </c>
      <c r="AE30" t="str">
        <f ca="1">AA30</f>
        <v>Marruecos</v>
      </c>
      <c r="AF30">
        <f ca="1">VLOOKUP(AE30,AA28:AC37,2,FALSE)</f>
        <v>3</v>
      </c>
      <c r="AG30">
        <f ca="1">VLOOKUP(AE30,AA28:AC37,3,FALSE)</f>
        <v>-3</v>
      </c>
      <c r="AI30" t="str">
        <f ca="1">IF(AND(AF30=AF31,AG31&gt;AG30),AE31,AE30)</f>
        <v>Marruecos</v>
      </c>
      <c r="AJ30">
        <f ca="1">VLOOKUP(AI30,AE28:AG37,2,FALSE)</f>
        <v>3</v>
      </c>
      <c r="AK30">
        <f ca="1">VLOOKUP(AI30,AE28:AG37,3,FALSE)</f>
        <v>-3</v>
      </c>
    </row>
    <row r="31" spans="6:37">
      <c r="F31" t="str">
        <f ca="1">AI19</f>
        <v>Belgica</v>
      </c>
      <c r="J31">
        <f ca="1">AJ19</f>
        <v>3</v>
      </c>
      <c r="K31">
        <f ca="1">VLOOKUP(AI19,$F$16:$M$25,6,FALSE)</f>
        <v>15</v>
      </c>
      <c r="L31">
        <f ca="1">VLOOKUP(AI19,$F$16:$M$25,7,FALSE)</f>
        <v>25</v>
      </c>
      <c r="M31">
        <f ca="1">K31-L31</f>
        <v>-10</v>
      </c>
      <c r="O31" t="str">
        <f ca="1">F31</f>
        <v>Belgica</v>
      </c>
      <c r="P31">
        <f ca="1">VLOOKUP(O31,$F$28:$M$37,5,FALSE)</f>
        <v>3</v>
      </c>
      <c r="Q31">
        <f ca="1">VLOOKUP(O31,$F$28:$M$37,8,FALSE)</f>
        <v>-10</v>
      </c>
      <c r="S31" t="str">
        <f ca="1">O31</f>
        <v>Belgica</v>
      </c>
      <c r="T31">
        <f ca="1">VLOOKUP(S31,$O$28:$Q$37,2,FALSE)</f>
        <v>3</v>
      </c>
      <c r="U31">
        <f ca="1">VLOOKUP(S31,$O$28:$Q$37,3,FALSE)</f>
        <v>-10</v>
      </c>
      <c r="W31" t="str">
        <f ca="1">IF(AND(T28=T31,U31&gt;U28),S28,S31)</f>
        <v>Belgica</v>
      </c>
      <c r="X31">
        <f ca="1">VLOOKUP(W31,$S$28:$U$37,2,FALSE)</f>
        <v>3</v>
      </c>
      <c r="Y31">
        <f ca="1">VLOOKUP(W31,$S$28:$U$37,3,FALSE)</f>
        <v>-10</v>
      </c>
      <c r="AA31" t="str">
        <f ca="1">W31</f>
        <v>Belgica</v>
      </c>
      <c r="AB31">
        <f ca="1">VLOOKUP(AA31,W28:Y37,2,FALSE)</f>
        <v>3</v>
      </c>
      <c r="AC31">
        <f ca="1">VLOOKUP(AA31,W28:Y37,3,FALSE)</f>
        <v>-10</v>
      </c>
      <c r="AE31" t="str">
        <f ca="1">IF(AND(AB29=AB31,AC31&gt;AC29),AA29,AA31)</f>
        <v>Belgica</v>
      </c>
      <c r="AF31">
        <f ca="1">VLOOKUP(AE31,AA28:AC37,2,FALSE)</f>
        <v>3</v>
      </c>
      <c r="AG31">
        <f ca="1">VLOOKUP(AE31,AA28:AC37,3,FALSE)</f>
        <v>-10</v>
      </c>
      <c r="AI31" t="str">
        <f ca="1">IF(AND(AF30=AF31,AG31&gt;AG30),AE30,AE31)</f>
        <v>Belgica</v>
      </c>
      <c r="AJ31">
        <f ca="1">VLOOKUP(AI31,AE28:AG37,2,FALSE)</f>
        <v>3</v>
      </c>
      <c r="AK31">
        <f ca="1">VLOOKUP(AI31,AE28:AG37,3,FALSE)</f>
        <v>-10</v>
      </c>
    </row>
    <row r="40" spans="6:38">
      <c r="F40" t="str">
        <f ca="1">AI28</f>
        <v>Canada</v>
      </c>
      <c r="J40">
        <f ca="1">VLOOKUP(F40,$F$16:$M$25,8,FALSE)</f>
        <v>6</v>
      </c>
      <c r="K40">
        <f ca="1">VLOOKUP(F40,$F$16:$M$25,6,FALSE)</f>
        <v>19</v>
      </c>
      <c r="L40">
        <f ca="1">VLOOKUP(F40,$F$16:$M$25,7,FALSE)</f>
        <v>10</v>
      </c>
      <c r="M40">
        <f ca="1">K40-L40</f>
        <v>9</v>
      </c>
      <c r="O40" t="str">
        <f ca="1">IF(AND(J40=J41,M40=M41,K41&gt;K40),F41,F40)</f>
        <v>Canada</v>
      </c>
      <c r="P40">
        <f ca="1">VLOOKUP(O40,$F$40:$M$49,5,FALSE)</f>
        <v>6</v>
      </c>
      <c r="Q40">
        <f ca="1">VLOOKUP(O40,$F$40:$M$49,8,FALSE)</f>
        <v>9</v>
      </c>
      <c r="R40">
        <f ca="1">VLOOKUP(O40,$F$40:$M$49,6,FALSE)</f>
        <v>19</v>
      </c>
      <c r="S40" t="str">
        <f ca="1">IF(AND(P40=P42,Q40=Q42,R42&gt;R40),O42,O40)</f>
        <v>Canada</v>
      </c>
      <c r="T40">
        <f ca="1">VLOOKUP(S40,$O$40:$R$49,2,FALSE)</f>
        <v>6</v>
      </c>
      <c r="U40">
        <f ca="1">VLOOKUP(S40,$O$40:$R$49,3,FALSE)</f>
        <v>9</v>
      </c>
      <c r="V40">
        <f ca="1">VLOOKUP(S40,$O$40:$R$49,4,FALSE)</f>
        <v>19</v>
      </c>
      <c r="W40" t="str">
        <f ca="1">IF(AND(T40=T43,U40=U43,V43&gt;V40),S43,S40)</f>
        <v>Canada</v>
      </c>
      <c r="X40">
        <f ca="1">VLOOKUP(W40,$S$40:$V$49,2,FALSE)</f>
        <v>6</v>
      </c>
      <c r="Y40">
        <f ca="1">VLOOKUP(W40,$S$40:$V$49,3,FALSE)</f>
        <v>9</v>
      </c>
      <c r="Z40">
        <f ca="1">VLOOKUP(W40,$S$40:$V$49,4,FALSE)</f>
        <v>19</v>
      </c>
      <c r="AA40" t="str">
        <f ca="1">W40</f>
        <v>Canada</v>
      </c>
      <c r="AB40">
        <f ca="1">VLOOKUP(AA40,W40:Z49,2,FALSE)</f>
        <v>6</v>
      </c>
      <c r="AC40">
        <f ca="1">VLOOKUP(AA40,W40:Z49,3,FALSE)</f>
        <v>9</v>
      </c>
      <c r="AD40">
        <f ca="1">VLOOKUP(AA40,W40:Z49,4,FALSE)</f>
        <v>19</v>
      </c>
      <c r="AE40" t="str">
        <f ca="1">AA40</f>
        <v>Canada</v>
      </c>
      <c r="AF40">
        <f ca="1">VLOOKUP(AE40,AA40:AD49,2,FALSE)</f>
        <v>6</v>
      </c>
      <c r="AG40">
        <f ca="1">VLOOKUP(AE40,AA40:AD49,3,FALSE)</f>
        <v>9</v>
      </c>
      <c r="AH40">
        <f ca="1">VLOOKUP(AE40,AA40:AD49,4,FALSE)</f>
        <v>19</v>
      </c>
      <c r="AI40" t="str">
        <f ca="1">AE40</f>
        <v>Canada</v>
      </c>
      <c r="AJ40">
        <f ca="1">VLOOKUP(AI40,AE40:AH49,2,FALSE)</f>
        <v>6</v>
      </c>
      <c r="AK40">
        <f ca="1">VLOOKUP(AI40,AE40:AH49,3,FALSE)</f>
        <v>9</v>
      </c>
      <c r="AL40">
        <f ca="1">VLOOKUP(AI40,AE40:AH49,4,FALSE)</f>
        <v>19</v>
      </c>
    </row>
    <row r="41" spans="6:38">
      <c r="F41" t="str">
        <f ca="1">AI29</f>
        <v>Croacia</v>
      </c>
      <c r="J41">
        <f ca="1">VLOOKUP(F41,$F$16:$M$25,8,FALSE)</f>
        <v>6</v>
      </c>
      <c r="K41">
        <f ca="1">VLOOKUP(F41,$F$16:$M$25,6,FALSE)</f>
        <v>15</v>
      </c>
      <c r="L41">
        <f ca="1">VLOOKUP(F41,$F$16:$M$25,7,FALSE)</f>
        <v>11</v>
      </c>
      <c r="M41">
        <f ca="1">K41-L41</f>
        <v>4</v>
      </c>
      <c r="O41" t="str">
        <f ca="1">IF(AND(J40=J41,M40=M41,K41&gt;K40),F40,F41)</f>
        <v>Croacia</v>
      </c>
      <c r="P41">
        <f ca="1">VLOOKUP(O41,$F$40:$M$49,5,FALSE)</f>
        <v>6</v>
      </c>
      <c r="Q41">
        <f ca="1">VLOOKUP(O41,$F$40:$M$49,8,FALSE)</f>
        <v>4</v>
      </c>
      <c r="R41">
        <f ca="1">VLOOKUP(O41,$F$40:$M$49,6,FALSE)</f>
        <v>15</v>
      </c>
      <c r="S41" t="str">
        <f ca="1">O41</f>
        <v>Croacia</v>
      </c>
      <c r="T41">
        <f ca="1">VLOOKUP(S41,$O$40:$R$49,2,FALSE)</f>
        <v>6</v>
      </c>
      <c r="U41">
        <f ca="1">VLOOKUP(S41,$O$40:$R$49,3,FALSE)</f>
        <v>4</v>
      </c>
      <c r="V41">
        <f ca="1">VLOOKUP(S41,$O$40:$R$49,4,FALSE)</f>
        <v>15</v>
      </c>
      <c r="W41" t="str">
        <f ca="1">S41</f>
        <v>Croacia</v>
      </c>
      <c r="X41">
        <f ca="1">VLOOKUP(W41,$S$40:$V$49,2,FALSE)</f>
        <v>6</v>
      </c>
      <c r="Y41">
        <f ca="1">VLOOKUP(W41,$S$40:$V$49,3,FALSE)</f>
        <v>4</v>
      </c>
      <c r="Z41">
        <f ca="1">VLOOKUP(W41,$S$40:$V$49,4,FALSE)</f>
        <v>15</v>
      </c>
      <c r="AA41" t="str">
        <f ca="1">IF(AND(X41=X42,Y41=Y42,Z42&gt;Z41),W42,W41)</f>
        <v>Croacia</v>
      </c>
      <c r="AB41">
        <f ca="1">VLOOKUP(AA41,W40:Z49,2,FALSE)</f>
        <v>6</v>
      </c>
      <c r="AC41">
        <f ca="1">VLOOKUP(AA41,W40:Z49,3,FALSE)</f>
        <v>4</v>
      </c>
      <c r="AD41">
        <f ca="1">VLOOKUP(AA41,W40:Z49,4,FALSE)</f>
        <v>15</v>
      </c>
      <c r="AE41" t="str">
        <f ca="1">IF(AND(AB41=AB43,AC41=AC43,AD43&gt;AD41),AA43,AA41)</f>
        <v>Croacia</v>
      </c>
      <c r="AF41">
        <f ca="1">VLOOKUP(AE41,AA40:AD49,2,FALSE)</f>
        <v>6</v>
      </c>
      <c r="AG41">
        <f ca="1">VLOOKUP(AE41,AA40:AD49,3,FALSE)</f>
        <v>4</v>
      </c>
      <c r="AH41">
        <f ca="1">VLOOKUP(AE41,AA40:AD49,4,FALSE)</f>
        <v>15</v>
      </c>
      <c r="AI41" t="str">
        <f ca="1">AE41</f>
        <v>Croacia</v>
      </c>
      <c r="AJ41">
        <f ca="1">VLOOKUP(AI41,AE40:AH49,2,FALSE)</f>
        <v>6</v>
      </c>
      <c r="AK41">
        <f ca="1">VLOOKUP(AI41,AE40:AH49,3,FALSE)</f>
        <v>4</v>
      </c>
      <c r="AL41">
        <f ca="1">VLOOKUP(AI41,AE40:AH49,4,FALSE)</f>
        <v>15</v>
      </c>
    </row>
    <row r="42" spans="6:38">
      <c r="F42" t="str">
        <f ca="1">AI30</f>
        <v>Marruecos</v>
      </c>
      <c r="J42">
        <f ca="1">VLOOKUP(F42,$F$16:$M$25,8,FALSE)</f>
        <v>3</v>
      </c>
      <c r="K42">
        <f ca="1">VLOOKUP(F42,$F$16:$M$25,6,FALSE)</f>
        <v>11</v>
      </c>
      <c r="L42">
        <f ca="1">VLOOKUP(F42,$F$16:$M$25,7,FALSE)</f>
        <v>14</v>
      </c>
      <c r="M42">
        <f ca="1">K42-L42</f>
        <v>-3</v>
      </c>
      <c r="O42" t="str">
        <f ca="1">F42</f>
        <v>Marruecos</v>
      </c>
      <c r="P42">
        <f ca="1">VLOOKUP(O42,$F$40:$M$49,5,FALSE)</f>
        <v>3</v>
      </c>
      <c r="Q42">
        <f ca="1">VLOOKUP(O42,$F$40:$M$49,8,FALSE)</f>
        <v>-3</v>
      </c>
      <c r="R42">
        <f ca="1">VLOOKUP(O42,$F$40:$M$49,6,FALSE)</f>
        <v>11</v>
      </c>
      <c r="S42" t="str">
        <f ca="1">IF(AND(P40=P42,Q40=Q42,R42&gt;R40),O40,O42)</f>
        <v>Marruecos</v>
      </c>
      <c r="T42">
        <f ca="1">VLOOKUP(S42,$O$40:$R$49,2,FALSE)</f>
        <v>3</v>
      </c>
      <c r="U42">
        <f ca="1">VLOOKUP(S42,$O$40:$R$49,3,FALSE)</f>
        <v>-3</v>
      </c>
      <c r="V42">
        <f ca="1">VLOOKUP(S42,$O$40:$R$49,4,FALSE)</f>
        <v>11</v>
      </c>
      <c r="W42" t="str">
        <f ca="1">S42</f>
        <v>Marruecos</v>
      </c>
      <c r="X42">
        <f ca="1">VLOOKUP(W42,$S$40:$V$49,2,FALSE)</f>
        <v>3</v>
      </c>
      <c r="Y42">
        <f ca="1">VLOOKUP(W42,$S$40:$V$49,3,FALSE)</f>
        <v>-3</v>
      </c>
      <c r="Z42">
        <f ca="1">VLOOKUP(W42,$S$40:$V$49,4,FALSE)</f>
        <v>11</v>
      </c>
      <c r="AA42" t="str">
        <f ca="1">IF(AND(X41=X42,Y41=Y42,Z42&gt;Z41),W41,W42)</f>
        <v>Marruecos</v>
      </c>
      <c r="AB42">
        <f ca="1">VLOOKUP(AA42,W40:Z49,2,FALSE)</f>
        <v>3</v>
      </c>
      <c r="AC42">
        <f ca="1">VLOOKUP(AA42,W40:Z49,3,FALSE)</f>
        <v>-3</v>
      </c>
      <c r="AD42">
        <f ca="1">VLOOKUP(AA42,W40:Z49,4,FALSE)</f>
        <v>11</v>
      </c>
      <c r="AE42" t="str">
        <f ca="1">AA42</f>
        <v>Marruecos</v>
      </c>
      <c r="AF42">
        <f ca="1">VLOOKUP(AE42,AA40:AD49,2,FALSE)</f>
        <v>3</v>
      </c>
      <c r="AG42">
        <f ca="1">VLOOKUP(AE42,AA40:AD49,3,FALSE)</f>
        <v>-3</v>
      </c>
      <c r="AH42">
        <f ca="1">VLOOKUP(AE42,AA40:AD49,4,FALSE)</f>
        <v>11</v>
      </c>
      <c r="AI42" t="str">
        <f ca="1">IF(AND(AF42=AF43,AG42=AG43,AH43&gt;AH42),AE43,AE42)</f>
        <v>Marruecos</v>
      </c>
      <c r="AJ42">
        <f ca="1">VLOOKUP(AI42,AE40:AH49,2,FALSE)</f>
        <v>3</v>
      </c>
      <c r="AK42">
        <f ca="1">VLOOKUP(AI42,AE40:AH49,3,FALSE)</f>
        <v>-3</v>
      </c>
      <c r="AL42">
        <f ca="1">VLOOKUP(AI42,AE40:AH49,4,FALSE)</f>
        <v>11</v>
      </c>
    </row>
    <row r="43" spans="6:38">
      <c r="F43" t="str">
        <f ca="1">AI31</f>
        <v>Belgica</v>
      </c>
      <c r="J43">
        <f ca="1">VLOOKUP(F43,$F$16:$M$25,8,FALSE)</f>
        <v>3</v>
      </c>
      <c r="K43">
        <f ca="1">VLOOKUP(F43,$F$16:$M$25,6,FALSE)</f>
        <v>15</v>
      </c>
      <c r="L43">
        <f ca="1">VLOOKUP(F43,$F$16:$M$25,7,FALSE)</f>
        <v>25</v>
      </c>
      <c r="M43">
        <f ca="1">K43-L43</f>
        <v>-10</v>
      </c>
      <c r="O43" t="str">
        <f ca="1">F43</f>
        <v>Belgica</v>
      </c>
      <c r="P43">
        <f ca="1">VLOOKUP(O43,$F$40:$M$49,5,FALSE)</f>
        <v>3</v>
      </c>
      <c r="Q43">
        <f ca="1">VLOOKUP(O43,$F$40:$M$49,8,FALSE)</f>
        <v>-10</v>
      </c>
      <c r="R43">
        <f ca="1">VLOOKUP(O43,$F$40:$M$49,6,FALSE)</f>
        <v>15</v>
      </c>
      <c r="S43" t="str">
        <f ca="1">O43</f>
        <v>Belgica</v>
      </c>
      <c r="T43">
        <f ca="1">VLOOKUP(S43,$O$40:$R$49,2,FALSE)</f>
        <v>3</v>
      </c>
      <c r="U43">
        <f ca="1">VLOOKUP(S43,$O$40:$R$49,3,FALSE)</f>
        <v>-10</v>
      </c>
      <c r="V43">
        <f ca="1">VLOOKUP(S43,$O$40:$R$49,4,FALSE)</f>
        <v>15</v>
      </c>
      <c r="W43" t="str">
        <f ca="1">IF(AND(T40=T43,U40=U43,V43&gt;V40),S40,S43)</f>
        <v>Belgica</v>
      </c>
      <c r="X43">
        <f ca="1">VLOOKUP(W43,$S$40:$V$49,2,FALSE)</f>
        <v>3</v>
      </c>
      <c r="Y43">
        <f ca="1">VLOOKUP(W43,$S$40:$V$49,3,FALSE)</f>
        <v>-10</v>
      </c>
      <c r="Z43">
        <f ca="1">VLOOKUP(W43,$S$40:$V$49,4,FALSE)</f>
        <v>15</v>
      </c>
      <c r="AA43" t="str">
        <f ca="1">W43</f>
        <v>Belgica</v>
      </c>
      <c r="AB43">
        <f ca="1">VLOOKUP(AA43,W40:Z49,2,FALSE)</f>
        <v>3</v>
      </c>
      <c r="AC43">
        <f ca="1">VLOOKUP(AA43,W40:Z49,3,FALSE)</f>
        <v>-10</v>
      </c>
      <c r="AD43">
        <f ca="1">VLOOKUP(AA43,W40:Z49,4,FALSE)</f>
        <v>15</v>
      </c>
      <c r="AE43" t="str">
        <f ca="1">IF(AND(AB41=AB43,AC41=AC43,AD43&gt;AD41),AA41,AA43)</f>
        <v>Belgica</v>
      </c>
      <c r="AF43">
        <f ca="1">VLOOKUP(AE43,AA40:AD49,2,FALSE)</f>
        <v>3</v>
      </c>
      <c r="AG43">
        <f ca="1">VLOOKUP(AE43,AA40:AD49,3,FALSE)</f>
        <v>-10</v>
      </c>
      <c r="AH43">
        <f ca="1">VLOOKUP(AE43,AA40:AD49,4,FALSE)</f>
        <v>15</v>
      </c>
      <c r="AI43" t="str">
        <f ca="1">IF(AND(AF42=AF43,AG42=AG43,AH43&gt;AH42),AE42,AE43)</f>
        <v>Belgica</v>
      </c>
      <c r="AJ43">
        <f ca="1">VLOOKUP(AI43,AE40:AH49,2,FALSE)</f>
        <v>3</v>
      </c>
      <c r="AK43">
        <f ca="1">VLOOKUP(AI43,AE40:AH49,3,FALSE)</f>
        <v>-10</v>
      </c>
      <c r="AL43">
        <f ca="1">VLOOKUP(AI43,AE40:AH49,4,FALSE)</f>
        <v>15</v>
      </c>
    </row>
    <row r="51" spans="6:13">
      <c r="F51" t="s">
        <v>334</v>
      </c>
    </row>
    <row r="52" spans="6:13">
      <c r="F52" t="str">
        <f ca="1">AI40</f>
        <v>Canada</v>
      </c>
      <c r="G52">
        <f ca="1">VLOOKUP(F52,$F$16:$M$25,2,FALSE)</f>
        <v>3</v>
      </c>
      <c r="H52">
        <f ca="1">VLOOKUP(F52,$F$16:$M$25,3,FALSE)</f>
        <v>2</v>
      </c>
      <c r="I52">
        <f ca="1">VLOOKUP(F52,$F$16:$M$25,4,FALSE)</f>
        <v>0</v>
      </c>
      <c r="J52">
        <f ca="1">VLOOKUP(F52,$F$16:$M$25,5,FALSE)</f>
        <v>1</v>
      </c>
      <c r="K52">
        <f ca="1">VLOOKUP(F52,$F$16:$M$25,6,FALSE)</f>
        <v>19</v>
      </c>
      <c r="L52">
        <f ca="1">VLOOKUP(F52,$F$16:$M$25,7,FALSE)</f>
        <v>10</v>
      </c>
      <c r="M52">
        <f ca="1">VLOOKUP(F52,$F$16:$M$25,8,FALSE)</f>
        <v>6</v>
      </c>
    </row>
    <row r="53" spans="6:13">
      <c r="F53" t="str">
        <f ca="1">AI41</f>
        <v>Croacia</v>
      </c>
      <c r="G53">
        <f ca="1">VLOOKUP(F53,$F$16:$M$25,2,FALSE)</f>
        <v>3</v>
      </c>
      <c r="H53">
        <f ca="1">VLOOKUP(F53,$F$16:$M$25,3,FALSE)</f>
        <v>2</v>
      </c>
      <c r="I53">
        <f ca="1">VLOOKUP(F53,$F$16:$M$25,4,FALSE)</f>
        <v>0</v>
      </c>
      <c r="J53">
        <f ca="1">VLOOKUP(F53,$F$16:$M$25,5,FALSE)</f>
        <v>1</v>
      </c>
      <c r="K53">
        <f ca="1">VLOOKUP(F53,$F$16:$M$25,6,FALSE)</f>
        <v>15</v>
      </c>
      <c r="L53">
        <f ca="1">VLOOKUP(F53,$F$16:$M$25,7,FALSE)</f>
        <v>11</v>
      </c>
      <c r="M53">
        <f ca="1">VLOOKUP(F53,$F$16:$M$25,8,FALSE)</f>
        <v>6</v>
      </c>
    </row>
    <row r="54" spans="6:13">
      <c r="F54" t="str">
        <f ca="1">AI42</f>
        <v>Marruecos</v>
      </c>
      <c r="G54">
        <f ca="1">VLOOKUP(F54,$F$16:$M$25,2,FALSE)</f>
        <v>3</v>
      </c>
      <c r="H54">
        <f ca="1">VLOOKUP(F54,$F$16:$M$25,3,FALSE)</f>
        <v>1</v>
      </c>
      <c r="I54">
        <f ca="1">VLOOKUP(F54,$F$16:$M$25,4,FALSE)</f>
        <v>0</v>
      </c>
      <c r="J54">
        <f ca="1">VLOOKUP(F54,$F$16:$M$25,5,FALSE)</f>
        <v>2</v>
      </c>
      <c r="K54">
        <f ca="1">VLOOKUP(F54,$F$16:$M$25,6,FALSE)</f>
        <v>11</v>
      </c>
      <c r="L54">
        <f ca="1">VLOOKUP(F54,$F$16:$M$25,7,FALSE)</f>
        <v>14</v>
      </c>
      <c r="M54">
        <f ca="1">VLOOKUP(F54,$F$16:$M$25,8,FALSE)</f>
        <v>3</v>
      </c>
    </row>
    <row r="55" spans="6:13">
      <c r="F55" t="str">
        <f ca="1">AI43</f>
        <v>Belgica</v>
      </c>
      <c r="G55">
        <f ca="1">VLOOKUP(F55,$F$16:$M$25,2,FALSE)</f>
        <v>3</v>
      </c>
      <c r="H55">
        <f ca="1">VLOOKUP(F55,$F$16:$M$25,3,FALSE)</f>
        <v>1</v>
      </c>
      <c r="I55">
        <f ca="1">VLOOKUP(F55,$F$16:$M$25,4,FALSE)</f>
        <v>0</v>
      </c>
      <c r="J55">
        <f ca="1">VLOOKUP(F55,$F$16:$M$25,5,FALSE)</f>
        <v>2</v>
      </c>
      <c r="K55">
        <f ca="1">VLOOKUP(F55,$F$16:$M$25,6,FALSE)</f>
        <v>15</v>
      </c>
      <c r="L55">
        <f ca="1">VLOOKUP(F55,$F$16:$M$25,7,FALSE)</f>
        <v>25</v>
      </c>
      <c r="M55">
        <f ca="1">VLOOKUP(F55,$F$16:$M$25,8,FALSE)</f>
        <v>3</v>
      </c>
    </row>
  </sheetData>
  <sheetProtection algorithmName="SHA-512" hashValue="//Uz9dZp/8ANjoO6x+yDP51tBOPGXy05oVkhijtEqASiHoPgnR87FIAnwITZyv+mpODdwF52ZtoEXblFCsaUFg==" saltValue="siwd5ukpMj4mwQovG2PSqA==" spinCount="100000" sheet="1" selectLockedCells="1" selectUnlockedCells="1"/>
  <customSheetViews>
    <customSheetView guid="{387210E2-BDFB-42E5-A6C7-A37C9701EAB6}" state="hidden" topLeftCell="A24">
      <pane xSplit="5" topLeftCell="F1" activePane="topRight" state="frozen"/>
      <selection pane="topRight" activeCell="M31" sqref="M31"/>
      <pageMargins left="0" right="0" top="0" bottom="0" header="0" footer="0"/>
      <headerFooter alignWithMargins="0"/>
    </customSheetView>
    <customSheetView guid="{E2621C8A-2AE3-484D-B751-B92E60BB88F8}" state="hidden" topLeftCell="A24">
      <pane xSplit="5" topLeftCell="F1" activePane="topRight" state="frozen"/>
      <selection pane="topRight" activeCell="M31" sqref="M3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15"/>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G -'!U7&lt;&gt;"",'- G -'!U7,"")</f>
        <v>Brasil</v>
      </c>
      <c r="N2" t="str">
        <f>IF('- G -'!U9&lt;&gt;"",'- G -'!U9,"")</f>
        <v>Serbia</v>
      </c>
      <c r="U2" t="str">
        <f>IF('- G -'!U11&lt;&gt;"",'- G -'!U11,"")</f>
        <v>Suiza</v>
      </c>
      <c r="AB2" t="str">
        <f>IF('- G -'!U13&lt;&gt;"",'- G -'!U13,"")</f>
        <v>Camerun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G -'!B6</f>
        <v>Suiza</v>
      </c>
      <c r="B4" s="1">
        <f ca="1">IF('- G -'!C6&lt;&gt;"",'- G -'!C6,"")</f>
        <v>1</v>
      </c>
      <c r="C4" s="1" t="str">
        <f>'- G -'!D6</f>
        <v>-</v>
      </c>
      <c r="D4" s="1">
        <f ca="1">IF('- G -'!E6&lt;&gt;"",'- G -'!E6,"")</f>
        <v>10</v>
      </c>
      <c r="E4" s="3" t="str">
        <f>'- G -'!F6</f>
        <v>Camerun</v>
      </c>
      <c r="F4" s="1">
        <f ca="1">COUNTBLANK('- G -'!C6:'- G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0</v>
      </c>
      <c r="X4">
        <f t="shared" ref="X4:X9" ca="1" si="15">IF(AND(F4=0,OR(AND($A4=$U$2,$B4&lt;$D4),AND($E4=$U$2,$D4&lt;$B4))),1,0)</f>
        <v>1</v>
      </c>
      <c r="Y4">
        <f t="shared" ref="Y4:Y9" ca="1" si="16">IF(F4&gt;0,0,IF($A4=$U$2,$B4,IF($E4=$U$2,$D4,0)))</f>
        <v>1</v>
      </c>
      <c r="Z4">
        <f t="shared" ref="Z4:Z9" ca="1" si="17">IF(F4&gt;0,0,IF($A4=$U$2,$D4,IF($E4=$U$2,$B4,0)))</f>
        <v>10</v>
      </c>
      <c r="AB4">
        <f t="shared" ref="AB4:AB9" ca="1" si="18">IF(AND(F4=0,OR($A4=$AB$2,$E4=$AB$2)),1,0)</f>
        <v>1</v>
      </c>
      <c r="AC4">
        <f t="shared" ref="AC4:AC9" ca="1" si="19">IF(AND(F4=0,OR(AND($A4=$AB$2,$B4&gt;$D4),AND($E4=$AB$2,$D4&gt;$B4))),1,0)</f>
        <v>1</v>
      </c>
      <c r="AD4">
        <f t="shared" ref="AD4:AD9" ca="1" si="20">IF(AND(F4=0,AB4=1,$B4=$D4),1,0)</f>
        <v>0</v>
      </c>
      <c r="AE4">
        <f t="shared" ref="AE4:AE9" ca="1" si="21">IF(AND(F4=0,OR(AND($A4=$AB$2,$B4&lt;$D4),AND($E4=$AB$2,$D4&lt;$B4))),1,0)</f>
        <v>0</v>
      </c>
      <c r="AF4">
        <f t="shared" ref="AF4:AF9" ca="1" si="22">IF(F4&gt;0,0,IF($A4=$AB$2,$B4,IF($E4=$AB$2,$D4,0)))</f>
        <v>10</v>
      </c>
      <c r="AG4">
        <f t="shared" ref="AG4:AG9" ca="1" si="23">IF(F4&gt;0,0,IF($A4=$AB$2,$D4,IF($E4=$AB$2,$B4,0)))</f>
        <v>1</v>
      </c>
    </row>
    <row r="5" spans="1:36">
      <c r="A5" s="2" t="str">
        <f>'- G -'!B7</f>
        <v>Brasil</v>
      </c>
      <c r="B5" s="1">
        <f ca="1">IF('- G -'!C7&lt;&gt;"",'- G -'!C7,"")</f>
        <v>3</v>
      </c>
      <c r="C5" s="1" t="str">
        <f>'- G -'!D7</f>
        <v>-</v>
      </c>
      <c r="D5" s="1">
        <f ca="1">IF('- G -'!E7&lt;&gt;"",'- G -'!E7,"")</f>
        <v>3</v>
      </c>
      <c r="E5" s="3" t="str">
        <f>'- G -'!F7</f>
        <v>Serbia</v>
      </c>
      <c r="F5" s="1">
        <f ca="1">COUNTBLANK('- G -'!C7:'- G -'!E7)</f>
        <v>0</v>
      </c>
      <c r="G5">
        <f t="shared" ca="1" si="0"/>
        <v>1</v>
      </c>
      <c r="H5">
        <f t="shared" ca="1" si="1"/>
        <v>0</v>
      </c>
      <c r="I5">
        <f t="shared" ca="1" si="2"/>
        <v>1</v>
      </c>
      <c r="J5">
        <f t="shared" ca="1" si="3"/>
        <v>0</v>
      </c>
      <c r="K5">
        <f t="shared" ca="1" si="4"/>
        <v>3</v>
      </c>
      <c r="L5">
        <f t="shared" ca="1" si="5"/>
        <v>3</v>
      </c>
      <c r="N5">
        <f t="shared" ca="1" si="6"/>
        <v>1</v>
      </c>
      <c r="O5">
        <f t="shared" ca="1" si="7"/>
        <v>0</v>
      </c>
      <c r="P5">
        <f t="shared" ca="1" si="8"/>
        <v>1</v>
      </c>
      <c r="Q5">
        <f t="shared" ca="1" si="9"/>
        <v>0</v>
      </c>
      <c r="R5">
        <f t="shared" ca="1" si="10"/>
        <v>3</v>
      </c>
      <c r="S5">
        <f t="shared" ca="1" si="11"/>
        <v>3</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G -'!B8</f>
        <v>Brasil</v>
      </c>
      <c r="B6" s="1">
        <f ca="1">IF('- G -'!C8&lt;&gt;"",'- G -'!C8,"")</f>
        <v>1</v>
      </c>
      <c r="C6" s="1" t="str">
        <f>'- G -'!D8</f>
        <v>-</v>
      </c>
      <c r="D6" s="1">
        <f ca="1">IF('- G -'!E8&lt;&gt;"",'- G -'!E8,"")</f>
        <v>7</v>
      </c>
      <c r="E6" s="3" t="str">
        <f>'- G -'!F8</f>
        <v>Suiza</v>
      </c>
      <c r="F6" s="1">
        <f ca="1">COUNTBLANK('- G -'!C8:'- G -'!E8)</f>
        <v>0</v>
      </c>
      <c r="G6">
        <f t="shared" ca="1" si="0"/>
        <v>1</v>
      </c>
      <c r="H6">
        <f t="shared" ca="1" si="1"/>
        <v>0</v>
      </c>
      <c r="I6">
        <f t="shared" ca="1" si="2"/>
        <v>0</v>
      </c>
      <c r="J6">
        <f t="shared" ca="1" si="3"/>
        <v>1</v>
      </c>
      <c r="K6">
        <f t="shared" ca="1" si="4"/>
        <v>1</v>
      </c>
      <c r="L6">
        <f t="shared" ca="1" si="5"/>
        <v>7</v>
      </c>
      <c r="N6">
        <f t="shared" ca="1" si="6"/>
        <v>0</v>
      </c>
      <c r="O6">
        <f t="shared" ca="1" si="7"/>
        <v>0</v>
      </c>
      <c r="P6">
        <f t="shared" ca="1" si="8"/>
        <v>0</v>
      </c>
      <c r="Q6">
        <f t="shared" ca="1" si="9"/>
        <v>0</v>
      </c>
      <c r="R6">
        <f t="shared" ca="1" si="10"/>
        <v>0</v>
      </c>
      <c r="S6">
        <f t="shared" ca="1" si="11"/>
        <v>0</v>
      </c>
      <c r="U6">
        <f t="shared" ca="1" si="12"/>
        <v>1</v>
      </c>
      <c r="V6">
        <f t="shared" ca="1" si="13"/>
        <v>1</v>
      </c>
      <c r="W6">
        <f t="shared" ca="1" si="14"/>
        <v>0</v>
      </c>
      <c r="X6">
        <f t="shared" ca="1" si="15"/>
        <v>0</v>
      </c>
      <c r="Y6">
        <f t="shared" ca="1" si="16"/>
        <v>7</v>
      </c>
      <c r="Z6">
        <f t="shared" ca="1" si="17"/>
        <v>1</v>
      </c>
      <c r="AB6">
        <f t="shared" ca="1" si="18"/>
        <v>0</v>
      </c>
      <c r="AC6">
        <f t="shared" ca="1" si="19"/>
        <v>0</v>
      </c>
      <c r="AD6">
        <f t="shared" ca="1" si="20"/>
        <v>0</v>
      </c>
      <c r="AE6">
        <f t="shared" ca="1" si="21"/>
        <v>0</v>
      </c>
      <c r="AF6">
        <f t="shared" ca="1" si="22"/>
        <v>0</v>
      </c>
      <c r="AG6">
        <f t="shared" ca="1" si="23"/>
        <v>0</v>
      </c>
    </row>
    <row r="7" spans="1:36">
      <c r="A7" s="2" t="str">
        <f>'- G -'!B9</f>
        <v>Camerun</v>
      </c>
      <c r="B7" s="1">
        <f ca="1">IF('- G -'!C9&lt;&gt;"",'- G -'!C9,"")</f>
        <v>10</v>
      </c>
      <c r="C7" s="1" t="str">
        <f>'- G -'!D9</f>
        <v>-</v>
      </c>
      <c r="D7" s="1">
        <f ca="1">IF('- G -'!E9&lt;&gt;"",'- G -'!E9,"")</f>
        <v>9</v>
      </c>
      <c r="E7" s="3" t="str">
        <f>'- G -'!F9</f>
        <v>Serbia</v>
      </c>
      <c r="F7" s="1">
        <f ca="1">COUNTBLANK('- G -'!C9:'- G -'!E9)</f>
        <v>0</v>
      </c>
      <c r="G7">
        <f t="shared" ca="1" si="0"/>
        <v>0</v>
      </c>
      <c r="H7">
        <f t="shared" ca="1" si="1"/>
        <v>0</v>
      </c>
      <c r="I7">
        <f t="shared" ca="1" si="2"/>
        <v>0</v>
      </c>
      <c r="J7">
        <f t="shared" ca="1" si="3"/>
        <v>0</v>
      </c>
      <c r="K7">
        <f t="shared" ca="1" si="4"/>
        <v>0</v>
      </c>
      <c r="L7">
        <f t="shared" ca="1" si="5"/>
        <v>0</v>
      </c>
      <c r="N7">
        <f t="shared" ca="1" si="6"/>
        <v>1</v>
      </c>
      <c r="O7">
        <f t="shared" ca="1" si="7"/>
        <v>0</v>
      </c>
      <c r="P7">
        <f t="shared" ca="1" si="8"/>
        <v>0</v>
      </c>
      <c r="Q7">
        <f t="shared" ca="1" si="9"/>
        <v>1</v>
      </c>
      <c r="R7">
        <f t="shared" ca="1" si="10"/>
        <v>9</v>
      </c>
      <c r="S7">
        <f t="shared" ca="1" si="11"/>
        <v>10</v>
      </c>
      <c r="U7">
        <f t="shared" ca="1" si="12"/>
        <v>0</v>
      </c>
      <c r="V7">
        <f t="shared" ca="1" si="13"/>
        <v>0</v>
      </c>
      <c r="W7">
        <f t="shared" ca="1" si="14"/>
        <v>0</v>
      </c>
      <c r="X7">
        <f t="shared" ca="1" si="15"/>
        <v>0</v>
      </c>
      <c r="Y7">
        <f t="shared" ca="1" si="16"/>
        <v>0</v>
      </c>
      <c r="Z7">
        <f t="shared" ca="1" si="17"/>
        <v>0</v>
      </c>
      <c r="AB7">
        <f t="shared" ca="1" si="18"/>
        <v>1</v>
      </c>
      <c r="AC7">
        <f t="shared" ca="1" si="19"/>
        <v>1</v>
      </c>
      <c r="AD7">
        <f t="shared" ca="1" si="20"/>
        <v>0</v>
      </c>
      <c r="AE7">
        <f t="shared" ca="1" si="21"/>
        <v>0</v>
      </c>
      <c r="AF7">
        <f t="shared" ca="1" si="22"/>
        <v>10</v>
      </c>
      <c r="AG7">
        <f t="shared" ca="1" si="23"/>
        <v>9</v>
      </c>
    </row>
    <row r="8" spans="1:36">
      <c r="A8" s="2" t="str">
        <f>'- G -'!B10</f>
        <v>Camerun</v>
      </c>
      <c r="B8" s="1">
        <f ca="1">IF('- G -'!C10&lt;&gt;"",'- G -'!C10,"")</f>
        <v>3</v>
      </c>
      <c r="C8" s="1" t="str">
        <f>'- G -'!D10</f>
        <v>-</v>
      </c>
      <c r="D8" s="1">
        <f ca="1">IF('- G -'!E10&lt;&gt;"",'- G -'!E10,"")</f>
        <v>1</v>
      </c>
      <c r="E8" s="3" t="str">
        <f>'- G -'!F10</f>
        <v>Brasil</v>
      </c>
      <c r="F8" s="1">
        <f ca="1">COUNTBLANK('- G -'!C10:'- G -'!E10)</f>
        <v>0</v>
      </c>
      <c r="G8">
        <f t="shared" ca="1" si="0"/>
        <v>1</v>
      </c>
      <c r="H8">
        <f t="shared" ca="1" si="1"/>
        <v>0</v>
      </c>
      <c r="I8">
        <f t="shared" ca="1" si="2"/>
        <v>0</v>
      </c>
      <c r="J8">
        <f t="shared" ca="1" si="3"/>
        <v>1</v>
      </c>
      <c r="K8">
        <f t="shared" ca="1" si="4"/>
        <v>1</v>
      </c>
      <c r="L8">
        <f t="shared" ca="1" si="5"/>
        <v>3</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3</v>
      </c>
      <c r="AG8">
        <f t="shared" ca="1" si="23"/>
        <v>1</v>
      </c>
    </row>
    <row r="9" spans="1:36">
      <c r="A9" s="2" t="str">
        <f>'- G -'!B11</f>
        <v>Serbia</v>
      </c>
      <c r="B9" s="1">
        <f ca="1">IF('- G -'!C11&lt;&gt;"",'- G -'!C11,"")</f>
        <v>3</v>
      </c>
      <c r="C9" s="1" t="str">
        <f>'- G -'!D11</f>
        <v>-</v>
      </c>
      <c r="D9" s="1">
        <f ca="1">IF('- G -'!E11&lt;&gt;"",'- G -'!E11,"")</f>
        <v>2</v>
      </c>
      <c r="E9" s="3" t="str">
        <f>'- G -'!F11</f>
        <v>Suiza</v>
      </c>
      <c r="F9" s="1">
        <f ca="1">COUNTBLANK('- G -'!C11:'- G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3</v>
      </c>
      <c r="S9">
        <f t="shared" ca="1" si="11"/>
        <v>2</v>
      </c>
      <c r="U9">
        <f t="shared" ca="1" si="12"/>
        <v>1</v>
      </c>
      <c r="V9">
        <f t="shared" ca="1" si="13"/>
        <v>0</v>
      </c>
      <c r="W9">
        <f t="shared" ca="1" si="14"/>
        <v>0</v>
      </c>
      <c r="X9">
        <f t="shared" ca="1" si="15"/>
        <v>1</v>
      </c>
      <c r="Y9">
        <f t="shared" ca="1" si="16"/>
        <v>2</v>
      </c>
      <c r="Z9">
        <f t="shared" ca="1" si="17"/>
        <v>3</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1</v>
      </c>
      <c r="J10">
        <f t="shared" ca="1" si="24"/>
        <v>2</v>
      </c>
      <c r="K10">
        <f t="shared" ca="1" si="24"/>
        <v>5</v>
      </c>
      <c r="L10">
        <f t="shared" ca="1" si="24"/>
        <v>13</v>
      </c>
      <c r="M10">
        <f ca="1">H10*3+I10</f>
        <v>1</v>
      </c>
      <c r="N10">
        <f t="shared" ref="N10:S10" ca="1" si="25">SUM(N4:N9)</f>
        <v>3</v>
      </c>
      <c r="O10">
        <f t="shared" ca="1" si="25"/>
        <v>1</v>
      </c>
      <c r="P10">
        <f t="shared" ca="1" si="25"/>
        <v>1</v>
      </c>
      <c r="Q10">
        <f t="shared" ca="1" si="25"/>
        <v>1</v>
      </c>
      <c r="R10">
        <f t="shared" ca="1" si="25"/>
        <v>15</v>
      </c>
      <c r="S10">
        <f t="shared" ca="1" si="25"/>
        <v>15</v>
      </c>
      <c r="T10">
        <f ca="1">O10*3+P10</f>
        <v>4</v>
      </c>
      <c r="U10">
        <f t="shared" ref="U10:Z10" ca="1" si="26">SUM(U4:U9)</f>
        <v>3</v>
      </c>
      <c r="V10">
        <f t="shared" ca="1" si="26"/>
        <v>1</v>
      </c>
      <c r="W10">
        <f t="shared" ca="1" si="26"/>
        <v>0</v>
      </c>
      <c r="X10">
        <f t="shared" ca="1" si="26"/>
        <v>2</v>
      </c>
      <c r="Y10">
        <f t="shared" ca="1" si="26"/>
        <v>10</v>
      </c>
      <c r="Z10">
        <f t="shared" ca="1" si="26"/>
        <v>14</v>
      </c>
      <c r="AA10">
        <f ca="1">V10*3+W10</f>
        <v>3</v>
      </c>
      <c r="AB10">
        <f t="shared" ref="AB10:AG10" ca="1" si="27">SUM(AB4:AB9)</f>
        <v>3</v>
      </c>
      <c r="AC10">
        <f t="shared" ca="1" si="27"/>
        <v>3</v>
      </c>
      <c r="AD10">
        <f t="shared" ca="1" si="27"/>
        <v>0</v>
      </c>
      <c r="AE10">
        <f t="shared" ca="1" si="27"/>
        <v>0</v>
      </c>
      <c r="AF10">
        <f t="shared" ca="1" si="27"/>
        <v>23</v>
      </c>
      <c r="AG10">
        <f t="shared" ca="1" si="27"/>
        <v>11</v>
      </c>
      <c r="AH10">
        <f ca="1">AC10*3+AD10</f>
        <v>9</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Brasil</v>
      </c>
      <c r="G16">
        <f t="shared" ref="G16:M16" ca="1" si="28">G10</f>
        <v>3</v>
      </c>
      <c r="H16">
        <f t="shared" ca="1" si="28"/>
        <v>0</v>
      </c>
      <c r="I16">
        <f t="shared" ca="1" si="28"/>
        <v>1</v>
      </c>
      <c r="J16">
        <f t="shared" ca="1" si="28"/>
        <v>2</v>
      </c>
      <c r="K16">
        <f t="shared" ca="1" si="28"/>
        <v>5</v>
      </c>
      <c r="L16">
        <f t="shared" ca="1" si="28"/>
        <v>13</v>
      </c>
      <c r="M16">
        <f t="shared" ca="1" si="28"/>
        <v>1</v>
      </c>
      <c r="O16" t="str">
        <f ca="1">IF($M16&gt;=$M17,$F16,$F17)</f>
        <v>Serbia</v>
      </c>
      <c r="P16">
        <f ca="1">VLOOKUP(O16,$F$16:$M$25,8,FALSE)</f>
        <v>4</v>
      </c>
      <c r="S16" t="str">
        <f ca="1">IF($P16&gt;=$P18,$O16,$O18)</f>
        <v>Serbia</v>
      </c>
      <c r="T16">
        <f ca="1">VLOOKUP(S16,$O$16:$P$25,2,FALSE)</f>
        <v>4</v>
      </c>
      <c r="W16" t="str">
        <f ca="1">IF($T16&gt;=$T19,$S16,$S19)</f>
        <v>Camerun</v>
      </c>
      <c r="X16">
        <f ca="1">VLOOKUP(W16,$S$16:$T$25,2,FALSE)</f>
        <v>9</v>
      </c>
      <c r="AA16" t="str">
        <f ca="1">W16</f>
        <v>Camerun</v>
      </c>
      <c r="AB16">
        <f ca="1">VLOOKUP(AA16,W16:X25,2,FALSE)</f>
        <v>9</v>
      </c>
      <c r="AE16" t="str">
        <f ca="1">AA16</f>
        <v>Camerun</v>
      </c>
      <c r="AF16">
        <f ca="1">VLOOKUP(AE16,AA16:AB25,2,FALSE)</f>
        <v>9</v>
      </c>
      <c r="AI16" t="str">
        <f ca="1">AE16</f>
        <v>Camerun</v>
      </c>
      <c r="AJ16">
        <f ca="1">VLOOKUP(AI16,AE16:AF25,2,FALSE)</f>
        <v>9</v>
      </c>
    </row>
    <row r="17" spans="6:37">
      <c r="F17" t="str">
        <f>N2</f>
        <v>Serbia</v>
      </c>
      <c r="G17">
        <f t="shared" ref="G17:M17" ca="1" si="29">N10</f>
        <v>3</v>
      </c>
      <c r="H17">
        <f t="shared" ca="1" si="29"/>
        <v>1</v>
      </c>
      <c r="I17">
        <f t="shared" ca="1" si="29"/>
        <v>1</v>
      </c>
      <c r="J17">
        <f t="shared" ca="1" si="29"/>
        <v>1</v>
      </c>
      <c r="K17">
        <f t="shared" ca="1" si="29"/>
        <v>15</v>
      </c>
      <c r="L17">
        <f t="shared" ca="1" si="29"/>
        <v>15</v>
      </c>
      <c r="M17">
        <f t="shared" ca="1" si="29"/>
        <v>4</v>
      </c>
      <c r="O17" t="str">
        <f ca="1">IF($M17&lt;=$M16,$F17,$F16)</f>
        <v>Brasil</v>
      </c>
      <c r="P17">
        <f ca="1">VLOOKUP(O17,$F$16:$M$25,8,FALSE)</f>
        <v>1</v>
      </c>
      <c r="S17" t="str">
        <f ca="1">O17</f>
        <v>Brasil</v>
      </c>
      <c r="T17">
        <f ca="1">VLOOKUP(S17,$O$16:$P$25,2,FALSE)</f>
        <v>1</v>
      </c>
      <c r="W17" t="str">
        <f ca="1">S17</f>
        <v>Brasil</v>
      </c>
      <c r="X17">
        <f ca="1">VLOOKUP(W17,$S$16:$T$25,2,FALSE)</f>
        <v>1</v>
      </c>
      <c r="AA17" t="str">
        <f ca="1">IF(X17&gt;=X18,W17,W18)</f>
        <v>Suiza</v>
      </c>
      <c r="AB17">
        <f ca="1">VLOOKUP(AA17,W16:X25,2,FALSE)</f>
        <v>3</v>
      </c>
      <c r="AE17" t="str">
        <f ca="1">IF(AB17&gt;=AB19,AA17,AA19)</f>
        <v>Serbia</v>
      </c>
      <c r="AF17">
        <f ca="1">VLOOKUP(AE17,AA16:AB25,2,FALSE)</f>
        <v>4</v>
      </c>
      <c r="AI17" t="str">
        <f ca="1">AE17</f>
        <v>Serbia</v>
      </c>
      <c r="AJ17">
        <f ca="1">VLOOKUP(AI17,AE16:AF25,2,FALSE)</f>
        <v>4</v>
      </c>
    </row>
    <row r="18" spans="6:37">
      <c r="F18" t="str">
        <f>U2</f>
        <v>Suiza</v>
      </c>
      <c r="G18">
        <f t="shared" ref="G18:M18" ca="1" si="30">U10</f>
        <v>3</v>
      </c>
      <c r="H18">
        <f t="shared" ca="1" si="30"/>
        <v>1</v>
      </c>
      <c r="I18">
        <f t="shared" ca="1" si="30"/>
        <v>0</v>
      </c>
      <c r="J18">
        <f t="shared" ca="1" si="30"/>
        <v>2</v>
      </c>
      <c r="K18">
        <f t="shared" ca="1" si="30"/>
        <v>10</v>
      </c>
      <c r="L18">
        <f t="shared" ca="1" si="30"/>
        <v>14</v>
      </c>
      <c r="M18">
        <f t="shared" ca="1" si="30"/>
        <v>3</v>
      </c>
      <c r="O18" t="str">
        <f>F18</f>
        <v>Suiza</v>
      </c>
      <c r="P18">
        <f ca="1">VLOOKUP(O18,$F$16:$M$25,8,FALSE)</f>
        <v>3</v>
      </c>
      <c r="S18" t="str">
        <f ca="1">IF($P18&lt;=$P16,$O18,$O16)</f>
        <v>Suiza</v>
      </c>
      <c r="T18">
        <f ca="1">VLOOKUP(S18,$O$16:$P$25,2,FALSE)</f>
        <v>3</v>
      </c>
      <c r="W18" t="str">
        <f ca="1">S18</f>
        <v>Suiza</v>
      </c>
      <c r="X18">
        <f ca="1">VLOOKUP(W18,$S$16:$T$25,2,FALSE)</f>
        <v>3</v>
      </c>
      <c r="AA18" t="str">
        <f ca="1">IF(X18&lt;=X17,W18,W17)</f>
        <v>Brasil</v>
      </c>
      <c r="AB18">
        <f ca="1">VLOOKUP(AA18,W16:X25,2,FALSE)</f>
        <v>1</v>
      </c>
      <c r="AE18" t="str">
        <f ca="1">AA18</f>
        <v>Brasil</v>
      </c>
      <c r="AF18">
        <f ca="1">VLOOKUP(AE18,AA16:AB25,2,FALSE)</f>
        <v>1</v>
      </c>
      <c r="AI18" t="str">
        <f ca="1">IF(AF18&gt;=AF19,AE18,AE19)</f>
        <v>Suiza</v>
      </c>
      <c r="AJ18">
        <f ca="1">VLOOKUP(AI18,AE16:AF25,2,FALSE)</f>
        <v>3</v>
      </c>
    </row>
    <row r="19" spans="6:37">
      <c r="F19" t="str">
        <f>AB2</f>
        <v>Camerun</v>
      </c>
      <c r="G19">
        <f t="shared" ref="G19:M19" ca="1" si="31">AB10</f>
        <v>3</v>
      </c>
      <c r="H19">
        <f t="shared" ca="1" si="31"/>
        <v>3</v>
      </c>
      <c r="I19">
        <f t="shared" ca="1" si="31"/>
        <v>0</v>
      </c>
      <c r="J19">
        <f t="shared" ca="1" si="31"/>
        <v>0</v>
      </c>
      <c r="K19">
        <f t="shared" ca="1" si="31"/>
        <v>23</v>
      </c>
      <c r="L19">
        <f t="shared" ca="1" si="31"/>
        <v>11</v>
      </c>
      <c r="M19">
        <f t="shared" ca="1" si="31"/>
        <v>9</v>
      </c>
      <c r="O19" t="str">
        <f>F19</f>
        <v>Camerun</v>
      </c>
      <c r="P19">
        <f ca="1">VLOOKUP(O19,$F$16:$M$25,8,FALSE)</f>
        <v>9</v>
      </c>
      <c r="S19" t="str">
        <f>O19</f>
        <v>Camerun</v>
      </c>
      <c r="T19">
        <f ca="1">VLOOKUP(S19,$O$16:$P$25,2,FALSE)</f>
        <v>9</v>
      </c>
      <c r="W19" t="str">
        <f ca="1">IF($T19&lt;=$T16,$S19,$S16)</f>
        <v>Serbia</v>
      </c>
      <c r="X19">
        <f ca="1">VLOOKUP(W19,$S$16:$T$25,2,FALSE)</f>
        <v>4</v>
      </c>
      <c r="AA19" t="str">
        <f ca="1">W19</f>
        <v>Serbia</v>
      </c>
      <c r="AB19">
        <f ca="1">VLOOKUP(AA19,W16:X25,2,FALSE)</f>
        <v>4</v>
      </c>
      <c r="AE19" t="str">
        <f ca="1">IF(AB19&lt;=AB17,AA19,AA17)</f>
        <v>Suiza</v>
      </c>
      <c r="AF19">
        <f ca="1">VLOOKUP(AE19,AA16:AB25,2,FALSE)</f>
        <v>3</v>
      </c>
      <c r="AI19" t="str">
        <f ca="1">IF(AF19&lt;=AF18,AE19,AE18)</f>
        <v>Brasil</v>
      </c>
      <c r="AJ19">
        <f ca="1">VLOOKUP(AI19,AE16:AF25,2,FALSE)</f>
        <v>1</v>
      </c>
    </row>
    <row r="28" spans="6:37">
      <c r="F28" t="str">
        <f ca="1">AI16</f>
        <v>Camerun</v>
      </c>
      <c r="J28">
        <f ca="1">AJ16</f>
        <v>9</v>
      </c>
      <c r="K28">
        <f ca="1">VLOOKUP(AI16,$F$16:$M$25,6,FALSE)</f>
        <v>23</v>
      </c>
      <c r="L28">
        <f ca="1">VLOOKUP(AI16,$F$16:$M$25,7,FALSE)</f>
        <v>11</v>
      </c>
      <c r="M28">
        <f ca="1">K28-L28</f>
        <v>12</v>
      </c>
      <c r="O28" t="str">
        <f ca="1">IF(AND($J28=$J29,$M29&gt;$M28),$F29,$F28)</f>
        <v>Camerun</v>
      </c>
      <c r="P28">
        <f ca="1">VLOOKUP(O28,$F$28:$M$37,5,FALSE)</f>
        <v>9</v>
      </c>
      <c r="Q28">
        <f ca="1">VLOOKUP(O28,$F$28:$M$37,8,FALSE)</f>
        <v>12</v>
      </c>
      <c r="S28" t="str">
        <f ca="1">IF(AND(P28=P30,Q30&gt;Q28),O30,O28)</f>
        <v>Camerun</v>
      </c>
      <c r="T28">
        <f ca="1">VLOOKUP(S28,$O$28:$Q$37,2,FALSE)</f>
        <v>9</v>
      </c>
      <c r="U28">
        <f ca="1">VLOOKUP(S28,$O$28:$Q$37,3,FALSE)</f>
        <v>12</v>
      </c>
      <c r="W28" t="str">
        <f ca="1">IF(AND(T28=T31,U31&gt;U28),S31,S28)</f>
        <v>Camerun</v>
      </c>
      <c r="X28">
        <f ca="1">VLOOKUP(W28,$S$28:$U$37,2,FALSE)</f>
        <v>9</v>
      </c>
      <c r="Y28">
        <f ca="1">VLOOKUP(W28,$S$28:$U$37,3,FALSE)</f>
        <v>12</v>
      </c>
      <c r="AA28" t="str">
        <f ca="1">W28</f>
        <v>Camerun</v>
      </c>
      <c r="AB28">
        <f ca="1">VLOOKUP(AA28,W28:Y37,2,FALSE)</f>
        <v>9</v>
      </c>
      <c r="AC28">
        <f ca="1">VLOOKUP(AA28,W28:Y37,3,FALSE)</f>
        <v>12</v>
      </c>
      <c r="AE28" t="str">
        <f ca="1">AA28</f>
        <v>Camerun</v>
      </c>
      <c r="AF28">
        <f ca="1">VLOOKUP(AE28,AA28:AC37,2,FALSE)</f>
        <v>9</v>
      </c>
      <c r="AG28">
        <f ca="1">VLOOKUP(AE28,AA28:AC37,3,FALSE)</f>
        <v>12</v>
      </c>
      <c r="AI28" t="str">
        <f ca="1">AE28</f>
        <v>Camerun</v>
      </c>
      <c r="AJ28">
        <f ca="1">VLOOKUP(AI28,AE28:AG37,2,FALSE)</f>
        <v>9</v>
      </c>
      <c r="AK28">
        <f ca="1">VLOOKUP(AI28,AE28:AG37,3,FALSE)</f>
        <v>12</v>
      </c>
    </row>
    <row r="29" spans="6:37">
      <c r="F29" t="str">
        <f ca="1">AI17</f>
        <v>Serbia</v>
      </c>
      <c r="J29">
        <f ca="1">AJ17</f>
        <v>4</v>
      </c>
      <c r="K29">
        <f ca="1">VLOOKUP(AI17,$F$16:$M$25,6,FALSE)</f>
        <v>15</v>
      </c>
      <c r="L29">
        <f ca="1">VLOOKUP(AI17,$F$16:$M$25,7,FALSE)</f>
        <v>15</v>
      </c>
      <c r="M29">
        <f ca="1">K29-L29</f>
        <v>0</v>
      </c>
      <c r="O29" t="str">
        <f ca="1">IF(AND($J28=$J29,$M29&gt;$M28),$F28,$F29)</f>
        <v>Serbia</v>
      </c>
      <c r="P29">
        <f ca="1">VLOOKUP(O29,$F$28:$M$37,5,FALSE)</f>
        <v>4</v>
      </c>
      <c r="Q29">
        <f ca="1">VLOOKUP(O29,$F$28:$M$37,8,FALSE)</f>
        <v>0</v>
      </c>
      <c r="S29" t="str">
        <f ca="1">O29</f>
        <v>Serbia</v>
      </c>
      <c r="T29">
        <f ca="1">VLOOKUP(S29,$O$28:$Q$37,2,FALSE)</f>
        <v>4</v>
      </c>
      <c r="U29">
        <f ca="1">VLOOKUP(S29,$O$28:$Q$37,3,FALSE)</f>
        <v>0</v>
      </c>
      <c r="W29" t="str">
        <f ca="1">S29</f>
        <v>Serbia</v>
      </c>
      <c r="X29">
        <f ca="1">VLOOKUP(W29,$S$28:$U$37,2,FALSE)</f>
        <v>4</v>
      </c>
      <c r="Y29">
        <f ca="1">VLOOKUP(W29,$S$28:$U$37,3,FALSE)</f>
        <v>0</v>
      </c>
      <c r="AA29" t="str">
        <f ca="1">IF(AND(X29=X30,Y30&gt;Y29),W30,W29)</f>
        <v>Serbia</v>
      </c>
      <c r="AB29">
        <f ca="1">VLOOKUP(AA29,W28:Y37,2,FALSE)</f>
        <v>4</v>
      </c>
      <c r="AC29">
        <f ca="1">VLOOKUP(AA29,W28:Y37,3,FALSE)</f>
        <v>0</v>
      </c>
      <c r="AE29" t="str">
        <f ca="1">IF(AND(AB29=AB31,AC31&gt;AC29),AA31,AA29)</f>
        <v>Serbia</v>
      </c>
      <c r="AF29">
        <f ca="1">VLOOKUP(AE29,AA28:AC37,2,FALSE)</f>
        <v>4</v>
      </c>
      <c r="AG29">
        <f ca="1">VLOOKUP(AE29,AA28:AC37,3,FALSE)</f>
        <v>0</v>
      </c>
      <c r="AI29" t="str">
        <f ca="1">AE29</f>
        <v>Serbia</v>
      </c>
      <c r="AJ29">
        <f ca="1">VLOOKUP(AI29,AE28:AG37,2,FALSE)</f>
        <v>4</v>
      </c>
      <c r="AK29">
        <f ca="1">VLOOKUP(AI29,AE28:AG37,3,FALSE)</f>
        <v>0</v>
      </c>
    </row>
    <row r="30" spans="6:37">
      <c r="F30" t="str">
        <f ca="1">AI18</f>
        <v>Suiza</v>
      </c>
      <c r="J30">
        <f ca="1">AJ18</f>
        <v>3</v>
      </c>
      <c r="K30">
        <f ca="1">VLOOKUP(AI18,$F$16:$M$25,6,FALSE)</f>
        <v>10</v>
      </c>
      <c r="L30">
        <f ca="1">VLOOKUP(AI18,$F$16:$M$25,7,FALSE)</f>
        <v>14</v>
      </c>
      <c r="M30">
        <f ca="1">K30-L30</f>
        <v>-4</v>
      </c>
      <c r="O30" t="str">
        <f ca="1">F30</f>
        <v>Suiza</v>
      </c>
      <c r="P30">
        <f ca="1">VLOOKUP(O30,$F$28:$M$37,5,FALSE)</f>
        <v>3</v>
      </c>
      <c r="Q30">
        <f ca="1">VLOOKUP(O30,$F$28:$M$37,8,FALSE)</f>
        <v>-4</v>
      </c>
      <c r="S30" t="str">
        <f ca="1">IF(AND($P28=P30,Q30&gt;Q28),O28,O30)</f>
        <v>Suiza</v>
      </c>
      <c r="T30">
        <f ca="1">VLOOKUP(S30,$O$28:$Q$37,2,FALSE)</f>
        <v>3</v>
      </c>
      <c r="U30">
        <f ca="1">VLOOKUP(S30,$O$28:$Q$37,3,FALSE)</f>
        <v>-4</v>
      </c>
      <c r="W30" t="str">
        <f ca="1">S30</f>
        <v>Suiza</v>
      </c>
      <c r="X30">
        <f ca="1">VLOOKUP(W30,$S$28:$U$37,2,FALSE)</f>
        <v>3</v>
      </c>
      <c r="Y30">
        <f ca="1">VLOOKUP(W30,$S$28:$U$37,3,FALSE)</f>
        <v>-4</v>
      </c>
      <c r="AA30" t="str">
        <f ca="1">IF(AND(X29=X30,Y30&gt;Y29),W29,W30)</f>
        <v>Suiza</v>
      </c>
      <c r="AB30">
        <f ca="1">VLOOKUP(AA30,W28:Y37,2,FALSE)</f>
        <v>3</v>
      </c>
      <c r="AC30">
        <f ca="1">VLOOKUP(AA30,W28:Y37,3,FALSE)</f>
        <v>-4</v>
      </c>
      <c r="AE30" t="str">
        <f ca="1">AA30</f>
        <v>Suiza</v>
      </c>
      <c r="AF30">
        <f ca="1">VLOOKUP(AE30,AA28:AC37,2,FALSE)</f>
        <v>3</v>
      </c>
      <c r="AG30">
        <f ca="1">VLOOKUP(AE30,AA28:AC37,3,FALSE)</f>
        <v>-4</v>
      </c>
      <c r="AI30" t="str">
        <f ca="1">IF(AND(AF30=AF31,AG31&gt;AG30),AE31,AE30)</f>
        <v>Suiza</v>
      </c>
      <c r="AJ30">
        <f ca="1">VLOOKUP(AI30,AE28:AG37,2,FALSE)</f>
        <v>3</v>
      </c>
      <c r="AK30">
        <f ca="1">VLOOKUP(AI30,AE28:AG37,3,FALSE)</f>
        <v>-4</v>
      </c>
    </row>
    <row r="31" spans="6:37">
      <c r="F31" t="str">
        <f ca="1">AI19</f>
        <v>Brasil</v>
      </c>
      <c r="J31">
        <f ca="1">AJ19</f>
        <v>1</v>
      </c>
      <c r="K31">
        <f ca="1">VLOOKUP(AI19,$F$16:$M$25,6,FALSE)</f>
        <v>5</v>
      </c>
      <c r="L31">
        <f ca="1">VLOOKUP(AI19,$F$16:$M$25,7,FALSE)</f>
        <v>13</v>
      </c>
      <c r="M31">
        <f ca="1">K31-L31</f>
        <v>-8</v>
      </c>
      <c r="O31" t="str">
        <f ca="1">F31</f>
        <v>Brasil</v>
      </c>
      <c r="P31">
        <f ca="1">VLOOKUP(O31,$F$28:$M$37,5,FALSE)</f>
        <v>1</v>
      </c>
      <c r="Q31">
        <f ca="1">VLOOKUP(O31,$F$28:$M$37,8,FALSE)</f>
        <v>-8</v>
      </c>
      <c r="S31" t="str">
        <f ca="1">O31</f>
        <v>Brasil</v>
      </c>
      <c r="T31">
        <f ca="1">VLOOKUP(S31,$O$28:$Q$37,2,FALSE)</f>
        <v>1</v>
      </c>
      <c r="U31">
        <f ca="1">VLOOKUP(S31,$O$28:$Q$37,3,FALSE)</f>
        <v>-8</v>
      </c>
      <c r="W31" t="str">
        <f ca="1">IF(AND(T28=T31,U31&gt;U28),S28,S31)</f>
        <v>Brasil</v>
      </c>
      <c r="X31">
        <f ca="1">VLOOKUP(W31,$S$28:$U$37,2,FALSE)</f>
        <v>1</v>
      </c>
      <c r="Y31">
        <f ca="1">VLOOKUP(W31,$S$28:$U$37,3,FALSE)</f>
        <v>-8</v>
      </c>
      <c r="AA31" t="str">
        <f ca="1">W31</f>
        <v>Brasil</v>
      </c>
      <c r="AB31">
        <f ca="1">VLOOKUP(AA31,W28:Y37,2,FALSE)</f>
        <v>1</v>
      </c>
      <c r="AC31">
        <f ca="1">VLOOKUP(AA31,W28:Y37,3,FALSE)</f>
        <v>-8</v>
      </c>
      <c r="AE31" t="str">
        <f ca="1">IF(AND(AB29=AB31,AC31&gt;AC29),AA29,AA31)</f>
        <v>Brasil</v>
      </c>
      <c r="AF31">
        <f ca="1">VLOOKUP(AE31,AA28:AC37,2,FALSE)</f>
        <v>1</v>
      </c>
      <c r="AG31">
        <f ca="1">VLOOKUP(AE31,AA28:AC37,3,FALSE)</f>
        <v>-8</v>
      </c>
      <c r="AI31" t="str">
        <f ca="1">IF(AND(AF30=AF31,AG31&gt;AG30),AE30,AE31)</f>
        <v>Brasil</v>
      </c>
      <c r="AJ31">
        <f ca="1">VLOOKUP(AI31,AE28:AG37,2,FALSE)</f>
        <v>1</v>
      </c>
      <c r="AK31">
        <f ca="1">VLOOKUP(AI31,AE28:AG37,3,FALSE)</f>
        <v>-8</v>
      </c>
    </row>
    <row r="40" spans="6:38">
      <c r="F40" t="str">
        <f ca="1">AI28</f>
        <v>Camerun</v>
      </c>
      <c r="J40">
        <f ca="1">VLOOKUP(F40,$F$16:$M$25,8,FALSE)</f>
        <v>9</v>
      </c>
      <c r="K40">
        <f ca="1">VLOOKUP(F40,$F$16:$M$25,6,FALSE)</f>
        <v>23</v>
      </c>
      <c r="L40">
        <f ca="1">VLOOKUP(F40,$F$16:$M$25,7,FALSE)</f>
        <v>11</v>
      </c>
      <c r="M40">
        <f ca="1">K40-L40</f>
        <v>12</v>
      </c>
      <c r="O40" t="str">
        <f ca="1">IF(AND(J40=J41,M40=M41,K41&gt;K40),F41,F40)</f>
        <v>Camerun</v>
      </c>
      <c r="P40">
        <f ca="1">VLOOKUP(O40,$F$40:$M$49,5,FALSE)</f>
        <v>9</v>
      </c>
      <c r="Q40">
        <f ca="1">VLOOKUP(O40,$F$40:$M$49,8,FALSE)</f>
        <v>12</v>
      </c>
      <c r="R40">
        <f ca="1">VLOOKUP(O40,$F$40:$M$49,6,FALSE)</f>
        <v>23</v>
      </c>
      <c r="S40" t="str">
        <f ca="1">IF(AND(P40=P42,Q40=Q42,R42&gt;R40),O42,O40)</f>
        <v>Camerun</v>
      </c>
      <c r="T40">
        <f ca="1">VLOOKUP(S40,$O$40:$R$49,2,FALSE)</f>
        <v>9</v>
      </c>
      <c r="U40">
        <f ca="1">VLOOKUP(S40,$O$40:$R$49,3,FALSE)</f>
        <v>12</v>
      </c>
      <c r="V40">
        <f ca="1">VLOOKUP(S40,$O$40:$R$49,4,FALSE)</f>
        <v>23</v>
      </c>
      <c r="W40" t="str">
        <f ca="1">IF(AND(T40=T43,U40=U43,V43&gt;V40),S43,S40)</f>
        <v>Camerun</v>
      </c>
      <c r="X40">
        <f ca="1">VLOOKUP(W40,$S$40:$V$49,2,FALSE)</f>
        <v>9</v>
      </c>
      <c r="Y40">
        <f ca="1">VLOOKUP(W40,$S$40:$V$49,3,FALSE)</f>
        <v>12</v>
      </c>
      <c r="Z40">
        <f ca="1">VLOOKUP(W40,$S$40:$V$49,4,FALSE)</f>
        <v>23</v>
      </c>
      <c r="AA40" t="str">
        <f ca="1">W40</f>
        <v>Camerun</v>
      </c>
      <c r="AB40">
        <f ca="1">VLOOKUP(AA40,W40:Z49,2,FALSE)</f>
        <v>9</v>
      </c>
      <c r="AC40">
        <f ca="1">VLOOKUP(AA40,W40:Z49,3,FALSE)</f>
        <v>12</v>
      </c>
      <c r="AD40">
        <f ca="1">VLOOKUP(AA40,W40:Z49,4,FALSE)</f>
        <v>23</v>
      </c>
      <c r="AE40" t="str">
        <f ca="1">AA40</f>
        <v>Camerun</v>
      </c>
      <c r="AF40">
        <f ca="1">VLOOKUP(AE40,AA40:AD49,2,FALSE)</f>
        <v>9</v>
      </c>
      <c r="AG40">
        <f ca="1">VLOOKUP(AE40,AA40:AD49,3,FALSE)</f>
        <v>12</v>
      </c>
      <c r="AH40">
        <f ca="1">VLOOKUP(AE40,AA40:AD49,4,FALSE)</f>
        <v>23</v>
      </c>
      <c r="AI40" t="str">
        <f ca="1">AE40</f>
        <v>Camerun</v>
      </c>
      <c r="AJ40">
        <f ca="1">VLOOKUP(AI40,AE40:AH49,2,FALSE)</f>
        <v>9</v>
      </c>
      <c r="AK40">
        <f ca="1">VLOOKUP(AI40,AE40:AH49,3,FALSE)</f>
        <v>12</v>
      </c>
      <c r="AL40">
        <f ca="1">VLOOKUP(AI40,AE40:AH49,4,FALSE)</f>
        <v>23</v>
      </c>
    </row>
    <row r="41" spans="6:38">
      <c r="F41" t="str">
        <f ca="1">AI29</f>
        <v>Serbia</v>
      </c>
      <c r="J41">
        <f ca="1">VLOOKUP(F41,$F$16:$M$25,8,FALSE)</f>
        <v>4</v>
      </c>
      <c r="K41">
        <f ca="1">VLOOKUP(F41,$F$16:$M$25,6,FALSE)</f>
        <v>15</v>
      </c>
      <c r="L41">
        <f ca="1">VLOOKUP(F41,$F$16:$M$25,7,FALSE)</f>
        <v>15</v>
      </c>
      <c r="M41">
        <f ca="1">K41-L41</f>
        <v>0</v>
      </c>
      <c r="O41" t="str">
        <f ca="1">IF(AND(J40=J41,M40=M41,K41&gt;K40),F40,F41)</f>
        <v>Serbia</v>
      </c>
      <c r="P41">
        <f ca="1">VLOOKUP(O41,$F$40:$M$49,5,FALSE)</f>
        <v>4</v>
      </c>
      <c r="Q41">
        <f ca="1">VLOOKUP(O41,$F$40:$M$49,8,FALSE)</f>
        <v>0</v>
      </c>
      <c r="R41">
        <f ca="1">VLOOKUP(O41,$F$40:$M$49,6,FALSE)</f>
        <v>15</v>
      </c>
      <c r="S41" t="str">
        <f ca="1">O41</f>
        <v>Serbia</v>
      </c>
      <c r="T41">
        <f ca="1">VLOOKUP(S41,$O$40:$R$49,2,FALSE)</f>
        <v>4</v>
      </c>
      <c r="U41">
        <f ca="1">VLOOKUP(S41,$O$40:$R$49,3,FALSE)</f>
        <v>0</v>
      </c>
      <c r="V41">
        <f ca="1">VLOOKUP(S41,$O$40:$R$49,4,FALSE)</f>
        <v>15</v>
      </c>
      <c r="W41" t="str">
        <f ca="1">S41</f>
        <v>Serbia</v>
      </c>
      <c r="X41">
        <f ca="1">VLOOKUP(W41,$S$40:$V$49,2,FALSE)</f>
        <v>4</v>
      </c>
      <c r="Y41">
        <f ca="1">VLOOKUP(W41,$S$40:$V$49,3,FALSE)</f>
        <v>0</v>
      </c>
      <c r="Z41">
        <f ca="1">VLOOKUP(W41,$S$40:$V$49,4,FALSE)</f>
        <v>15</v>
      </c>
      <c r="AA41" t="str">
        <f ca="1">IF(AND(X41=X42,Y41=Y42,Z42&gt;Z41),W42,W41)</f>
        <v>Serbia</v>
      </c>
      <c r="AB41">
        <f ca="1">VLOOKUP(AA41,W40:Z49,2,FALSE)</f>
        <v>4</v>
      </c>
      <c r="AC41">
        <f ca="1">VLOOKUP(AA41,W40:Z49,3,FALSE)</f>
        <v>0</v>
      </c>
      <c r="AD41">
        <f ca="1">VLOOKUP(AA41,W40:Z49,4,FALSE)</f>
        <v>15</v>
      </c>
      <c r="AE41" t="str">
        <f ca="1">IF(AND(AB41=AB43,AC41=AC43,AD43&gt;AD41),AA43,AA41)</f>
        <v>Serbia</v>
      </c>
      <c r="AF41">
        <f ca="1">VLOOKUP(AE41,AA40:AD49,2,FALSE)</f>
        <v>4</v>
      </c>
      <c r="AG41">
        <f ca="1">VLOOKUP(AE41,AA40:AD49,3,FALSE)</f>
        <v>0</v>
      </c>
      <c r="AH41">
        <f ca="1">VLOOKUP(AE41,AA40:AD49,4,FALSE)</f>
        <v>15</v>
      </c>
      <c r="AI41" t="str">
        <f ca="1">AE41</f>
        <v>Serbia</v>
      </c>
      <c r="AJ41">
        <f ca="1">VLOOKUP(AI41,AE40:AH49,2,FALSE)</f>
        <v>4</v>
      </c>
      <c r="AK41">
        <f ca="1">VLOOKUP(AI41,AE40:AH49,3,FALSE)</f>
        <v>0</v>
      </c>
      <c r="AL41">
        <f ca="1">VLOOKUP(AI41,AE40:AH49,4,FALSE)</f>
        <v>15</v>
      </c>
    </row>
    <row r="42" spans="6:38">
      <c r="F42" t="str">
        <f ca="1">AI30</f>
        <v>Suiza</v>
      </c>
      <c r="J42">
        <f ca="1">VLOOKUP(F42,$F$16:$M$25,8,FALSE)</f>
        <v>3</v>
      </c>
      <c r="K42">
        <f ca="1">VLOOKUP(F42,$F$16:$M$25,6,FALSE)</f>
        <v>10</v>
      </c>
      <c r="L42">
        <f ca="1">VLOOKUP(F42,$F$16:$M$25,7,FALSE)</f>
        <v>14</v>
      </c>
      <c r="M42">
        <f ca="1">K42-L42</f>
        <v>-4</v>
      </c>
      <c r="O42" t="str">
        <f ca="1">F42</f>
        <v>Suiza</v>
      </c>
      <c r="P42">
        <f ca="1">VLOOKUP(O42,$F$40:$M$49,5,FALSE)</f>
        <v>3</v>
      </c>
      <c r="Q42">
        <f ca="1">VLOOKUP(O42,$F$40:$M$49,8,FALSE)</f>
        <v>-4</v>
      </c>
      <c r="R42">
        <f ca="1">VLOOKUP(O42,$F$40:$M$49,6,FALSE)</f>
        <v>10</v>
      </c>
      <c r="S42" t="str">
        <f ca="1">IF(AND(P40=P42,Q40=Q42,R42&gt;R40),O40,O42)</f>
        <v>Suiza</v>
      </c>
      <c r="T42">
        <f ca="1">VLOOKUP(S42,$O$40:$R$49,2,FALSE)</f>
        <v>3</v>
      </c>
      <c r="U42">
        <f ca="1">VLOOKUP(S42,$O$40:$R$49,3,FALSE)</f>
        <v>-4</v>
      </c>
      <c r="V42">
        <f ca="1">VLOOKUP(S42,$O$40:$R$49,4,FALSE)</f>
        <v>10</v>
      </c>
      <c r="W42" t="str">
        <f ca="1">S42</f>
        <v>Suiza</v>
      </c>
      <c r="X42">
        <f ca="1">VLOOKUP(W42,$S$40:$V$49,2,FALSE)</f>
        <v>3</v>
      </c>
      <c r="Y42">
        <f ca="1">VLOOKUP(W42,$S$40:$V$49,3,FALSE)</f>
        <v>-4</v>
      </c>
      <c r="Z42">
        <f ca="1">VLOOKUP(W42,$S$40:$V$49,4,FALSE)</f>
        <v>10</v>
      </c>
      <c r="AA42" t="str">
        <f ca="1">IF(AND(X41=X42,Y41=Y42,Z42&gt;Z41),W41,W42)</f>
        <v>Suiza</v>
      </c>
      <c r="AB42">
        <f ca="1">VLOOKUP(AA42,W40:Z49,2,FALSE)</f>
        <v>3</v>
      </c>
      <c r="AC42">
        <f ca="1">VLOOKUP(AA42,W40:Z49,3,FALSE)</f>
        <v>-4</v>
      </c>
      <c r="AD42">
        <f ca="1">VLOOKUP(AA42,W40:Z49,4,FALSE)</f>
        <v>10</v>
      </c>
      <c r="AE42" t="str">
        <f ca="1">AA42</f>
        <v>Suiza</v>
      </c>
      <c r="AF42">
        <f ca="1">VLOOKUP(AE42,AA40:AD49,2,FALSE)</f>
        <v>3</v>
      </c>
      <c r="AG42">
        <f ca="1">VLOOKUP(AE42,AA40:AD49,3,FALSE)</f>
        <v>-4</v>
      </c>
      <c r="AH42">
        <f ca="1">VLOOKUP(AE42,AA40:AD49,4,FALSE)</f>
        <v>10</v>
      </c>
      <c r="AI42" t="str">
        <f ca="1">IF(AND(AF42=AF43,AG42=AG43,AH43&gt;AH42),AE43,AE42)</f>
        <v>Suiza</v>
      </c>
      <c r="AJ42">
        <f ca="1">VLOOKUP(AI42,AE40:AH49,2,FALSE)</f>
        <v>3</v>
      </c>
      <c r="AK42">
        <f ca="1">VLOOKUP(AI42,AE40:AH49,3,FALSE)</f>
        <v>-4</v>
      </c>
      <c r="AL42">
        <f ca="1">VLOOKUP(AI42,AE40:AH49,4,FALSE)</f>
        <v>10</v>
      </c>
    </row>
    <row r="43" spans="6:38">
      <c r="F43" t="str">
        <f ca="1">AI31</f>
        <v>Brasil</v>
      </c>
      <c r="J43">
        <f ca="1">VLOOKUP(F43,$F$16:$M$25,8,FALSE)</f>
        <v>1</v>
      </c>
      <c r="K43">
        <f ca="1">VLOOKUP(F43,$F$16:$M$25,6,FALSE)</f>
        <v>5</v>
      </c>
      <c r="L43">
        <f ca="1">VLOOKUP(F43,$F$16:$M$25,7,FALSE)</f>
        <v>13</v>
      </c>
      <c r="M43">
        <f ca="1">K43-L43</f>
        <v>-8</v>
      </c>
      <c r="O43" t="str">
        <f ca="1">F43</f>
        <v>Brasil</v>
      </c>
      <c r="P43">
        <f ca="1">VLOOKUP(O43,$F$40:$M$49,5,FALSE)</f>
        <v>1</v>
      </c>
      <c r="Q43">
        <f ca="1">VLOOKUP(O43,$F$40:$M$49,8,FALSE)</f>
        <v>-8</v>
      </c>
      <c r="R43">
        <f ca="1">VLOOKUP(O43,$F$40:$M$49,6,FALSE)</f>
        <v>5</v>
      </c>
      <c r="S43" t="str">
        <f ca="1">O43</f>
        <v>Brasil</v>
      </c>
      <c r="T43">
        <f ca="1">VLOOKUP(S43,$O$40:$R$49,2,FALSE)</f>
        <v>1</v>
      </c>
      <c r="U43">
        <f ca="1">VLOOKUP(S43,$O$40:$R$49,3,FALSE)</f>
        <v>-8</v>
      </c>
      <c r="V43">
        <f ca="1">VLOOKUP(S43,$O$40:$R$49,4,FALSE)</f>
        <v>5</v>
      </c>
      <c r="W43" t="str">
        <f ca="1">IF(AND(T40=T43,U40=U43,V43&gt;V40),S40,S43)</f>
        <v>Brasil</v>
      </c>
      <c r="X43">
        <f ca="1">VLOOKUP(W43,$S$40:$V$49,2,FALSE)</f>
        <v>1</v>
      </c>
      <c r="Y43">
        <f ca="1">VLOOKUP(W43,$S$40:$V$49,3,FALSE)</f>
        <v>-8</v>
      </c>
      <c r="Z43">
        <f ca="1">VLOOKUP(W43,$S$40:$V$49,4,FALSE)</f>
        <v>5</v>
      </c>
      <c r="AA43" t="str">
        <f ca="1">W43</f>
        <v>Brasil</v>
      </c>
      <c r="AB43">
        <f ca="1">VLOOKUP(AA43,W40:Z49,2,FALSE)</f>
        <v>1</v>
      </c>
      <c r="AC43">
        <f ca="1">VLOOKUP(AA43,W40:Z49,3,FALSE)</f>
        <v>-8</v>
      </c>
      <c r="AD43">
        <f ca="1">VLOOKUP(AA43,W40:Z49,4,FALSE)</f>
        <v>5</v>
      </c>
      <c r="AE43" t="str">
        <f ca="1">IF(AND(AB41=AB43,AC41=AC43,AD43&gt;AD41),AA41,AA43)</f>
        <v>Brasil</v>
      </c>
      <c r="AF43">
        <f ca="1">VLOOKUP(AE43,AA40:AD49,2,FALSE)</f>
        <v>1</v>
      </c>
      <c r="AG43">
        <f ca="1">VLOOKUP(AE43,AA40:AD49,3,FALSE)</f>
        <v>-8</v>
      </c>
      <c r="AH43">
        <f ca="1">VLOOKUP(AE43,AA40:AD49,4,FALSE)</f>
        <v>5</v>
      </c>
      <c r="AI43" t="str">
        <f ca="1">IF(AND(AF42=AF43,AG42=AG43,AH43&gt;AH42),AE42,AE43)</f>
        <v>Brasil</v>
      </c>
      <c r="AJ43">
        <f ca="1">VLOOKUP(AI43,AE40:AH49,2,FALSE)</f>
        <v>1</v>
      </c>
      <c r="AK43">
        <f ca="1">VLOOKUP(AI43,AE40:AH49,3,FALSE)</f>
        <v>-8</v>
      </c>
      <c r="AL43">
        <f ca="1">VLOOKUP(AI43,AE40:AH49,4,FALSE)</f>
        <v>5</v>
      </c>
    </row>
    <row r="51" spans="6:13">
      <c r="F51" t="s">
        <v>334</v>
      </c>
    </row>
    <row r="52" spans="6:13">
      <c r="F52" t="str">
        <f ca="1">AI40</f>
        <v>Camerun</v>
      </c>
      <c r="G52">
        <f ca="1">VLOOKUP(F52,$F$16:$M$25,2,FALSE)</f>
        <v>3</v>
      </c>
      <c r="H52">
        <f ca="1">VLOOKUP(F52,$F$16:$M$25,3,FALSE)</f>
        <v>3</v>
      </c>
      <c r="I52">
        <f ca="1">VLOOKUP(F52,$F$16:$M$25,4,FALSE)</f>
        <v>0</v>
      </c>
      <c r="J52">
        <f ca="1">VLOOKUP(F52,$F$16:$M$25,5,FALSE)</f>
        <v>0</v>
      </c>
      <c r="K52">
        <f ca="1">VLOOKUP(F52,$F$16:$M$25,6,FALSE)</f>
        <v>23</v>
      </c>
      <c r="L52">
        <f ca="1">VLOOKUP(F52,$F$16:$M$25,7,FALSE)</f>
        <v>11</v>
      </c>
      <c r="M52">
        <f ca="1">VLOOKUP(F52,$F$16:$M$25,8,FALSE)</f>
        <v>9</v>
      </c>
    </row>
    <row r="53" spans="6:13">
      <c r="F53" t="str">
        <f ca="1">AI41</f>
        <v>Serbia</v>
      </c>
      <c r="G53">
        <f ca="1">VLOOKUP(F53,$F$16:$M$25,2,FALSE)</f>
        <v>3</v>
      </c>
      <c r="H53">
        <f ca="1">VLOOKUP(F53,$F$16:$M$25,3,FALSE)</f>
        <v>1</v>
      </c>
      <c r="I53">
        <f ca="1">VLOOKUP(F53,$F$16:$M$25,4,FALSE)</f>
        <v>1</v>
      </c>
      <c r="J53">
        <f ca="1">VLOOKUP(F53,$F$16:$M$25,5,FALSE)</f>
        <v>1</v>
      </c>
      <c r="K53">
        <f ca="1">VLOOKUP(F53,$F$16:$M$25,6,FALSE)</f>
        <v>15</v>
      </c>
      <c r="L53">
        <f ca="1">VLOOKUP(F53,$F$16:$M$25,7,FALSE)</f>
        <v>15</v>
      </c>
      <c r="M53">
        <f ca="1">VLOOKUP(F53,$F$16:$M$25,8,FALSE)</f>
        <v>4</v>
      </c>
    </row>
    <row r="54" spans="6:13">
      <c r="F54" t="str">
        <f ca="1">AI42</f>
        <v>Suiza</v>
      </c>
      <c r="G54">
        <f ca="1">VLOOKUP(F54,$F$16:$M$25,2,FALSE)</f>
        <v>3</v>
      </c>
      <c r="H54">
        <f ca="1">VLOOKUP(F54,$F$16:$M$25,3,FALSE)</f>
        <v>1</v>
      </c>
      <c r="I54">
        <f ca="1">VLOOKUP(F54,$F$16:$M$25,4,FALSE)</f>
        <v>0</v>
      </c>
      <c r="J54">
        <f ca="1">VLOOKUP(F54,$F$16:$M$25,5,FALSE)</f>
        <v>2</v>
      </c>
      <c r="K54">
        <f ca="1">VLOOKUP(F54,$F$16:$M$25,6,FALSE)</f>
        <v>10</v>
      </c>
      <c r="L54">
        <f ca="1">VLOOKUP(F54,$F$16:$M$25,7,FALSE)</f>
        <v>14</v>
      </c>
      <c r="M54">
        <f ca="1">VLOOKUP(F54,$F$16:$M$25,8,FALSE)</f>
        <v>3</v>
      </c>
    </row>
    <row r="55" spans="6:13">
      <c r="F55" t="str">
        <f ca="1">AI43</f>
        <v>Brasil</v>
      </c>
      <c r="G55">
        <f ca="1">VLOOKUP(F55,$F$16:$M$25,2,FALSE)</f>
        <v>3</v>
      </c>
      <c r="H55">
        <f ca="1">VLOOKUP(F55,$F$16:$M$25,3,FALSE)</f>
        <v>0</v>
      </c>
      <c r="I55">
        <f ca="1">VLOOKUP(F55,$F$16:$M$25,4,FALSE)</f>
        <v>1</v>
      </c>
      <c r="J55">
        <f ca="1">VLOOKUP(F55,$F$16:$M$25,5,FALSE)</f>
        <v>2</v>
      </c>
      <c r="K55">
        <f ca="1">VLOOKUP(F55,$F$16:$M$25,6,FALSE)</f>
        <v>5</v>
      </c>
      <c r="L55">
        <f ca="1">VLOOKUP(F55,$F$16:$M$25,7,FALSE)</f>
        <v>13</v>
      </c>
      <c r="M55">
        <f ca="1">VLOOKUP(F55,$F$16:$M$25,8,FALSE)</f>
        <v>1</v>
      </c>
    </row>
  </sheetData>
  <sheetProtection algorithmName="SHA-512" hashValue="0MvonunAhBgVCnNfW28EO4+g5TRCtirCruD8Hd9EACZfqgyBZthu5z38Ly/Ip6mA4s7GJKRhe2e6Pj38dxRNPA==" saltValue="06cUYKoHS7u6nTXaxTax2Q==" spinCount="100000" sheet="1" selectLockedCells="1" selectUnlockedCells="1"/>
  <customSheetViews>
    <customSheetView guid="{387210E2-BDFB-42E5-A6C7-A37C9701EAB6}" state="hidden" topLeftCell="A24">
      <pane xSplit="5" topLeftCell="F1" activePane="topRight" state="frozen"/>
      <selection pane="topRight" activeCell="L24" sqref="L24"/>
      <pageMargins left="0" right="0" top="0" bottom="0" header="0" footer="0"/>
      <headerFooter alignWithMargins="0"/>
    </customSheetView>
    <customSheetView guid="{E2621C8A-2AE3-484D-B751-B92E60BB88F8}" state="hidden" topLeftCell="A24">
      <pane xSplit="5" topLeftCell="F1" activePane="topRight" state="frozen"/>
      <selection pane="topRight" activeCell="L24" sqref="L24"/>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17"/>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H -'!U7&lt;&gt;"",'- H -'!U7,"")</f>
        <v>Portugal</v>
      </c>
      <c r="N2" t="str">
        <f>IF('- H -'!U9&lt;&gt;"",'- H -'!U9,"")</f>
        <v>Ghana</v>
      </c>
      <c r="U2" t="str">
        <f>IF('- H -'!U11&lt;&gt;"",'- H -'!U11,"")</f>
        <v>Uruguay</v>
      </c>
      <c r="AB2" t="str">
        <f>IF('- H -'!U13&lt;&gt;"",'- H -'!U13,"")</f>
        <v>Corea del Sur</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H -'!B6</f>
        <v>Uruguay</v>
      </c>
      <c r="B4" s="1">
        <f ca="1">IF('- H -'!C6&lt;&gt;"",'- H -'!C6,"")</f>
        <v>7</v>
      </c>
      <c r="C4" s="1" t="str">
        <f>'- H -'!D6</f>
        <v>-</v>
      </c>
      <c r="D4" s="1">
        <f ca="1">IF('- H -'!E6&lt;&gt;"",'- H -'!E6,"")</f>
        <v>7</v>
      </c>
      <c r="E4" s="3" t="str">
        <f>'- H -'!F6</f>
        <v>Corea del Sur</v>
      </c>
      <c r="F4" s="1">
        <f ca="1">COUNTBLANK('- H -'!C6:'- H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7</v>
      </c>
      <c r="Z4">
        <f t="shared" ref="Z4:Z9" ca="1" si="17">IF(F4&gt;0,0,IF($A4=$U$2,$D4,IF($E4=$U$2,$B4,0)))</f>
        <v>7</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7</v>
      </c>
      <c r="AG4">
        <f t="shared" ref="AG4:AG9" ca="1" si="23">IF(F4&gt;0,0,IF($A4=$AB$2,$D4,IF($E4=$AB$2,$B4,0)))</f>
        <v>7</v>
      </c>
    </row>
    <row r="5" spans="1:36">
      <c r="A5" s="2" t="str">
        <f>'- H -'!B7</f>
        <v>Portugal</v>
      </c>
      <c r="B5" s="1">
        <f ca="1">IF('- H -'!C7&lt;&gt;"",'- H -'!C7,"")</f>
        <v>9</v>
      </c>
      <c r="C5" s="1" t="str">
        <f>'- H -'!D7</f>
        <v>-</v>
      </c>
      <c r="D5" s="1">
        <f ca="1">IF('- H -'!E7&lt;&gt;"",'- H -'!E7,"")</f>
        <v>10</v>
      </c>
      <c r="E5" s="3" t="str">
        <f>'- H -'!F7</f>
        <v>Ghana</v>
      </c>
      <c r="F5" s="1">
        <f ca="1">COUNTBLANK('- H -'!C7:'- H -'!E7)</f>
        <v>0</v>
      </c>
      <c r="G5">
        <f t="shared" ca="1" si="0"/>
        <v>1</v>
      </c>
      <c r="H5">
        <f t="shared" ca="1" si="1"/>
        <v>0</v>
      </c>
      <c r="I5">
        <f t="shared" ca="1" si="2"/>
        <v>0</v>
      </c>
      <c r="J5">
        <f t="shared" ca="1" si="3"/>
        <v>1</v>
      </c>
      <c r="K5">
        <f t="shared" ca="1" si="4"/>
        <v>9</v>
      </c>
      <c r="L5">
        <f t="shared" ca="1" si="5"/>
        <v>10</v>
      </c>
      <c r="N5">
        <f t="shared" ca="1" si="6"/>
        <v>1</v>
      </c>
      <c r="O5">
        <f t="shared" ca="1" si="7"/>
        <v>1</v>
      </c>
      <c r="P5">
        <f t="shared" ca="1" si="8"/>
        <v>0</v>
      </c>
      <c r="Q5">
        <f t="shared" ca="1" si="9"/>
        <v>0</v>
      </c>
      <c r="R5">
        <f t="shared" ca="1" si="10"/>
        <v>10</v>
      </c>
      <c r="S5">
        <f t="shared" ca="1" si="11"/>
        <v>9</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H -'!B8</f>
        <v>Corea del Sur</v>
      </c>
      <c r="B6" s="1">
        <f ca="1">IF('- H -'!C8&lt;&gt;"",'- H -'!C8,"")</f>
        <v>3</v>
      </c>
      <c r="C6" s="1" t="str">
        <f>'- H -'!D8</f>
        <v>-</v>
      </c>
      <c r="D6" s="1">
        <f ca="1">IF('- H -'!E8&lt;&gt;"",'- H -'!E8,"")</f>
        <v>9</v>
      </c>
      <c r="E6" s="3" t="str">
        <f>'- H -'!F8</f>
        <v>Ghana</v>
      </c>
      <c r="F6" s="1">
        <f ca="1">COUNTBLANK('- H -'!C8:'- H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9</v>
      </c>
      <c r="S6">
        <f t="shared" ca="1" si="11"/>
        <v>3</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3</v>
      </c>
      <c r="AG6">
        <f t="shared" ca="1" si="23"/>
        <v>9</v>
      </c>
    </row>
    <row r="7" spans="1:36">
      <c r="A7" s="2" t="str">
        <f>'- H -'!B9</f>
        <v>Portugal</v>
      </c>
      <c r="B7" s="1">
        <f ca="1">IF('- H -'!C9&lt;&gt;"",'- H -'!C9,"")</f>
        <v>10</v>
      </c>
      <c r="C7" s="1" t="str">
        <f>'- H -'!D9</f>
        <v>-</v>
      </c>
      <c r="D7" s="1">
        <f ca="1">IF('- H -'!E9&lt;&gt;"",'- H -'!E9,"")</f>
        <v>5</v>
      </c>
      <c r="E7" s="3" t="str">
        <f>'- H -'!F9</f>
        <v>Uruguay</v>
      </c>
      <c r="F7" s="1">
        <f ca="1">COUNTBLANK('- H -'!C9:'- H -'!E9)</f>
        <v>0</v>
      </c>
      <c r="G7">
        <f t="shared" ca="1" si="0"/>
        <v>1</v>
      </c>
      <c r="H7">
        <f t="shared" ca="1" si="1"/>
        <v>1</v>
      </c>
      <c r="I7">
        <f t="shared" ca="1" si="2"/>
        <v>0</v>
      </c>
      <c r="J7">
        <f t="shared" ca="1" si="3"/>
        <v>0</v>
      </c>
      <c r="K7">
        <f t="shared" ca="1" si="4"/>
        <v>10</v>
      </c>
      <c r="L7">
        <f t="shared" ca="1" si="5"/>
        <v>5</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5</v>
      </c>
      <c r="Z7">
        <f t="shared" ca="1" si="17"/>
        <v>10</v>
      </c>
      <c r="AB7">
        <f t="shared" ca="1" si="18"/>
        <v>0</v>
      </c>
      <c r="AC7">
        <f t="shared" ca="1" si="19"/>
        <v>0</v>
      </c>
      <c r="AD7">
        <f t="shared" ca="1" si="20"/>
        <v>0</v>
      </c>
      <c r="AE7">
        <f t="shared" ca="1" si="21"/>
        <v>0</v>
      </c>
      <c r="AF7">
        <f t="shared" ca="1" si="22"/>
        <v>0</v>
      </c>
      <c r="AG7">
        <f t="shared" ca="1" si="23"/>
        <v>0</v>
      </c>
    </row>
    <row r="8" spans="1:36">
      <c r="A8" s="2" t="str">
        <f>'- H -'!B10</f>
        <v>Corea del Sur</v>
      </c>
      <c r="B8" s="1">
        <f ca="1">IF('- H -'!C10&lt;&gt;"",'- H -'!C10,"")</f>
        <v>9</v>
      </c>
      <c r="C8" s="1" t="str">
        <f>'- H -'!D10</f>
        <v>-</v>
      </c>
      <c r="D8" s="1">
        <f ca="1">IF('- H -'!E10&lt;&gt;"",'- H -'!E10,"")</f>
        <v>7</v>
      </c>
      <c r="E8" s="3" t="str">
        <f>'- H -'!F10</f>
        <v>Portugal</v>
      </c>
      <c r="F8" s="1">
        <f ca="1">COUNTBLANK('- H -'!C10:'- H -'!E10)</f>
        <v>0</v>
      </c>
      <c r="G8">
        <f t="shared" ca="1" si="0"/>
        <v>1</v>
      </c>
      <c r="H8">
        <f t="shared" ca="1" si="1"/>
        <v>0</v>
      </c>
      <c r="I8">
        <f t="shared" ca="1" si="2"/>
        <v>0</v>
      </c>
      <c r="J8">
        <f t="shared" ca="1" si="3"/>
        <v>1</v>
      </c>
      <c r="K8">
        <f t="shared" ca="1" si="4"/>
        <v>7</v>
      </c>
      <c r="L8">
        <f t="shared" ca="1" si="5"/>
        <v>9</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9</v>
      </c>
      <c r="AG8">
        <f t="shared" ca="1" si="23"/>
        <v>7</v>
      </c>
    </row>
    <row r="9" spans="1:36">
      <c r="A9" s="2" t="str">
        <f>'- H -'!B11</f>
        <v>Ghana</v>
      </c>
      <c r="B9" s="1">
        <f ca="1">IF('- H -'!C11&lt;&gt;"",'- H -'!C11,"")</f>
        <v>8</v>
      </c>
      <c r="C9" s="1" t="str">
        <f>'- H -'!D11</f>
        <v>-</v>
      </c>
      <c r="D9" s="1">
        <f ca="1">IF('- H -'!E11&lt;&gt;"",'- H -'!E11,"")</f>
        <v>1</v>
      </c>
      <c r="E9" s="3" t="str">
        <f>'- H -'!F11</f>
        <v>Uruguay</v>
      </c>
      <c r="F9" s="1">
        <f ca="1">COUNTBLANK('- H -'!C11:'- H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8</v>
      </c>
      <c r="S9">
        <f t="shared" ca="1" si="11"/>
        <v>1</v>
      </c>
      <c r="U9">
        <f t="shared" ca="1" si="12"/>
        <v>1</v>
      </c>
      <c r="V9">
        <f t="shared" ca="1" si="13"/>
        <v>0</v>
      </c>
      <c r="W9">
        <f t="shared" ca="1" si="14"/>
        <v>0</v>
      </c>
      <c r="X9">
        <f t="shared" ca="1" si="15"/>
        <v>1</v>
      </c>
      <c r="Y9">
        <f t="shared" ca="1" si="16"/>
        <v>1</v>
      </c>
      <c r="Z9">
        <f t="shared" ca="1" si="17"/>
        <v>8</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0</v>
      </c>
      <c r="J10">
        <f t="shared" ca="1" si="24"/>
        <v>2</v>
      </c>
      <c r="K10">
        <f t="shared" ca="1" si="24"/>
        <v>26</v>
      </c>
      <c r="L10">
        <f t="shared" ca="1" si="24"/>
        <v>24</v>
      </c>
      <c r="M10">
        <f ca="1">H10*3+I10</f>
        <v>3</v>
      </c>
      <c r="N10">
        <f t="shared" ref="N10:S10" ca="1" si="25">SUM(N4:N9)</f>
        <v>3</v>
      </c>
      <c r="O10">
        <f t="shared" ca="1" si="25"/>
        <v>3</v>
      </c>
      <c r="P10">
        <f t="shared" ca="1" si="25"/>
        <v>0</v>
      </c>
      <c r="Q10">
        <f t="shared" ca="1" si="25"/>
        <v>0</v>
      </c>
      <c r="R10">
        <f t="shared" ca="1" si="25"/>
        <v>27</v>
      </c>
      <c r="S10">
        <f t="shared" ca="1" si="25"/>
        <v>13</v>
      </c>
      <c r="T10">
        <f ca="1">O10*3+P10</f>
        <v>9</v>
      </c>
      <c r="U10">
        <f t="shared" ref="U10:Z10" ca="1" si="26">SUM(U4:U9)</f>
        <v>3</v>
      </c>
      <c r="V10">
        <f t="shared" ca="1" si="26"/>
        <v>0</v>
      </c>
      <c r="W10">
        <f t="shared" ca="1" si="26"/>
        <v>1</v>
      </c>
      <c r="X10">
        <f t="shared" ca="1" si="26"/>
        <v>2</v>
      </c>
      <c r="Y10">
        <f t="shared" ca="1" si="26"/>
        <v>13</v>
      </c>
      <c r="Z10">
        <f t="shared" ca="1" si="26"/>
        <v>25</v>
      </c>
      <c r="AA10">
        <f ca="1">V10*3+W10</f>
        <v>1</v>
      </c>
      <c r="AB10">
        <f t="shared" ref="AB10:AG10" ca="1" si="27">SUM(AB4:AB9)</f>
        <v>3</v>
      </c>
      <c r="AC10">
        <f t="shared" ca="1" si="27"/>
        <v>1</v>
      </c>
      <c r="AD10">
        <f t="shared" ca="1" si="27"/>
        <v>1</v>
      </c>
      <c r="AE10">
        <f t="shared" ca="1" si="27"/>
        <v>1</v>
      </c>
      <c r="AF10">
        <f t="shared" ca="1" si="27"/>
        <v>19</v>
      </c>
      <c r="AG10">
        <f t="shared" ca="1" si="27"/>
        <v>23</v>
      </c>
      <c r="AH10">
        <f ca="1">AC10*3+AD10</f>
        <v>4</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Portugal</v>
      </c>
      <c r="G16">
        <f ca="1">G10</f>
        <v>3</v>
      </c>
      <c r="H16">
        <f t="shared" ref="H16:M16" ca="1" si="28">H10</f>
        <v>1</v>
      </c>
      <c r="I16">
        <f t="shared" ca="1" si="28"/>
        <v>0</v>
      </c>
      <c r="J16">
        <f t="shared" ca="1" si="28"/>
        <v>2</v>
      </c>
      <c r="K16">
        <f t="shared" ca="1" si="28"/>
        <v>26</v>
      </c>
      <c r="L16">
        <f t="shared" ca="1" si="28"/>
        <v>24</v>
      </c>
      <c r="M16">
        <f t="shared" ca="1" si="28"/>
        <v>3</v>
      </c>
      <c r="O16" t="str">
        <f ca="1">IF($M16&gt;=$M17,$F16,$F17)</f>
        <v>Ghana</v>
      </c>
      <c r="P16">
        <f ca="1">VLOOKUP(O16,$F$16:$M$25,8,FALSE)</f>
        <v>9</v>
      </c>
      <c r="S16" t="str">
        <f ca="1">IF($P16&gt;=$P18,$O16,$O18)</f>
        <v>Ghana</v>
      </c>
      <c r="T16">
        <f ca="1">VLOOKUP(S16,$O$16:$P$25,2,FALSE)</f>
        <v>9</v>
      </c>
      <c r="W16" t="str">
        <f ca="1">IF($T16&gt;=$T19,$S16,$S19)</f>
        <v>Ghana</v>
      </c>
      <c r="X16">
        <f ca="1">VLOOKUP(W16,$S$16:$T$25,2,FALSE)</f>
        <v>9</v>
      </c>
      <c r="AA16" t="str">
        <f ca="1">W16</f>
        <v>Ghana</v>
      </c>
      <c r="AB16">
        <f ca="1">VLOOKUP(AA16,W16:X25,2,FALSE)</f>
        <v>9</v>
      </c>
      <c r="AE16" t="str">
        <f ca="1">AA16</f>
        <v>Ghana</v>
      </c>
      <c r="AF16">
        <f ca="1">VLOOKUP(AE16,AA16:AB25,2,FALSE)</f>
        <v>9</v>
      </c>
      <c r="AI16" t="str">
        <f ca="1">AE16</f>
        <v>Ghana</v>
      </c>
      <c r="AJ16">
        <f ca="1">VLOOKUP(AI16,AE16:AF25,2,FALSE)</f>
        <v>9</v>
      </c>
    </row>
    <row r="17" spans="6:37">
      <c r="F17" t="str">
        <f>N2</f>
        <v>Ghana</v>
      </c>
      <c r="G17">
        <f t="shared" ref="G17:M17" ca="1" si="29">N10</f>
        <v>3</v>
      </c>
      <c r="H17">
        <f t="shared" ca="1" si="29"/>
        <v>3</v>
      </c>
      <c r="I17">
        <f t="shared" ca="1" si="29"/>
        <v>0</v>
      </c>
      <c r="J17">
        <f t="shared" ca="1" si="29"/>
        <v>0</v>
      </c>
      <c r="K17">
        <f t="shared" ca="1" si="29"/>
        <v>27</v>
      </c>
      <c r="L17">
        <f t="shared" ca="1" si="29"/>
        <v>13</v>
      </c>
      <c r="M17">
        <f t="shared" ca="1" si="29"/>
        <v>9</v>
      </c>
      <c r="O17" t="str">
        <f ca="1">IF($M17&lt;=$M16,$F17,$F16)</f>
        <v>Portugal</v>
      </c>
      <c r="P17">
        <f ca="1">VLOOKUP(O17,$F$16:$M$25,8,FALSE)</f>
        <v>3</v>
      </c>
      <c r="S17" t="str">
        <f ca="1">O17</f>
        <v>Portugal</v>
      </c>
      <c r="T17">
        <f ca="1">VLOOKUP(S17,$O$16:$P$25,2,FALSE)</f>
        <v>3</v>
      </c>
      <c r="W17" t="str">
        <f ca="1">S17</f>
        <v>Portugal</v>
      </c>
      <c r="X17">
        <f ca="1">VLOOKUP(W17,$S$16:$T$25,2,FALSE)</f>
        <v>3</v>
      </c>
      <c r="AA17" t="str">
        <f ca="1">IF(X17&gt;=X18,W17,W18)</f>
        <v>Portugal</v>
      </c>
      <c r="AB17">
        <f ca="1">VLOOKUP(AA17,W16:X25,2,FALSE)</f>
        <v>3</v>
      </c>
      <c r="AE17" t="str">
        <f ca="1">IF(AB17&gt;=AB19,AA17,AA19)</f>
        <v>Corea del Sur</v>
      </c>
      <c r="AF17">
        <f ca="1">VLOOKUP(AE17,AA16:AB25,2,FALSE)</f>
        <v>4</v>
      </c>
      <c r="AI17" t="str">
        <f ca="1">AE17</f>
        <v>Corea del Sur</v>
      </c>
      <c r="AJ17">
        <f ca="1">VLOOKUP(AI17,AE16:AF25,2,FALSE)</f>
        <v>4</v>
      </c>
    </row>
    <row r="18" spans="6:37">
      <c r="F18" t="str">
        <f>U2</f>
        <v>Uruguay</v>
      </c>
      <c r="G18">
        <f t="shared" ref="G18:M18" ca="1" si="30">U10</f>
        <v>3</v>
      </c>
      <c r="H18">
        <f t="shared" ca="1" si="30"/>
        <v>0</v>
      </c>
      <c r="I18">
        <f t="shared" ca="1" si="30"/>
        <v>1</v>
      </c>
      <c r="J18">
        <f t="shared" ca="1" si="30"/>
        <v>2</v>
      </c>
      <c r="K18">
        <f t="shared" ca="1" si="30"/>
        <v>13</v>
      </c>
      <c r="L18">
        <f t="shared" ca="1" si="30"/>
        <v>25</v>
      </c>
      <c r="M18">
        <f t="shared" ca="1" si="30"/>
        <v>1</v>
      </c>
      <c r="O18" t="str">
        <f>F18</f>
        <v>Uruguay</v>
      </c>
      <c r="P18">
        <f ca="1">VLOOKUP(O18,$F$16:$M$25,8,FALSE)</f>
        <v>1</v>
      </c>
      <c r="S18" t="str">
        <f ca="1">IF($P18&lt;=$P16,$O18,$O16)</f>
        <v>Uruguay</v>
      </c>
      <c r="T18">
        <f ca="1">VLOOKUP(S18,$O$16:$P$25,2,FALSE)</f>
        <v>1</v>
      </c>
      <c r="W18" t="str">
        <f ca="1">S18</f>
        <v>Uruguay</v>
      </c>
      <c r="X18">
        <f ca="1">VLOOKUP(W18,$S$16:$T$25,2,FALSE)</f>
        <v>1</v>
      </c>
      <c r="AA18" t="str">
        <f ca="1">IF(X18&lt;=X17,W18,W17)</f>
        <v>Uruguay</v>
      </c>
      <c r="AB18">
        <f ca="1">VLOOKUP(AA18,W16:X25,2,FALSE)</f>
        <v>1</v>
      </c>
      <c r="AE18" t="str">
        <f ca="1">AA18</f>
        <v>Uruguay</v>
      </c>
      <c r="AF18">
        <f ca="1">VLOOKUP(AE18,AA16:AB25,2,FALSE)</f>
        <v>1</v>
      </c>
      <c r="AI18" t="str">
        <f ca="1">IF(AF18&gt;=AF19,AE18,AE19)</f>
        <v>Portugal</v>
      </c>
      <c r="AJ18">
        <f ca="1">VLOOKUP(AI18,AE16:AF25,2,FALSE)</f>
        <v>3</v>
      </c>
    </row>
    <row r="19" spans="6:37">
      <c r="F19" t="str">
        <f>AB2</f>
        <v>Corea del Sur</v>
      </c>
      <c r="G19">
        <f t="shared" ref="G19:M19" ca="1" si="31">AB10</f>
        <v>3</v>
      </c>
      <c r="H19">
        <f t="shared" ca="1" si="31"/>
        <v>1</v>
      </c>
      <c r="I19">
        <f t="shared" ca="1" si="31"/>
        <v>1</v>
      </c>
      <c r="J19">
        <f t="shared" ca="1" si="31"/>
        <v>1</v>
      </c>
      <c r="K19">
        <f t="shared" ca="1" si="31"/>
        <v>19</v>
      </c>
      <c r="L19">
        <f t="shared" ca="1" si="31"/>
        <v>23</v>
      </c>
      <c r="M19">
        <f t="shared" ca="1" si="31"/>
        <v>4</v>
      </c>
      <c r="O19" t="str">
        <f>F19</f>
        <v>Corea del Sur</v>
      </c>
      <c r="P19">
        <f ca="1">VLOOKUP(O19,$F$16:$M$25,8,FALSE)</f>
        <v>4</v>
      </c>
      <c r="S19" t="str">
        <f>O19</f>
        <v>Corea del Sur</v>
      </c>
      <c r="T19">
        <f ca="1">VLOOKUP(S19,$O$16:$P$25,2,FALSE)</f>
        <v>4</v>
      </c>
      <c r="W19" t="str">
        <f ca="1">IF($T19&lt;=$T16,$S19,$S16)</f>
        <v>Corea del Sur</v>
      </c>
      <c r="X19">
        <f ca="1">VLOOKUP(W19,$S$16:$T$25,2,FALSE)</f>
        <v>4</v>
      </c>
      <c r="AA19" t="str">
        <f ca="1">W19</f>
        <v>Corea del Sur</v>
      </c>
      <c r="AB19">
        <f ca="1">VLOOKUP(AA19,W16:X25,2,FALSE)</f>
        <v>4</v>
      </c>
      <c r="AE19" t="str">
        <f ca="1">IF(AB19&lt;=AB17,AA19,AA17)</f>
        <v>Portugal</v>
      </c>
      <c r="AF19">
        <f ca="1">VLOOKUP(AE19,AA16:AB25,2,FALSE)</f>
        <v>3</v>
      </c>
      <c r="AI19" t="str">
        <f ca="1">IF(AF19&lt;=AF18,AE19,AE18)</f>
        <v>Uruguay</v>
      </c>
      <c r="AJ19">
        <f ca="1">VLOOKUP(AI19,AE16:AF25,2,FALSE)</f>
        <v>1</v>
      </c>
    </row>
    <row r="28" spans="6:37">
      <c r="F28" t="str">
        <f ca="1">AI16</f>
        <v>Ghana</v>
      </c>
      <c r="J28">
        <f ca="1">AJ16</f>
        <v>9</v>
      </c>
      <c r="K28">
        <f ca="1">VLOOKUP(AI16,$F$16:$M$25,6,FALSE)</f>
        <v>27</v>
      </c>
      <c r="L28">
        <f ca="1">VLOOKUP(AI16,$F$16:$M$25,7,FALSE)</f>
        <v>13</v>
      </c>
      <c r="M28">
        <f ca="1">K28-L28</f>
        <v>14</v>
      </c>
      <c r="O28" t="str">
        <f ca="1">IF(AND($J28=$J29,$M29&gt;$M28),$F29,$F28)</f>
        <v>Ghana</v>
      </c>
      <c r="P28">
        <f ca="1">VLOOKUP(O28,$F$28:$M$37,5,FALSE)</f>
        <v>9</v>
      </c>
      <c r="Q28">
        <f ca="1">VLOOKUP(O28,$F$28:$M$37,8,FALSE)</f>
        <v>14</v>
      </c>
      <c r="S28" t="str">
        <f ca="1">IF(AND(P28=P30,Q30&gt;Q28),O30,O28)</f>
        <v>Ghana</v>
      </c>
      <c r="T28">
        <f ca="1">VLOOKUP(S28,$O$28:$Q$37,2,FALSE)</f>
        <v>9</v>
      </c>
      <c r="U28">
        <f ca="1">VLOOKUP(S28,$O$28:$Q$37,3,FALSE)</f>
        <v>14</v>
      </c>
      <c r="W28" t="str">
        <f ca="1">IF(AND(T28=T31,U31&gt;U28),S31,S28)</f>
        <v>Ghana</v>
      </c>
      <c r="X28">
        <f ca="1">VLOOKUP(W28,$S$28:$U$37,2,FALSE)</f>
        <v>9</v>
      </c>
      <c r="Y28">
        <f ca="1">VLOOKUP(W28,$S$28:$U$37,3,FALSE)</f>
        <v>14</v>
      </c>
      <c r="AA28" t="str">
        <f ca="1">W28</f>
        <v>Ghana</v>
      </c>
      <c r="AB28">
        <f ca="1">VLOOKUP(AA28,W28:Y37,2,FALSE)</f>
        <v>9</v>
      </c>
      <c r="AC28">
        <f ca="1">VLOOKUP(AA28,W28:Y37,3,FALSE)</f>
        <v>14</v>
      </c>
      <c r="AE28" t="str">
        <f ca="1">AA28</f>
        <v>Ghana</v>
      </c>
      <c r="AF28">
        <f ca="1">VLOOKUP(AE28,AA28:AC37,2,FALSE)</f>
        <v>9</v>
      </c>
      <c r="AG28">
        <f ca="1">VLOOKUP(AE28,AA28:AC37,3,FALSE)</f>
        <v>14</v>
      </c>
      <c r="AI28" t="str">
        <f ca="1">AE28</f>
        <v>Ghana</v>
      </c>
      <c r="AJ28">
        <f ca="1">VLOOKUP(AI28,AE28:AG37,2,FALSE)</f>
        <v>9</v>
      </c>
      <c r="AK28">
        <f ca="1">VLOOKUP(AI28,AE28:AG37,3,FALSE)</f>
        <v>14</v>
      </c>
    </row>
    <row r="29" spans="6:37">
      <c r="F29" t="str">
        <f ca="1">AI17</f>
        <v>Corea del Sur</v>
      </c>
      <c r="J29">
        <f ca="1">AJ17</f>
        <v>4</v>
      </c>
      <c r="K29">
        <f ca="1">VLOOKUP(AI17,$F$16:$M$25,6,FALSE)</f>
        <v>19</v>
      </c>
      <c r="L29">
        <f ca="1">VLOOKUP(AI17,$F$16:$M$25,7,FALSE)</f>
        <v>23</v>
      </c>
      <c r="M29">
        <f ca="1">K29-L29</f>
        <v>-4</v>
      </c>
      <c r="O29" t="str">
        <f ca="1">IF(AND($J28=$J29,$M29&gt;$M28),$F28,$F29)</f>
        <v>Corea del Sur</v>
      </c>
      <c r="P29">
        <f ca="1">VLOOKUP(O29,$F$28:$M$37,5,FALSE)</f>
        <v>4</v>
      </c>
      <c r="Q29">
        <f ca="1">VLOOKUP(O29,$F$28:$M$37,8,FALSE)</f>
        <v>-4</v>
      </c>
      <c r="S29" t="str">
        <f ca="1">O29</f>
        <v>Corea del Sur</v>
      </c>
      <c r="T29">
        <f ca="1">VLOOKUP(S29,$O$28:$Q$37,2,FALSE)</f>
        <v>4</v>
      </c>
      <c r="U29">
        <f ca="1">VLOOKUP(S29,$O$28:$Q$37,3,FALSE)</f>
        <v>-4</v>
      </c>
      <c r="W29" t="str">
        <f ca="1">S29</f>
        <v>Corea del Sur</v>
      </c>
      <c r="X29">
        <f ca="1">VLOOKUP(W29,$S$28:$U$37,2,FALSE)</f>
        <v>4</v>
      </c>
      <c r="Y29">
        <f ca="1">VLOOKUP(W29,$S$28:$U$37,3,FALSE)</f>
        <v>-4</v>
      </c>
      <c r="AA29" t="str">
        <f ca="1">IF(AND(X29=X30,Y30&gt;Y29),W30,W29)</f>
        <v>Corea del Sur</v>
      </c>
      <c r="AB29">
        <f ca="1">VLOOKUP(AA29,W28:Y37,2,FALSE)</f>
        <v>4</v>
      </c>
      <c r="AC29">
        <f ca="1">VLOOKUP(AA29,W28:Y37,3,FALSE)</f>
        <v>-4</v>
      </c>
      <c r="AE29" t="str">
        <f ca="1">IF(AND(AB29=AB31,AC31&gt;AC29),AA31,AA29)</f>
        <v>Corea del Sur</v>
      </c>
      <c r="AF29">
        <f ca="1">VLOOKUP(AE29,AA28:AC37,2,FALSE)</f>
        <v>4</v>
      </c>
      <c r="AG29">
        <f ca="1">VLOOKUP(AE29,AA28:AC37,3,FALSE)</f>
        <v>-4</v>
      </c>
      <c r="AI29" t="str">
        <f ca="1">AE29</f>
        <v>Corea del Sur</v>
      </c>
      <c r="AJ29">
        <f ca="1">VLOOKUP(AI29,AE28:AG37,2,FALSE)</f>
        <v>4</v>
      </c>
      <c r="AK29">
        <f ca="1">VLOOKUP(AI29,AE28:AG37,3,FALSE)</f>
        <v>-4</v>
      </c>
    </row>
    <row r="30" spans="6:37">
      <c r="F30" t="str">
        <f ca="1">AI18</f>
        <v>Portugal</v>
      </c>
      <c r="J30">
        <f ca="1">AJ18</f>
        <v>3</v>
      </c>
      <c r="K30">
        <f ca="1">VLOOKUP(AI18,$F$16:$M$25,6,FALSE)</f>
        <v>26</v>
      </c>
      <c r="L30">
        <f ca="1">VLOOKUP(AI18,$F$16:$M$25,7,FALSE)</f>
        <v>24</v>
      </c>
      <c r="M30">
        <f ca="1">K30-L30</f>
        <v>2</v>
      </c>
      <c r="O30" t="str">
        <f ca="1">F30</f>
        <v>Portugal</v>
      </c>
      <c r="P30">
        <f ca="1">VLOOKUP(O30,$F$28:$M$37,5,FALSE)</f>
        <v>3</v>
      </c>
      <c r="Q30">
        <f ca="1">VLOOKUP(O30,$F$28:$M$37,8,FALSE)</f>
        <v>2</v>
      </c>
      <c r="S30" t="str">
        <f ca="1">IF(AND($P28=P30,Q30&gt;Q28),O28,O30)</f>
        <v>Portugal</v>
      </c>
      <c r="T30">
        <f ca="1">VLOOKUP(S30,$O$28:$Q$37,2,FALSE)</f>
        <v>3</v>
      </c>
      <c r="U30">
        <f ca="1">VLOOKUP(S30,$O$28:$Q$37,3,FALSE)</f>
        <v>2</v>
      </c>
      <c r="W30" t="str">
        <f ca="1">S30</f>
        <v>Portugal</v>
      </c>
      <c r="X30">
        <f ca="1">VLOOKUP(W30,$S$28:$U$37,2,FALSE)</f>
        <v>3</v>
      </c>
      <c r="Y30">
        <f ca="1">VLOOKUP(W30,$S$28:$U$37,3,FALSE)</f>
        <v>2</v>
      </c>
      <c r="AA30" t="str">
        <f ca="1">IF(AND(X29=X30,Y30&gt;Y29),W29,W30)</f>
        <v>Portugal</v>
      </c>
      <c r="AB30">
        <f ca="1">VLOOKUP(AA30,W28:Y37,2,FALSE)</f>
        <v>3</v>
      </c>
      <c r="AC30">
        <f ca="1">VLOOKUP(AA30,W28:Y37,3,FALSE)</f>
        <v>2</v>
      </c>
      <c r="AE30" t="str">
        <f ca="1">AA30</f>
        <v>Portugal</v>
      </c>
      <c r="AF30">
        <f ca="1">VLOOKUP(AE30,AA28:AC37,2,FALSE)</f>
        <v>3</v>
      </c>
      <c r="AG30">
        <f ca="1">VLOOKUP(AE30,AA28:AC37,3,FALSE)</f>
        <v>2</v>
      </c>
      <c r="AI30" t="str">
        <f ca="1">IF(AND(AF30=AF31,AG31&gt;AG30),AE31,AE30)</f>
        <v>Portugal</v>
      </c>
      <c r="AJ30">
        <f ca="1">VLOOKUP(AI30,AE28:AG37,2,FALSE)</f>
        <v>3</v>
      </c>
      <c r="AK30">
        <f ca="1">VLOOKUP(AI30,AE28:AG37,3,FALSE)</f>
        <v>2</v>
      </c>
    </row>
    <row r="31" spans="6:37">
      <c r="F31" t="str">
        <f ca="1">AI19</f>
        <v>Uruguay</v>
      </c>
      <c r="J31">
        <f ca="1">AJ19</f>
        <v>1</v>
      </c>
      <c r="K31">
        <f ca="1">VLOOKUP(AI19,$F$16:$M$25,6,FALSE)</f>
        <v>13</v>
      </c>
      <c r="L31">
        <f ca="1">VLOOKUP(AI19,$F$16:$M$25,7,FALSE)</f>
        <v>25</v>
      </c>
      <c r="M31">
        <f ca="1">K31-L31</f>
        <v>-12</v>
      </c>
      <c r="O31" t="str">
        <f ca="1">F31</f>
        <v>Uruguay</v>
      </c>
      <c r="P31">
        <f ca="1">VLOOKUP(O31,$F$28:$M$37,5,FALSE)</f>
        <v>1</v>
      </c>
      <c r="Q31">
        <f ca="1">VLOOKUP(O31,$F$28:$M$37,8,FALSE)</f>
        <v>-12</v>
      </c>
      <c r="S31" t="str">
        <f ca="1">O31</f>
        <v>Uruguay</v>
      </c>
      <c r="T31">
        <f ca="1">VLOOKUP(S31,$O$28:$Q$37,2,FALSE)</f>
        <v>1</v>
      </c>
      <c r="U31">
        <f ca="1">VLOOKUP(S31,$O$28:$Q$37,3,FALSE)</f>
        <v>-12</v>
      </c>
      <c r="W31" t="str">
        <f ca="1">IF(AND(T28=T31,U31&gt;U28),S28,S31)</f>
        <v>Uruguay</v>
      </c>
      <c r="X31">
        <f ca="1">VLOOKUP(W31,$S$28:$U$37,2,FALSE)</f>
        <v>1</v>
      </c>
      <c r="Y31">
        <f ca="1">VLOOKUP(W31,$S$28:$U$37,3,FALSE)</f>
        <v>-12</v>
      </c>
      <c r="AA31" t="str">
        <f ca="1">W31</f>
        <v>Uruguay</v>
      </c>
      <c r="AB31">
        <f ca="1">VLOOKUP(AA31,W28:Y37,2,FALSE)</f>
        <v>1</v>
      </c>
      <c r="AC31">
        <f ca="1">VLOOKUP(AA31,W28:Y37,3,FALSE)</f>
        <v>-12</v>
      </c>
      <c r="AE31" t="str">
        <f ca="1">IF(AND(AB29=AB31,AC31&gt;AC29),AA29,AA31)</f>
        <v>Uruguay</v>
      </c>
      <c r="AF31">
        <f ca="1">VLOOKUP(AE31,AA28:AC37,2,FALSE)</f>
        <v>1</v>
      </c>
      <c r="AG31">
        <f ca="1">VLOOKUP(AE31,AA28:AC37,3,FALSE)</f>
        <v>-12</v>
      </c>
      <c r="AI31" t="str">
        <f ca="1">IF(AND(AF30=AF31,AG31&gt;AG30),AE30,AE31)</f>
        <v>Uruguay</v>
      </c>
      <c r="AJ31">
        <f ca="1">VLOOKUP(AI31,AE28:AG37,2,FALSE)</f>
        <v>1</v>
      </c>
      <c r="AK31">
        <f ca="1">VLOOKUP(AI31,AE28:AG37,3,FALSE)</f>
        <v>-12</v>
      </c>
    </row>
    <row r="40" spans="6:38">
      <c r="F40" t="str">
        <f ca="1">AI28</f>
        <v>Ghana</v>
      </c>
      <c r="J40">
        <f ca="1">VLOOKUP(F40,$F$16:$M$25,8,FALSE)</f>
        <v>9</v>
      </c>
      <c r="K40">
        <f ca="1">VLOOKUP(F40,$F$16:$M$25,6,FALSE)</f>
        <v>27</v>
      </c>
      <c r="L40">
        <f ca="1">VLOOKUP(F40,$F$16:$M$25,7,FALSE)</f>
        <v>13</v>
      </c>
      <c r="M40">
        <f ca="1">K40-L40</f>
        <v>14</v>
      </c>
      <c r="O40" t="str">
        <f ca="1">IF(AND(J40=J41,M40=M41,K41&gt;K40),F41,F40)</f>
        <v>Ghana</v>
      </c>
      <c r="P40">
        <f ca="1">VLOOKUP(O40,$F$40:$M$49,5,FALSE)</f>
        <v>9</v>
      </c>
      <c r="Q40">
        <f ca="1">VLOOKUP(O40,$F$40:$M$49,8,FALSE)</f>
        <v>14</v>
      </c>
      <c r="R40">
        <f ca="1">VLOOKUP(O40,$F$40:$M$49,6,FALSE)</f>
        <v>27</v>
      </c>
      <c r="S40" t="str">
        <f ca="1">IF(AND(P40=P42,Q40=Q42,R42&gt;R40),O42,O40)</f>
        <v>Ghana</v>
      </c>
      <c r="T40">
        <f ca="1">VLOOKUP(S40,$O$40:$R$49,2,FALSE)</f>
        <v>9</v>
      </c>
      <c r="U40">
        <f ca="1">VLOOKUP(S40,$O$40:$R$49,3,FALSE)</f>
        <v>14</v>
      </c>
      <c r="V40">
        <f ca="1">VLOOKUP(S40,$O$40:$R$49,4,FALSE)</f>
        <v>27</v>
      </c>
      <c r="W40" t="str">
        <f ca="1">IF(AND(T40=T43,U40=U43,V43&gt;V40),S43,S40)</f>
        <v>Ghana</v>
      </c>
      <c r="X40">
        <f ca="1">VLOOKUP(W40,$S$40:$V$49,2,FALSE)</f>
        <v>9</v>
      </c>
      <c r="Y40">
        <f ca="1">VLOOKUP(W40,$S$40:$V$49,3,FALSE)</f>
        <v>14</v>
      </c>
      <c r="Z40">
        <f ca="1">VLOOKUP(W40,$S$40:$V$49,4,FALSE)</f>
        <v>27</v>
      </c>
      <c r="AA40" t="str">
        <f ca="1">W40</f>
        <v>Ghana</v>
      </c>
      <c r="AB40">
        <f ca="1">VLOOKUP(AA40,W40:Z49,2,FALSE)</f>
        <v>9</v>
      </c>
      <c r="AC40">
        <f ca="1">VLOOKUP(AA40,W40:Z49,3,FALSE)</f>
        <v>14</v>
      </c>
      <c r="AD40">
        <f ca="1">VLOOKUP(AA40,W40:Z49,4,FALSE)</f>
        <v>27</v>
      </c>
      <c r="AE40" t="str">
        <f ca="1">AA40</f>
        <v>Ghana</v>
      </c>
      <c r="AF40">
        <f ca="1">VLOOKUP(AE40,AA40:AD49,2,FALSE)</f>
        <v>9</v>
      </c>
      <c r="AG40">
        <f ca="1">VLOOKUP(AE40,AA40:AD49,3,FALSE)</f>
        <v>14</v>
      </c>
      <c r="AH40">
        <f ca="1">VLOOKUP(AE40,AA40:AD49,4,FALSE)</f>
        <v>27</v>
      </c>
      <c r="AI40" t="str">
        <f ca="1">AE40</f>
        <v>Ghana</v>
      </c>
      <c r="AJ40">
        <f ca="1">VLOOKUP(AI40,AE40:AH49,2,FALSE)</f>
        <v>9</v>
      </c>
      <c r="AK40">
        <f ca="1">VLOOKUP(AI40,AE40:AH49,3,FALSE)</f>
        <v>14</v>
      </c>
      <c r="AL40">
        <f ca="1">VLOOKUP(AI40,AE40:AH49,4,FALSE)</f>
        <v>27</v>
      </c>
    </row>
    <row r="41" spans="6:38">
      <c r="F41" t="str">
        <f ca="1">AI29</f>
        <v>Corea del Sur</v>
      </c>
      <c r="J41">
        <f ca="1">VLOOKUP(F41,$F$16:$M$25,8,FALSE)</f>
        <v>4</v>
      </c>
      <c r="K41">
        <f ca="1">VLOOKUP(F41,$F$16:$M$25,6,FALSE)</f>
        <v>19</v>
      </c>
      <c r="L41">
        <f ca="1">VLOOKUP(F41,$F$16:$M$25,7,FALSE)</f>
        <v>23</v>
      </c>
      <c r="M41">
        <f ca="1">K41-L41</f>
        <v>-4</v>
      </c>
      <c r="O41" t="str">
        <f ca="1">IF(AND(J40=J41,M40=M41,K41&gt;K40),F40,F41)</f>
        <v>Corea del Sur</v>
      </c>
      <c r="P41">
        <f ca="1">VLOOKUP(O41,$F$40:$M$49,5,FALSE)</f>
        <v>4</v>
      </c>
      <c r="Q41">
        <f ca="1">VLOOKUP(O41,$F$40:$M$49,8,FALSE)</f>
        <v>-4</v>
      </c>
      <c r="R41">
        <f ca="1">VLOOKUP(O41,$F$40:$M$49,6,FALSE)</f>
        <v>19</v>
      </c>
      <c r="S41" t="str">
        <f ca="1">O41</f>
        <v>Corea del Sur</v>
      </c>
      <c r="T41">
        <f ca="1">VLOOKUP(S41,$O$40:$R$49,2,FALSE)</f>
        <v>4</v>
      </c>
      <c r="U41">
        <f ca="1">VLOOKUP(S41,$O$40:$R$49,3,FALSE)</f>
        <v>-4</v>
      </c>
      <c r="V41">
        <f ca="1">VLOOKUP(S41,$O$40:$R$49,4,FALSE)</f>
        <v>19</v>
      </c>
      <c r="W41" t="str">
        <f ca="1">S41</f>
        <v>Corea del Sur</v>
      </c>
      <c r="X41">
        <f ca="1">VLOOKUP(W41,$S$40:$V$49,2,FALSE)</f>
        <v>4</v>
      </c>
      <c r="Y41">
        <f ca="1">VLOOKUP(W41,$S$40:$V$49,3,FALSE)</f>
        <v>-4</v>
      </c>
      <c r="Z41">
        <f ca="1">VLOOKUP(W41,$S$40:$V$49,4,FALSE)</f>
        <v>19</v>
      </c>
      <c r="AA41" t="str">
        <f ca="1">IF(AND(X41=X42,Y41=Y42,Z42&gt;Z41),W42,W41)</f>
        <v>Corea del Sur</v>
      </c>
      <c r="AB41">
        <f ca="1">VLOOKUP(AA41,W40:Z49,2,FALSE)</f>
        <v>4</v>
      </c>
      <c r="AC41">
        <f ca="1">VLOOKUP(AA41,W40:Z49,3,FALSE)</f>
        <v>-4</v>
      </c>
      <c r="AD41">
        <f ca="1">VLOOKUP(AA41,W40:Z49,4,FALSE)</f>
        <v>19</v>
      </c>
      <c r="AE41" t="str">
        <f ca="1">IF(AND(AB41=AB43,AC41=AC43,AD43&gt;AD41),AA43,AA41)</f>
        <v>Corea del Sur</v>
      </c>
      <c r="AF41">
        <f ca="1">VLOOKUP(AE41,AA40:AD49,2,FALSE)</f>
        <v>4</v>
      </c>
      <c r="AG41">
        <f ca="1">VLOOKUP(AE41,AA40:AD49,3,FALSE)</f>
        <v>-4</v>
      </c>
      <c r="AH41">
        <f ca="1">VLOOKUP(AE41,AA40:AD49,4,FALSE)</f>
        <v>19</v>
      </c>
      <c r="AI41" t="str">
        <f ca="1">AE41</f>
        <v>Corea del Sur</v>
      </c>
      <c r="AJ41">
        <f ca="1">VLOOKUP(AI41,AE40:AH49,2,FALSE)</f>
        <v>4</v>
      </c>
      <c r="AK41">
        <f ca="1">VLOOKUP(AI41,AE40:AH49,3,FALSE)</f>
        <v>-4</v>
      </c>
      <c r="AL41">
        <f ca="1">VLOOKUP(AI41,AE40:AH49,4,FALSE)</f>
        <v>19</v>
      </c>
    </row>
    <row r="42" spans="6:38">
      <c r="F42" t="str">
        <f ca="1">AI30</f>
        <v>Portugal</v>
      </c>
      <c r="J42">
        <f ca="1">VLOOKUP(F42,$F$16:$M$25,8,FALSE)</f>
        <v>3</v>
      </c>
      <c r="K42">
        <f ca="1">VLOOKUP(F42,$F$16:$M$25,6,FALSE)</f>
        <v>26</v>
      </c>
      <c r="L42">
        <f ca="1">VLOOKUP(F42,$F$16:$M$25,7,FALSE)</f>
        <v>24</v>
      </c>
      <c r="M42">
        <f ca="1">K42-L42</f>
        <v>2</v>
      </c>
      <c r="O42" t="str">
        <f ca="1">F42</f>
        <v>Portugal</v>
      </c>
      <c r="P42">
        <f ca="1">VLOOKUP(O42,$F$40:$M$49,5,FALSE)</f>
        <v>3</v>
      </c>
      <c r="Q42">
        <f ca="1">VLOOKUP(O42,$F$40:$M$49,8,FALSE)</f>
        <v>2</v>
      </c>
      <c r="R42">
        <f ca="1">VLOOKUP(O42,$F$40:$M$49,6,FALSE)</f>
        <v>26</v>
      </c>
      <c r="S42" t="str">
        <f ca="1">IF(AND(P40=P42,Q40=Q42,R42&gt;R40),O40,O42)</f>
        <v>Portugal</v>
      </c>
      <c r="T42">
        <f ca="1">VLOOKUP(S42,$O$40:$R$49,2,FALSE)</f>
        <v>3</v>
      </c>
      <c r="U42">
        <f ca="1">VLOOKUP(S42,$O$40:$R$49,3,FALSE)</f>
        <v>2</v>
      </c>
      <c r="V42">
        <f ca="1">VLOOKUP(S42,$O$40:$R$49,4,FALSE)</f>
        <v>26</v>
      </c>
      <c r="W42" t="str">
        <f ca="1">S42</f>
        <v>Portugal</v>
      </c>
      <c r="X42">
        <f ca="1">VLOOKUP(W42,$S$40:$V$49,2,FALSE)</f>
        <v>3</v>
      </c>
      <c r="Y42">
        <f ca="1">VLOOKUP(W42,$S$40:$V$49,3,FALSE)</f>
        <v>2</v>
      </c>
      <c r="Z42">
        <f ca="1">VLOOKUP(W42,$S$40:$V$49,4,FALSE)</f>
        <v>26</v>
      </c>
      <c r="AA42" t="str">
        <f ca="1">IF(AND(X41=X42,Y41=Y42,Z42&gt;Z41),W41,W42)</f>
        <v>Portugal</v>
      </c>
      <c r="AB42">
        <f ca="1">VLOOKUP(AA42,W40:Z49,2,FALSE)</f>
        <v>3</v>
      </c>
      <c r="AC42">
        <f ca="1">VLOOKUP(AA42,W40:Z49,3,FALSE)</f>
        <v>2</v>
      </c>
      <c r="AD42">
        <f ca="1">VLOOKUP(AA42,W40:Z49,4,FALSE)</f>
        <v>26</v>
      </c>
      <c r="AE42" t="str">
        <f ca="1">AA42</f>
        <v>Portugal</v>
      </c>
      <c r="AF42">
        <f ca="1">VLOOKUP(AE42,AA40:AD49,2,FALSE)</f>
        <v>3</v>
      </c>
      <c r="AG42">
        <f ca="1">VLOOKUP(AE42,AA40:AD49,3,FALSE)</f>
        <v>2</v>
      </c>
      <c r="AH42">
        <f ca="1">VLOOKUP(AE42,AA40:AD49,4,FALSE)</f>
        <v>26</v>
      </c>
      <c r="AI42" t="str">
        <f ca="1">IF(AND(AF42=AF43,AG42=AG43,AH43&gt;AH42),AE43,AE42)</f>
        <v>Portugal</v>
      </c>
      <c r="AJ42">
        <f ca="1">VLOOKUP(AI42,AE40:AH49,2,FALSE)</f>
        <v>3</v>
      </c>
      <c r="AK42">
        <f ca="1">VLOOKUP(AI42,AE40:AH49,3,FALSE)</f>
        <v>2</v>
      </c>
      <c r="AL42">
        <f ca="1">VLOOKUP(AI42,AE40:AH49,4,FALSE)</f>
        <v>26</v>
      </c>
    </row>
    <row r="43" spans="6:38">
      <c r="F43" t="str">
        <f ca="1">AI31</f>
        <v>Uruguay</v>
      </c>
      <c r="J43">
        <f ca="1">VLOOKUP(F43,$F$16:$M$25,8,FALSE)</f>
        <v>1</v>
      </c>
      <c r="K43">
        <f ca="1">VLOOKUP(F43,$F$16:$M$25,6,FALSE)</f>
        <v>13</v>
      </c>
      <c r="L43">
        <f ca="1">VLOOKUP(F43,$F$16:$M$25,7,FALSE)</f>
        <v>25</v>
      </c>
      <c r="M43">
        <f ca="1">K43-L43</f>
        <v>-12</v>
      </c>
      <c r="O43" t="str">
        <f ca="1">F43</f>
        <v>Uruguay</v>
      </c>
      <c r="P43">
        <f ca="1">VLOOKUP(O43,$F$40:$M$49,5,FALSE)</f>
        <v>1</v>
      </c>
      <c r="Q43">
        <f ca="1">VLOOKUP(O43,$F$40:$M$49,8,FALSE)</f>
        <v>-12</v>
      </c>
      <c r="R43">
        <f ca="1">VLOOKUP(O43,$F$40:$M$49,6,FALSE)</f>
        <v>13</v>
      </c>
      <c r="S43" t="str">
        <f ca="1">O43</f>
        <v>Uruguay</v>
      </c>
      <c r="T43">
        <f ca="1">VLOOKUP(S43,$O$40:$R$49,2,FALSE)</f>
        <v>1</v>
      </c>
      <c r="U43">
        <f ca="1">VLOOKUP(S43,$O$40:$R$49,3,FALSE)</f>
        <v>-12</v>
      </c>
      <c r="V43">
        <f ca="1">VLOOKUP(S43,$O$40:$R$49,4,FALSE)</f>
        <v>13</v>
      </c>
      <c r="W43" t="str">
        <f ca="1">IF(AND(T40=T43,U40=U43,V43&gt;V40),S40,S43)</f>
        <v>Uruguay</v>
      </c>
      <c r="X43">
        <f ca="1">VLOOKUP(W43,$S$40:$V$49,2,FALSE)</f>
        <v>1</v>
      </c>
      <c r="Y43">
        <f ca="1">VLOOKUP(W43,$S$40:$V$49,3,FALSE)</f>
        <v>-12</v>
      </c>
      <c r="Z43">
        <f ca="1">VLOOKUP(W43,$S$40:$V$49,4,FALSE)</f>
        <v>13</v>
      </c>
      <c r="AA43" t="str">
        <f ca="1">W43</f>
        <v>Uruguay</v>
      </c>
      <c r="AB43">
        <f ca="1">VLOOKUP(AA43,W40:Z49,2,FALSE)</f>
        <v>1</v>
      </c>
      <c r="AC43">
        <f ca="1">VLOOKUP(AA43,W40:Z49,3,FALSE)</f>
        <v>-12</v>
      </c>
      <c r="AD43">
        <f ca="1">VLOOKUP(AA43,W40:Z49,4,FALSE)</f>
        <v>13</v>
      </c>
      <c r="AE43" t="str">
        <f ca="1">IF(AND(AB41=AB43,AC41=AC43,AD43&gt;AD41),AA41,AA43)</f>
        <v>Uruguay</v>
      </c>
      <c r="AF43">
        <f ca="1">VLOOKUP(AE43,AA40:AD49,2,FALSE)</f>
        <v>1</v>
      </c>
      <c r="AG43">
        <f ca="1">VLOOKUP(AE43,AA40:AD49,3,FALSE)</f>
        <v>-12</v>
      </c>
      <c r="AH43">
        <f ca="1">VLOOKUP(AE43,AA40:AD49,4,FALSE)</f>
        <v>13</v>
      </c>
      <c r="AI43" t="str">
        <f ca="1">IF(AND(AF42=AF43,AG42=AG43,AH43&gt;AH42),AE42,AE43)</f>
        <v>Uruguay</v>
      </c>
      <c r="AJ43">
        <f ca="1">VLOOKUP(AI43,AE40:AH49,2,FALSE)</f>
        <v>1</v>
      </c>
      <c r="AK43">
        <f ca="1">VLOOKUP(AI43,AE40:AH49,3,FALSE)</f>
        <v>-12</v>
      </c>
      <c r="AL43">
        <f ca="1">VLOOKUP(AI43,AE40:AH49,4,FALSE)</f>
        <v>13</v>
      </c>
    </row>
    <row r="51" spans="6:13">
      <c r="F51" t="s">
        <v>334</v>
      </c>
    </row>
    <row r="52" spans="6:13">
      <c r="F52" t="str">
        <f ca="1">AI40</f>
        <v>Ghana</v>
      </c>
      <c r="G52">
        <f ca="1">VLOOKUP(F52,$F$16:$M$25,2,FALSE)</f>
        <v>3</v>
      </c>
      <c r="H52">
        <f ca="1">VLOOKUP(F52,$F$16:$M$25,3,FALSE)</f>
        <v>3</v>
      </c>
      <c r="I52">
        <f ca="1">VLOOKUP(F52,$F$16:$M$25,4,FALSE)</f>
        <v>0</v>
      </c>
      <c r="J52">
        <f ca="1">VLOOKUP(F52,$F$16:$M$25,5,FALSE)</f>
        <v>0</v>
      </c>
      <c r="K52">
        <f ca="1">VLOOKUP(F52,$F$16:$M$25,6,FALSE)</f>
        <v>27</v>
      </c>
      <c r="L52">
        <f ca="1">VLOOKUP(F52,$F$16:$M$25,7,FALSE)</f>
        <v>13</v>
      </c>
      <c r="M52">
        <f ca="1">VLOOKUP(F52,$F$16:$M$25,8,FALSE)</f>
        <v>9</v>
      </c>
    </row>
    <row r="53" spans="6:13">
      <c r="F53" t="str">
        <f ca="1">AI41</f>
        <v>Corea del Sur</v>
      </c>
      <c r="G53">
        <f ca="1">VLOOKUP(F53,$F$16:$M$25,2,FALSE)</f>
        <v>3</v>
      </c>
      <c r="H53">
        <f ca="1">VLOOKUP(F53,$F$16:$M$25,3,FALSE)</f>
        <v>1</v>
      </c>
      <c r="I53">
        <f ca="1">VLOOKUP(F53,$F$16:$M$25,4,FALSE)</f>
        <v>1</v>
      </c>
      <c r="J53">
        <f ca="1">VLOOKUP(F53,$F$16:$M$25,5,FALSE)</f>
        <v>1</v>
      </c>
      <c r="K53">
        <f ca="1">VLOOKUP(F53,$F$16:$M$25,6,FALSE)</f>
        <v>19</v>
      </c>
      <c r="L53">
        <f ca="1">VLOOKUP(F53,$F$16:$M$25,7,FALSE)</f>
        <v>23</v>
      </c>
      <c r="M53">
        <f ca="1">VLOOKUP(F53,$F$16:$M$25,8,FALSE)</f>
        <v>4</v>
      </c>
    </row>
    <row r="54" spans="6:13">
      <c r="F54" t="str">
        <f ca="1">AI42</f>
        <v>Portugal</v>
      </c>
      <c r="G54">
        <f ca="1">VLOOKUP(F54,$F$16:$M$25,2,FALSE)</f>
        <v>3</v>
      </c>
      <c r="H54">
        <f ca="1">VLOOKUP(F54,$F$16:$M$25,3,FALSE)</f>
        <v>1</v>
      </c>
      <c r="I54">
        <f ca="1">VLOOKUP(F54,$F$16:$M$25,4,FALSE)</f>
        <v>0</v>
      </c>
      <c r="J54">
        <f ca="1">VLOOKUP(F54,$F$16:$M$25,5,FALSE)</f>
        <v>2</v>
      </c>
      <c r="K54">
        <f ca="1">VLOOKUP(F54,$F$16:$M$25,6,FALSE)</f>
        <v>26</v>
      </c>
      <c r="L54">
        <f ca="1">VLOOKUP(F54,$F$16:$M$25,7,FALSE)</f>
        <v>24</v>
      </c>
      <c r="M54">
        <f ca="1">VLOOKUP(F54,$F$16:$M$25,8,FALSE)</f>
        <v>3</v>
      </c>
    </row>
    <row r="55" spans="6:13">
      <c r="F55" t="str">
        <f ca="1">AI43</f>
        <v>Uruguay</v>
      </c>
      <c r="G55">
        <f ca="1">VLOOKUP(F55,$F$16:$M$25,2,FALSE)</f>
        <v>3</v>
      </c>
      <c r="H55">
        <f ca="1">VLOOKUP(F55,$F$16:$M$25,3,FALSE)</f>
        <v>0</v>
      </c>
      <c r="I55">
        <f ca="1">VLOOKUP(F55,$F$16:$M$25,4,FALSE)</f>
        <v>1</v>
      </c>
      <c r="J55">
        <f ca="1">VLOOKUP(F55,$F$16:$M$25,5,FALSE)</f>
        <v>2</v>
      </c>
      <c r="K55">
        <f ca="1">VLOOKUP(F55,$F$16:$M$25,6,FALSE)</f>
        <v>13</v>
      </c>
      <c r="L55">
        <f ca="1">VLOOKUP(F55,$F$16:$M$25,7,FALSE)</f>
        <v>25</v>
      </c>
      <c r="M55">
        <f ca="1">VLOOKUP(F55,$F$16:$M$25,8,FALSE)</f>
        <v>1</v>
      </c>
    </row>
  </sheetData>
  <sheetProtection algorithmName="SHA-512" hashValue="wl2V3atn7AjOFglIk5eOwX/Lp1t64K9nW8fXsEXaBM8f/rawrWJSk2T8Fz7ved7HWHBUClw5efNJ9mRIM9fKEQ==" saltValue="dvyURct6R7kfKPHYDLNu7w==" spinCount="100000" sheet="1" selectLockedCells="1" selectUnlockedCells="1"/>
  <customSheetViews>
    <customSheetView guid="{387210E2-BDFB-42E5-A6C7-A37C9701EAB6}" state="hidden" topLeftCell="A24">
      <pane xSplit="5" topLeftCell="F1" activePane="topRight" state="frozen"/>
      <selection pane="topRight" activeCell="L28" sqref="L28"/>
      <pageMargins left="0" right="0" top="0" bottom="0" header="0" footer="0"/>
      <headerFooter alignWithMargins="0"/>
    </customSheetView>
    <customSheetView guid="{E2621C8A-2AE3-484D-B751-B92E60BB88F8}" state="hidden" topLeftCell="A24">
      <pane xSplit="5" topLeftCell="F1" activePane="topRight" state="frozen"/>
      <selection pane="topRight" activeCell="L28" sqref="L28"/>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hernando vargas</dc:creator>
  <cp:keywords/>
  <dc:description/>
  <cp:lastModifiedBy/>
  <cp:revision/>
  <dcterms:created xsi:type="dcterms:W3CDTF">2001-10-15T19:26:14Z</dcterms:created>
  <dcterms:modified xsi:type="dcterms:W3CDTF">2022-11-13T15:17:42Z</dcterms:modified>
  <cp:category/>
  <cp:contentStatus/>
</cp:coreProperties>
</file>