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66925"/>
  <mc:AlternateContent xmlns:mc="http://schemas.openxmlformats.org/markup-compatibility/2006">
    <mc:Choice Requires="x15">
      <x15ac:absPath xmlns:x15ac="http://schemas.microsoft.com/office/spreadsheetml/2010/11/ac" url="D:\Dropbox\Didattica\Penetration Testing &amp; Ethical Hacking\A.A. 2023 - 2024\Lezioni\Argomento 2 - Tipi e Metodologie di Testing\Security Audit Framework\"/>
    </mc:Choice>
  </mc:AlternateContent>
  <xr:revisionPtr revIDLastSave="0" documentId="13_ncr:1_{48A5E481-497C-4E75-97A1-2B76A6FCF2CE}" xr6:coauthVersionLast="47" xr6:coauthVersionMax="47" xr10:uidLastSave="{00000000-0000-0000-0000-000000000000}"/>
  <bookViews>
    <workbookView xWindow="-120" yWindow="-120" windowWidth="29040" windowHeight="15840" tabRatio="999" firstSheet="9" activeTab="18" xr2:uid="{00000000-000D-0000-FFFF-FFFF00000000}"/>
  </bookViews>
  <sheets>
    <sheet name="Instruction" sheetId="19" r:id="rId1"/>
    <sheet name="3.1 Access Control" sheetId="1" r:id="rId2"/>
    <sheet name="3.2 Awareness and Training" sheetId="3" r:id="rId3"/>
    <sheet name="3.3 Audit and Accountability" sheetId="4" r:id="rId4"/>
    <sheet name="3.4 Configuration Management" sheetId="5" r:id="rId5"/>
    <sheet name="3.5 Identification and Auth." sheetId="6" r:id="rId6"/>
    <sheet name="3.6 Incident Response" sheetId="7" r:id="rId7"/>
    <sheet name="3.7 Maintenance" sheetId="8" r:id="rId8"/>
    <sheet name="3.8 Media Protection" sheetId="9" r:id="rId9"/>
    <sheet name="3.9 Personnel Security" sheetId="10" r:id="rId10"/>
    <sheet name="3.10 Physical Protection" sheetId="11" r:id="rId11"/>
    <sheet name="3.11 Risk Assessment" sheetId="12" r:id="rId12"/>
    <sheet name="3.12 Security Assessment" sheetId="13" r:id="rId13"/>
    <sheet name="3.13 System and Communications" sheetId="14" r:id="rId14"/>
    <sheet name="3.14 System and Information" sheetId="15" r:id="rId15"/>
    <sheet name="Completion of the Questionnaire" sheetId="18" r:id="rId16"/>
    <sheet name="Summary" sheetId="17" r:id="rId17"/>
    <sheet name="Master POAM List" sheetId="23" r:id="rId18"/>
    <sheet name="Reference" sheetId="22" r:id="rId19"/>
    <sheet name="Sheet2" sheetId="2" state="hidden" r:id="rId20"/>
  </sheets>
  <definedNames>
    <definedName name="Options">Sheet2!$A$2:$A$4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2" l="1"/>
  <c r="A4" i="7"/>
  <c r="A3" i="7"/>
  <c r="A2" i="6"/>
  <c r="A4" i="3"/>
  <c r="D12" i="14" l="1"/>
  <c r="D5" i="13"/>
  <c r="D11" i="6"/>
  <c r="D4" i="6"/>
  <c r="D20" i="1"/>
  <c r="D11" i="1" l="1"/>
  <c r="D11" i="14"/>
  <c r="D8" i="15"/>
  <c r="D6" i="15"/>
  <c r="D3" i="15"/>
  <c r="D4" i="15"/>
  <c r="D5" i="15"/>
  <c r="D7" i="15"/>
  <c r="D2" i="15"/>
  <c r="D16" i="14"/>
  <c r="D9" i="14"/>
  <c r="D7" i="14"/>
  <c r="D6" i="14"/>
  <c r="D5" i="14"/>
  <c r="D8" i="14"/>
  <c r="D10" i="14"/>
  <c r="D13" i="14"/>
  <c r="D14" i="14"/>
  <c r="D15" i="14"/>
  <c r="D17" i="14"/>
  <c r="D4" i="14"/>
  <c r="D3" i="14"/>
  <c r="D2" i="14"/>
  <c r="D3" i="13"/>
  <c r="D4" i="13"/>
  <c r="D2" i="13"/>
  <c r="D4" i="12"/>
  <c r="D3" i="12"/>
  <c r="D2" i="12"/>
  <c r="D5" i="11"/>
  <c r="D6" i="11"/>
  <c r="D7" i="11"/>
  <c r="D4" i="11"/>
  <c r="D3" i="11"/>
  <c r="D2" i="11"/>
  <c r="D3" i="10"/>
  <c r="D2" i="10"/>
  <c r="F2" i="10" s="1"/>
  <c r="D10" i="9"/>
  <c r="D9" i="9"/>
  <c r="D8" i="9"/>
  <c r="D7" i="9"/>
  <c r="D6" i="9"/>
  <c r="D5" i="9"/>
  <c r="D4" i="9"/>
  <c r="D3" i="9"/>
  <c r="D2" i="9"/>
  <c r="D7" i="8"/>
  <c r="D6" i="8"/>
  <c r="D4" i="8"/>
  <c r="D3" i="8"/>
  <c r="D5" i="8"/>
  <c r="D2" i="8"/>
  <c r="D4" i="7"/>
  <c r="D3" i="7"/>
  <c r="D2" i="7"/>
  <c r="D12" i="6"/>
  <c r="D6" i="6"/>
  <c r="D7" i="6"/>
  <c r="D8" i="6"/>
  <c r="D9" i="6"/>
  <c r="D10" i="6"/>
  <c r="D5" i="6"/>
  <c r="D3" i="6"/>
  <c r="D2" i="6"/>
  <c r="D10" i="5"/>
  <c r="D5" i="5"/>
  <c r="D4" i="5"/>
  <c r="D3" i="5"/>
  <c r="D6" i="5"/>
  <c r="D7" i="5"/>
  <c r="D8" i="5"/>
  <c r="D9" i="5"/>
  <c r="D2" i="5"/>
  <c r="D9" i="4"/>
  <c r="D10" i="4"/>
  <c r="D8" i="4"/>
  <c r="D7" i="4"/>
  <c r="D5" i="4"/>
  <c r="D4" i="4"/>
  <c r="D3" i="4"/>
  <c r="D6" i="4"/>
  <c r="D2" i="4"/>
  <c r="D4" i="3"/>
  <c r="D3" i="3"/>
  <c r="D2" i="3"/>
  <c r="D18" i="1"/>
  <c r="D19" i="1"/>
  <c r="D17" i="1"/>
  <c r="D14" i="1"/>
  <c r="D13" i="1"/>
  <c r="D6" i="1"/>
  <c r="D5" i="1"/>
  <c r="D7" i="1"/>
  <c r="D8" i="1"/>
  <c r="D9" i="1"/>
  <c r="D10" i="1"/>
  <c r="D12" i="1"/>
  <c r="D15" i="1"/>
  <c r="D16" i="1"/>
  <c r="D21" i="1"/>
  <c r="D22" i="1"/>
  <c r="D23" i="1"/>
  <c r="D4" i="1"/>
  <c r="D3" i="1"/>
  <c r="D2" i="1"/>
  <c r="F2" i="14" l="1"/>
  <c r="F2" i="13"/>
  <c r="F2" i="12"/>
  <c r="F2" i="11"/>
  <c r="F2" i="9"/>
  <c r="F2" i="8"/>
  <c r="F2" i="7"/>
  <c r="F2" i="6"/>
  <c r="F2" i="3"/>
  <c r="F2" i="1"/>
  <c r="F2" i="15"/>
  <c r="F2" i="5"/>
  <c r="F2" i="4"/>
  <c r="A23" i="1"/>
  <c r="C2" i="18"/>
  <c r="A22" i="1" l="1"/>
  <c r="A21" i="1"/>
  <c r="A20" i="1"/>
  <c r="A19" i="1"/>
  <c r="A18" i="1"/>
  <c r="A17" i="1"/>
  <c r="A16" i="1"/>
  <c r="A15" i="1"/>
  <c r="A14" i="1"/>
  <c r="A13" i="1"/>
  <c r="A12" i="1"/>
  <c r="A11" i="1"/>
  <c r="A10" i="1"/>
  <c r="A9" i="1"/>
  <c r="A8" i="1"/>
  <c r="A7" i="1"/>
  <c r="A6" i="1"/>
  <c r="A5" i="1"/>
  <c r="A4" i="1"/>
  <c r="A3" i="1"/>
  <c r="A8" i="15" l="1"/>
  <c r="A7" i="15"/>
  <c r="A6" i="15"/>
  <c r="A5" i="15"/>
  <c r="A4" i="15"/>
  <c r="A3" i="15"/>
  <c r="A2" i="15"/>
  <c r="A17" i="14"/>
  <c r="A16" i="14"/>
  <c r="A15" i="14"/>
  <c r="A14" i="14"/>
  <c r="A13" i="14"/>
  <c r="A12" i="14"/>
  <c r="A11" i="14"/>
  <c r="A10" i="14"/>
  <c r="A9" i="14"/>
  <c r="A8" i="14"/>
  <c r="A7" i="14"/>
  <c r="A6" i="14"/>
  <c r="A5" i="14"/>
  <c r="A4" i="14"/>
  <c r="A3" i="14"/>
  <c r="A2" i="14"/>
  <c r="A5" i="13"/>
  <c r="A4" i="13"/>
  <c r="A3" i="13"/>
  <c r="A2" i="13"/>
  <c r="A4" i="12"/>
  <c r="A2" i="12"/>
  <c r="A7" i="11"/>
  <c r="A6" i="11"/>
  <c r="A5" i="11"/>
  <c r="A4" i="11"/>
  <c r="A3" i="11"/>
  <c r="A2" i="11"/>
  <c r="A3" i="10"/>
  <c r="A2" i="10"/>
  <c r="A10" i="9"/>
  <c r="A9" i="9"/>
  <c r="A8" i="9"/>
  <c r="A2" i="9"/>
  <c r="A7" i="9"/>
  <c r="A6" i="9"/>
  <c r="A5" i="9"/>
  <c r="A4" i="9"/>
  <c r="A3" i="9"/>
  <c r="A2" i="8"/>
  <c r="A3" i="8"/>
  <c r="A4" i="8"/>
  <c r="A5" i="8"/>
  <c r="A6" i="8"/>
  <c r="A7" i="8"/>
  <c r="A2" i="7"/>
  <c r="A11" i="6"/>
  <c r="A12" i="6"/>
  <c r="A10" i="6"/>
  <c r="A9" i="6"/>
  <c r="A8" i="6"/>
  <c r="A7" i="6"/>
  <c r="A6" i="6"/>
  <c r="A4" i="6"/>
  <c r="A5" i="6"/>
  <c r="A3" i="6"/>
  <c r="A10" i="5"/>
  <c r="A9" i="5"/>
  <c r="A8" i="5"/>
  <c r="A7" i="5"/>
  <c r="A6" i="5"/>
  <c r="A5" i="5"/>
  <c r="A4" i="5"/>
  <c r="A3" i="5"/>
  <c r="A2" i="5"/>
  <c r="A10" i="4"/>
  <c r="A9" i="4"/>
  <c r="A8" i="4"/>
  <c r="A7" i="4"/>
  <c r="A6" i="4"/>
  <c r="A5" i="4"/>
  <c r="A4" i="4"/>
  <c r="A3" i="4"/>
  <c r="A2" i="4"/>
  <c r="A3" i="3"/>
  <c r="A2" i="3"/>
  <c r="A2" i="1"/>
  <c r="C15" i="18" l="1"/>
  <c r="C14" i="18"/>
  <c r="C13" i="18"/>
  <c r="C11" i="18"/>
  <c r="C10" i="18"/>
  <c r="C9" i="18"/>
  <c r="C8" i="18"/>
  <c r="C7" i="18"/>
  <c r="C6" i="18"/>
  <c r="C5" i="18"/>
  <c r="C4" i="18"/>
  <c r="C3" i="18"/>
  <c r="C12" i="18"/>
  <c r="C6" i="17" l="1"/>
  <c r="C5" i="17"/>
  <c r="C3" i="17"/>
  <c r="C4" i="17"/>
  <c r="C13" i="17" l="1"/>
  <c r="C2" i="17"/>
  <c r="C7" i="17"/>
  <c r="C14" i="17"/>
  <c r="C12" i="17"/>
  <c r="C11" i="17"/>
  <c r="C10" i="17"/>
  <c r="C8" i="17"/>
  <c r="C9" i="17"/>
  <c r="C15" i="17"/>
  <c r="C16" i="17" l="1"/>
</calcChain>
</file>

<file path=xl/sharedStrings.xml><?xml version="1.0" encoding="utf-8"?>
<sst xmlns="http://schemas.openxmlformats.org/spreadsheetml/2006/main" count="478" uniqueCount="403">
  <si>
    <t>3.1.1</t>
  </si>
  <si>
    <t>Limit system access to authorized users, processes acting on behalf of authorized users, and devices (including other systems).</t>
  </si>
  <si>
    <t>3.1.2</t>
  </si>
  <si>
    <t>Access Control</t>
  </si>
  <si>
    <t>Limit system access to the types of transactions and functions that authorized users are permitted to execute.</t>
  </si>
  <si>
    <t>Control the flow of CUI in accordance with approved authorizations.</t>
  </si>
  <si>
    <t>Separate the duties of individuals to reduce the risk of malevolent activity without collusion.</t>
  </si>
  <si>
    <t>Employ the principle of least privilege, including for specific security functions and privileged accounts.</t>
  </si>
  <si>
    <t>Use non-privileged accounts or roles when accessing nonsecurity functions.</t>
  </si>
  <si>
    <t>Prevent non-privileged users from executing privileged functions and capture the execution of such functions in audit logs.</t>
  </si>
  <si>
    <t>Limit unsuccessful logon attempts.</t>
  </si>
  <si>
    <t>Provide privacy and security notices consistent with applicable CUI rules.</t>
  </si>
  <si>
    <t>Use session lock with pattern-hiding displays to prevent access and viewing of data after a period of inactivity.</t>
  </si>
  <si>
    <t>Terminate (automatically) a user session after a defined condition.</t>
  </si>
  <si>
    <t>Monitor and control remote access sessions.</t>
  </si>
  <si>
    <t>Employ cryptographic mechanisms to protect the confidentiality of remote access sessions.</t>
  </si>
  <si>
    <t>Route remote access via managed access control points.</t>
  </si>
  <si>
    <t>3.1.3</t>
  </si>
  <si>
    <t>3.1.4</t>
  </si>
  <si>
    <t>3.1.5</t>
  </si>
  <si>
    <t>3.1.6</t>
  </si>
  <si>
    <t>3.1.7</t>
  </si>
  <si>
    <t>3.1.8</t>
  </si>
  <si>
    <t>3.1.9</t>
  </si>
  <si>
    <t>3.1.10</t>
  </si>
  <si>
    <t>3.1.11</t>
  </si>
  <si>
    <t>3.1.12</t>
  </si>
  <si>
    <t>3.1.13</t>
  </si>
  <si>
    <t>3.1.14</t>
  </si>
  <si>
    <t>Authorize remote execution of privileged commands and remote access to security-relevant information.</t>
  </si>
  <si>
    <t>Authorize wireless access prior to allowing such connections.</t>
  </si>
  <si>
    <t>Protect wireless access using authentication and encryption.</t>
  </si>
  <si>
    <t>Control connection of mobile devices.</t>
  </si>
  <si>
    <t>Verify and control/limit connections to and use of external systems.</t>
  </si>
  <si>
    <t>Limit use of portable storage devices on external systems.</t>
  </si>
  <si>
    <t>Control CUI posted or processed on publicly accessible systems.</t>
  </si>
  <si>
    <t>3.1.15</t>
  </si>
  <si>
    <t>3.1.16</t>
  </si>
  <si>
    <t>3.1.17</t>
  </si>
  <si>
    <t>3.1.18</t>
  </si>
  <si>
    <t>3.1.19</t>
  </si>
  <si>
    <t>3.1.20</t>
  </si>
  <si>
    <t>3.1.21</t>
  </si>
  <si>
    <t>3.1.22</t>
  </si>
  <si>
    <t>Awareness and Training</t>
  </si>
  <si>
    <t>3.2.1</t>
  </si>
  <si>
    <t>Ensure that managers, systems administrators, and users of organizational systems are made aware of the security risks associated with their activities and of the applicable policies, standards, and procedures related to the security of those systems.</t>
  </si>
  <si>
    <t>Ensure that personnel are trained to carry out their assigned information security-related duties and responsibilities.</t>
  </si>
  <si>
    <t>Provide security awareness training on recognizing and reporting potential indicators of insider threat.</t>
  </si>
  <si>
    <t>Audit and Accountability</t>
  </si>
  <si>
    <t>Create and retain system audit logs and records to the extent needed to enable the monitoring, analysis, investigation, and reporting of unlawful or unauthorized system activity.</t>
  </si>
  <si>
    <t>Ensure that the actions of individual system users can be uniquely traced to those users, so they can be held accountable for their actions.</t>
  </si>
  <si>
    <t>Review and update logged events.</t>
  </si>
  <si>
    <t>Alert in the event of an audit logging process failure.</t>
  </si>
  <si>
    <t>Correlate audit record review, analysis, and reporting processes for investigation and response to indications of unlawful, unauthorized, suspicious, or unusual activity.</t>
  </si>
  <si>
    <t>Provide audit record reduction and report generation to support on-demand analysis and reporting.</t>
  </si>
  <si>
    <t>Provide a system capability that compares and synchronizes internal system clocks with an authoritative source to generate time stamps for audit records.</t>
  </si>
  <si>
    <t>Protect audit information and audit logging tools from unauthorized access, modification, and deletion.</t>
  </si>
  <si>
    <t>Limit management of audit logging functionality to a subset of privileged users.</t>
  </si>
  <si>
    <t>Configuration Management</t>
  </si>
  <si>
    <t>Establish and maintain baseline configurations and inventories of organizational systems (including hardware, software, firmware, and documentation) throughout the respective system development life cycles.</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</si>
  <si>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</si>
  <si>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</si>
  <si>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</si>
  <si>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Define, document, approve, and enforce physical and logical access restrictions associated with changes to organizational systems.</t>
  </si>
  <si>
    <t>Employ the principle of least functionality by configuring organizational systems to provide only essential capabilities.</t>
  </si>
  <si>
    <t>Restrict, disable, or prevent the use of nonessential programs, functions, ports, protocols, and services.</t>
  </si>
  <si>
    <t>Apply deny-by-exception (blacklisting) policy to prevent the use of unauthorized software or deny-all, permit-by-exception (whitelisting) policy to allow the execution of authorized software.</t>
  </si>
  <si>
    <t>Control and monitor user-installed software.</t>
  </si>
  <si>
    <t>Identification and Authentication</t>
  </si>
  <si>
    <t>Identify system users, processes acting on behalf of users, and devices.</t>
  </si>
  <si>
    <t>Authenticate (or verify) the identities of users, processes, or devices, as a prerequisite to allowing access to organizational systems.</t>
  </si>
  <si>
    <t>Use multifactor authentication for local and network access to privileged accounts and for network access to non-privileged accounts</t>
  </si>
  <si>
    <t>Employ replay-resistant authentication mechanisms for network access to privileged and non-privileged accounts.</t>
  </si>
  <si>
    <t>Prevent reuse of identifiers for a defined period.</t>
  </si>
  <si>
    <t>Disable identifiers after a defined period of inactivity.</t>
  </si>
  <si>
    <t>Enforce a minimum password complexity and change of characters when new passwords are created.</t>
  </si>
  <si>
    <t>Prohibit password reuse for a specified number of generations.</t>
  </si>
  <si>
    <t>Allow temporary password use for system logons with an immediate change to a permanent password.</t>
  </si>
  <si>
    <t>Store and transmit only cryptographically-protected passwords.</t>
  </si>
  <si>
    <t>Obscure feedback of authentication information.</t>
  </si>
  <si>
    <t>Incident Response</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</si>
  <si>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</si>
  <si>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</si>
  <si>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Test the organizational incident response capability.</t>
  </si>
  <si>
    <t>Perform maintenance on organizational systems.</t>
  </si>
  <si>
    <t>Maintenance</t>
  </si>
  <si>
    <t>Provide controls on the tools, techniques, mechanisms, and personnel used to conduct system maintenance.</t>
  </si>
  <si>
    <t>Ensure equipment removed for off-site maintenance is sanitized of any CUI.</t>
  </si>
  <si>
    <t>Check media containing diagnostic and test programs for malicious code before the media are used in organizational systems.</t>
  </si>
  <si>
    <t>Require multifactor authentication to establish nonlocal maintenance sessions via external network connections and terminate such connections when nonlocal maintenance is complete.</t>
  </si>
  <si>
    <t>Supervise the maintenance activities of maintenance personnel without required access authorization.</t>
  </si>
  <si>
    <t>Media Protection</t>
  </si>
  <si>
    <t>Protect (i.e., physically control and securely store) system media containing CUI, both paper and digital.</t>
  </si>
  <si>
    <t>Limit access to CUI on system media to authorized users.</t>
  </si>
  <si>
    <t>Sanitize or destroy system media containing CUI before disposal or release for reuse.</t>
  </si>
  <si>
    <t>Mark media with necessary CUI markings and distribution limitations.</t>
  </si>
  <si>
    <t>Control access to media containing CUI and maintain accountability for media during transport outside of controlled areas.</t>
  </si>
  <si>
    <t>Implement cryptographic mechanisms to protect the confidentiality of CUI stored on digital media during transport unless otherwise protected by alternative physical safeguards.</t>
  </si>
  <si>
    <t>Control the use of removable media on system components.</t>
  </si>
  <si>
    <t>Prohibit the use of portable storage devices when such devices have no identifiable owner.</t>
  </si>
  <si>
    <t>Protect the confidentiality of backup CUI at storage locations.</t>
  </si>
  <si>
    <t>Personnel Security</t>
  </si>
  <si>
    <t>Screen individuals prior to authorizing access to organizational systems containing CUI.</t>
  </si>
  <si>
    <t>Ensure that organizational systems containing CUI are protected during and after personnel actions such as terminations and transfers.</t>
  </si>
  <si>
    <t>3.10</t>
  </si>
  <si>
    <t>Limit physical access to organizational systems, equipment, and the respective operating environments to authorized individuals.</t>
  </si>
  <si>
    <t>Physical Protection</t>
  </si>
  <si>
    <t>Protect and monitor the physical facility and support infrastructure for organizational systems.</t>
  </si>
  <si>
    <t>Escort visitors and monitor visitor activity.</t>
  </si>
  <si>
    <t>Maintain audit logs of physical access.</t>
  </si>
  <si>
    <t>Control and manage physical access devices.</t>
  </si>
  <si>
    <t>Enforce safeguarding measures for CUI at alternate work sites.</t>
  </si>
  <si>
    <t>Risk Assessment</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</si>
  <si>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</si>
  <si>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</si>
  <si>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Remediate vulnerabilities in accordance with risk assessments.</t>
  </si>
  <si>
    <t>Security Assessment</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</si>
  <si>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</si>
  <si>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</si>
  <si>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Monitor security controls on an ongoing basis to ensure the continued effectiveness of the controls.</t>
  </si>
  <si>
    <t>Develop, document, and periodically update system security plans that describe system boundaries, system environments of operation, how security requirements are implemented, and the relationships with or connections to other systems.</t>
  </si>
  <si>
    <t>System and Communications Protection</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</si>
  <si>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</si>
  <si>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</si>
  <si>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Separate user functionality from system management functionality.</t>
  </si>
  <si>
    <t>Prevent unauthorized and unintended information transfer via shared system resources.</t>
  </si>
  <si>
    <t>Implement subnetworks for publicly accessible system components that are physically or logically separated from internal networks.</t>
  </si>
  <si>
    <t>Deny network communications traffic by default and allow network communications traffic by exception (i.e., deny all, permit by exception).</t>
  </si>
  <si>
    <t>Prevent remote devices from simultaneously establishing non-remote connections with organizational systems and communicating via some other connection to resources in external networks (i.e., split tunneling).</t>
  </si>
  <si>
    <t>Implement cryptographic mechanisms to prevent unauthorized disclosure of CUI during transmission unless otherwise protected by alternative physical safeguards.</t>
  </si>
  <si>
    <t>Terminate network connections associated with communications sessions at the end of the sessions or after a defined period of inactivity.</t>
  </si>
  <si>
    <t>Establish and manage cryptographic keys for cryptography employed in organizational systems.</t>
  </si>
  <si>
    <t>Employ FIPS-validated cryptography when used to protect the confidentiality of CUI.</t>
  </si>
  <si>
    <t>Prohibit remote activation of collaborative computing devices and provide indication of devices in use to users present at the device</t>
  </si>
  <si>
    <t>Control and monitor the use of mobile code.</t>
  </si>
  <si>
    <t>Protect the authenticity of communications sessions.</t>
  </si>
  <si>
    <t>Protect the confidentiality of CUI at rest.</t>
  </si>
  <si>
    <t>System and Information Integrity</t>
  </si>
  <si>
    <t>Identify, report, and correct system flaws in a timely manner.</t>
  </si>
  <si>
    <t>Provide protection from malicious code at designated locations within organizational systems.</t>
  </si>
  <si>
    <t>Monitor system security alerts and advisories and take action in response.</t>
  </si>
  <si>
    <t>Update malicious code protection mechanisms when new releases are available.</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</si>
  <si>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</si>
  <si>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</si>
  <si>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Identify unauthorized use of organizational systems.</t>
  </si>
  <si>
    <t>3.2.2</t>
  </si>
  <si>
    <t>3.2.3</t>
  </si>
  <si>
    <t>3.3.1</t>
  </si>
  <si>
    <t>3.3.2</t>
  </si>
  <si>
    <t>3.3.3</t>
  </si>
  <si>
    <t>3.3.4</t>
  </si>
  <si>
    <t>3.3.5</t>
  </si>
  <si>
    <t>3.3.6</t>
  </si>
  <si>
    <t>3.3.7</t>
  </si>
  <si>
    <t>3.3.8</t>
  </si>
  <si>
    <t>3.3.9</t>
  </si>
  <si>
    <t>3.4.1</t>
  </si>
  <si>
    <t>3.4.2</t>
  </si>
  <si>
    <t>3.4.3</t>
  </si>
  <si>
    <t>3.4.4</t>
  </si>
  <si>
    <t>3.4.5</t>
  </si>
  <si>
    <t>3.4.6</t>
  </si>
  <si>
    <t>3.4.7</t>
  </si>
  <si>
    <t>3.4.8</t>
  </si>
  <si>
    <t>3.4.9</t>
  </si>
  <si>
    <t>3.5.1</t>
  </si>
  <si>
    <t>3.5.2</t>
  </si>
  <si>
    <t>3.5.3</t>
  </si>
  <si>
    <t>3.5.4</t>
  </si>
  <si>
    <t>3.5.5</t>
  </si>
  <si>
    <t>3.5.6</t>
  </si>
  <si>
    <t>3.5.7</t>
  </si>
  <si>
    <t>3.5.8</t>
  </si>
  <si>
    <t>3.5.9</t>
  </si>
  <si>
    <t>3.5.10</t>
  </si>
  <si>
    <t>3.5.11</t>
  </si>
  <si>
    <t>3.6.1</t>
  </si>
  <si>
    <t>3.6.2</t>
  </si>
  <si>
    <t>3.6.3</t>
  </si>
  <si>
    <t>3.7.1</t>
  </si>
  <si>
    <t>3.7.2</t>
  </si>
  <si>
    <t>3.7.3</t>
  </si>
  <si>
    <t>3.7.4</t>
  </si>
  <si>
    <t>3.7.5</t>
  </si>
  <si>
    <t>3.7.6</t>
  </si>
  <si>
    <t>3.8.1</t>
  </si>
  <si>
    <t>3.8.2</t>
  </si>
  <si>
    <t>3.8.3</t>
  </si>
  <si>
    <t>3.8.4</t>
  </si>
  <si>
    <t>3.8.5</t>
  </si>
  <si>
    <t>3.8.6</t>
  </si>
  <si>
    <t>3.8.7</t>
  </si>
  <si>
    <t>3.8.8</t>
  </si>
  <si>
    <t>3.8.9</t>
  </si>
  <si>
    <t>3.9.1</t>
  </si>
  <si>
    <t>3.10.1</t>
  </si>
  <si>
    <t>3.10.2</t>
  </si>
  <si>
    <t>3.10.3</t>
  </si>
  <si>
    <t>3.10.4</t>
  </si>
  <si>
    <t>3.10.5</t>
  </si>
  <si>
    <t>3.10.6</t>
  </si>
  <si>
    <t>3.11.1</t>
  </si>
  <si>
    <t>3.11.2</t>
  </si>
  <si>
    <t>3.11.3</t>
  </si>
  <si>
    <t>3.12.1</t>
  </si>
  <si>
    <t>3.12.2</t>
  </si>
  <si>
    <t>3.12.3</t>
  </si>
  <si>
    <t>3.12.4</t>
  </si>
  <si>
    <t>3.13.1</t>
  </si>
  <si>
    <t>3.13.2</t>
  </si>
  <si>
    <t>3.13.3</t>
  </si>
  <si>
    <t>3.13.4</t>
  </si>
  <si>
    <t>3.13.5</t>
  </si>
  <si>
    <t>3.13.6</t>
  </si>
  <si>
    <t>3.13.7</t>
  </si>
  <si>
    <t>3.13.8</t>
  </si>
  <si>
    <t>3.13.9</t>
  </si>
  <si>
    <t>3.13.10</t>
  </si>
  <si>
    <t>3.13.11</t>
  </si>
  <si>
    <t>3.13.12</t>
  </si>
  <si>
    <t>3.13.13</t>
  </si>
  <si>
    <t>3.13.14</t>
  </si>
  <si>
    <t>3.13.15</t>
  </si>
  <si>
    <t>3.13.16</t>
  </si>
  <si>
    <t>3.14.1</t>
  </si>
  <si>
    <t>3.14.2</t>
  </si>
  <si>
    <t>3.14.3</t>
  </si>
  <si>
    <t>3.14.4</t>
  </si>
  <si>
    <t>3.14.5</t>
  </si>
  <si>
    <t>3.14.6</t>
  </si>
  <si>
    <t>3.14.7</t>
  </si>
  <si>
    <t>Answer</t>
  </si>
  <si>
    <t>Not Applicable</t>
  </si>
  <si>
    <t>Options</t>
  </si>
  <si>
    <t>3.9.2</t>
  </si>
  <si>
    <t>Score</t>
  </si>
  <si>
    <t xml:space="preserve">                      </t>
  </si>
  <si>
    <t>Implemented</t>
  </si>
  <si>
    <t>Planned to be implemented</t>
  </si>
  <si>
    <t>Completion</t>
  </si>
  <si>
    <t xml:space="preserve">Security Family </t>
  </si>
  <si>
    <t xml:space="preserve">Subject </t>
  </si>
  <si>
    <t xml:space="preserve">Awareness and Training </t>
  </si>
  <si>
    <t xml:space="preserve">Audit and Accountability </t>
  </si>
  <si>
    <t xml:space="preserve">Configuration Management </t>
  </si>
  <si>
    <t xml:space="preserve">Identification and Authentication </t>
  </si>
  <si>
    <t xml:space="preserve">Incident Response </t>
  </si>
  <si>
    <t xml:space="preserve">Personnel Security </t>
  </si>
  <si>
    <t xml:space="preserve">Physical Protection </t>
  </si>
  <si>
    <t xml:space="preserve">Security Assessment </t>
  </si>
  <si>
    <t>Systems and Communications Protection</t>
  </si>
  <si>
    <t xml:space="preserve">Systems and Information Integrity  </t>
  </si>
  <si>
    <t>Control and monitor the use of Voice over Internet Protocol (VoIP) technologies.</t>
  </si>
  <si>
    <t>Section Code</t>
  </si>
  <si>
    <t>Discussion</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</si>
  <si>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</si>
  <si>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</si>
  <si>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</si>
  <si>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</si>
  <si>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</si>
  <si>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</si>
  <si>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</si>
  <si>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</si>
  <si>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</si>
  <si>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</si>
  <si>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</si>
  <si>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t>
  </si>
  <si>
    <t>Routing remote access through managed access control points enhances explicit, organizational control over such connections, reducing the susceptibility to unauthorized access to organizational systems resulting in the unauthorized disclosure of CUI.</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</si>
  <si>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</si>
  <si>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</si>
  <si>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</si>
  <si>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</si>
  <si>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t>
  </si>
  <si>
    <t>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</si>
  <si>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cloud-based architectures.</t>
  </si>
  <si>
    <t>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Voice over Internet Protocol (VoIP).</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</si>
  <si>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</si>
  <si>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</si>
  <si>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</si>
  <si>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</si>
  <si>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</si>
  <si>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t>
  </si>
  <si>
    <t>Baseline configurations are documented, formally reviewed, and agreed-upon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t>
  </si>
  <si>
    <t>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</si>
  <si>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</si>
  <si>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</si>
  <si>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</si>
  <si>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</si>
  <si>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File Transfer Protocol (FTP), and peer-to-peer networking are examples of protocols organizations consider preventing the use of, restricting, or disabling.</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</si>
  <si>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t>
  </si>
  <si>
    <t>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t>
  </si>
  <si>
    <t>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</si>
  <si>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t>
  </si>
  <si>
    <t>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</si>
  <si>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</si>
  <si>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</si>
  <si>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</si>
  <si>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</si>
  <si>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Password lifetime restrictions do not apply to temporary passwords.</t>
  </si>
  <si>
    <t>Changing temporary passwords to permanent passwords immediately after system logon ensures that the necessary strength of the authentication mechanism is implemented at the earliest opportunity, reducing the susceptibility to authenticator compromises.</t>
  </si>
  <si>
    <t>Cryptographically-protected passwords use salted one-way cryptographic hashes of passwords.</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</si>
  <si>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</si>
  <si>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t>
  </si>
  <si>
    <t>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t>
  </si>
  <si>
    <t>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</si>
  <si>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t>
  </si>
  <si>
    <t>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</si>
  <si>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t>
  </si>
  <si>
    <t>If, upon inspection of media containing maintenance diagnostic and test programs, organizations determine that the media contain malicious code, the incident is handled consistent with incident handling policies and procedures.</t>
  </si>
  <si>
    <t>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</si>
  <si>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Temporary credentials may be for one-time use or for very limited time periods.</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</si>
  <si>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</si>
  <si>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</si>
  <si>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t>
  </si>
  <si>
    <t>The term security marking refers to the application or use of human-readable security attributes. System media includes digital and non-digital media. Marking of system media reflects applicable federal laws, Executive Orders, directives, policies, and regulations</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</si>
  <si>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</si>
  <si>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This requirement applies to portable storage devices (e.g., USB memory sticks, digital video disks, compact disks, external or removable hard disk drives).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</si>
  <si>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</si>
  <si>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</si>
  <si>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</si>
  <si>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</si>
  <si>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</si>
  <si>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</si>
  <si>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t>
  </si>
  <si>
    <t>Individuals with permanent physical access authorization credentials are not considered visitors. Audit logs can be used to monitor visitor activity.</t>
  </si>
  <si>
    <t>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t>
  </si>
  <si>
    <t>Physical access devices include keys, locks, combinations, and card readers.</t>
  </si>
  <si>
    <t>Alternate work sites may include government facilities or the private residences of employees. Organizations may define different security requirements for specific alternate work sites or types of sites depending on the work-related activities conducted at those sites.</t>
  </si>
  <si>
    <t>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t>
  </si>
  <si>
    <t>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t>
  </si>
  <si>
    <t>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</si>
  <si>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</si>
  <si>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t>
  </si>
  <si>
    <t>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</si>
  <si>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</si>
  <si>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t>
  </si>
  <si>
    <t>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</si>
  <si>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</si>
  <si>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</si>
  <si>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</si>
  <si>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</si>
  <si>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</si>
  <si>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</si>
  <si>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Cryptographic standards include FIPS-validated cryptography and/or NSA-approved cryptography.</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</si>
  <si>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t>
  </si>
  <si>
    <t>Mobile code technologies include Java, JavaScript, ActiveX, Postscript, PDF,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t>
  </si>
  <si>
    <t>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</si>
  <si>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t>
  </si>
  <si>
    <t>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</si>
  <si>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t>
  </si>
  <si>
    <t>Designated locations include system entry and exit points which may include firewalls, remote-access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</si>
  <si>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There are many publicly available sources of system security alerts and advisories. For example, the Department of Homeland Security’s Cybersecurity and Infrastructure Security Agency (CISA) generates security alerts and advisories to maintain situational awareness across the federal government and in nonfederal organizations. Software vendors, subscription services, and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t>
  </si>
  <si>
    <t>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</si>
  <si>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</si>
  <si>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t>
  </si>
  <si>
    <t>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t>
  </si>
  <si>
    <t xml:space="preserve">Cryptographic standards include FIPS-validated cryptography and NSA-approved cryptography. </t>
  </si>
  <si>
    <t>Organizations authenticate individuals and devices to help protect wireless access to the system. Special attention is given to the wide variety of devices that are part of the Internet of Things with potential wireless access to organizational systems.</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</si>
  <si>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</si>
  <si>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t>
  </si>
  <si>
    <t>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t>
  </si>
  <si>
    <t>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</si>
  <si>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t>
  </si>
  <si>
    <t xml:space="preserve">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</si>
  <si>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t>
  </si>
  <si>
    <t>Section Score</t>
  </si>
  <si>
    <t>POAM ID</t>
  </si>
  <si>
    <t>Creation Date</t>
  </si>
  <si>
    <t>Weakness Name</t>
  </si>
  <si>
    <t>Weakness Description</t>
  </si>
  <si>
    <t>Point of Contact</t>
  </si>
  <si>
    <t>Scheduled Completion Date</t>
  </si>
  <si>
    <t>Milestones</t>
  </si>
  <si>
    <t>Changes to Milestones</t>
  </si>
  <si>
    <t>Source of Weakness</t>
  </si>
  <si>
    <t>Actual Completion Date</t>
  </si>
  <si>
    <t>Comments</t>
  </si>
  <si>
    <r>
      <t xml:space="preserve">Question </t>
    </r>
    <r>
      <rPr>
        <b/>
        <sz val="12"/>
        <color rgb="FFFF0000"/>
        <rFont val="Calibri"/>
        <family val="2"/>
        <scheme val="minor"/>
      </rPr>
      <t>Not</t>
    </r>
    <r>
      <rPr>
        <b/>
        <sz val="12"/>
        <color theme="1"/>
        <rFont val="Calibri"/>
        <family val="2"/>
        <scheme val="minor"/>
      </rPr>
      <t xml:space="preserve"> Answered</t>
    </r>
  </si>
  <si>
    <t>1. The tasks needed to correct the deficiency</t>
  </si>
  <si>
    <t>2. The resources required to make the plan work</t>
  </si>
  <si>
    <t>3. Milestones in completing the tasks</t>
  </si>
  <si>
    <t>4. Scheduled completion dates for the milestones</t>
  </si>
  <si>
    <t>No. of questions to answer</t>
  </si>
  <si>
    <t>Plan of Action and Milestones (POAM) (refer 'Master POAMs List' for detailed information)</t>
  </si>
  <si>
    <t>*SPRS Score</t>
  </si>
  <si>
    <t>Encrypt CUI on mobile devices and mobile computing platforms.</t>
  </si>
  <si>
    <t>This is the final score to post into SPRS</t>
  </si>
  <si>
    <t>How to use the Gap Analysis:</t>
  </si>
  <si>
    <t>1. Go through each spreadsheet and address the standards.</t>
  </si>
  <si>
    <t>3. To answer standards, click column C cells and then the drop down arrow.  Choose the answer and the sheet will automatically calculate the score.</t>
  </si>
  <si>
    <t>4. After finishing the spreadsheets, check 'Completion of the Questionnaire' tab to see if you answered all the standards.</t>
  </si>
  <si>
    <t>A POAM is a plan that describes specific measures to be taken to correct deficiencies found during a self-assessment.</t>
  </si>
  <si>
    <t>The POAM Sheet is a template that you may change based on your needs.</t>
  </si>
  <si>
    <t>Please Refer to 'NIST SP 800-171 DoD Assessment Methodology, Version 1.2.1' Page 12 for Scoring Information.</t>
  </si>
  <si>
    <t>The Score of each individual Control Family which is then added to the 110 base score.</t>
  </si>
  <si>
    <t>Severity Level                                        (Low, Moderate, High)</t>
  </si>
  <si>
    <t>2.If you do not understand the standard, please click the standard ID number to navigate to the reference page. Click the ID number again, to return to the assessment.</t>
  </si>
  <si>
    <t>What should a POAM identify?</t>
  </si>
  <si>
    <t>What is a POAM?</t>
  </si>
  <si>
    <t>5. If you answered all the standards, go to the 'Summary' page to check the score for each control family as well as the SPRS score.</t>
  </si>
  <si>
    <t>La metodologia utilizzata per calcolare il punteggio è la seguente e si basa sui controlli di sicurezza verificati da ciascuna domanda:
1. Se il controllo di sicurezza è "Implemented" il punteggio assegnato (sottratto dal "punteggio base") è 0
2. Se il controllo di sicurezza è "Planned to be Implemented", il valore sottratto dal "punteggio base" dipenderà dalla tabella della metodologia che inizia a pagina 12 del "NIST SP 800-171 DoD Assessment Methodology, Version 1.2.1" - in allegato. Ad esempio, la domanda 3.1.1 ha un valore di 5. Quindi, il punteggio sarà -5 se tale controllo è "Planned to be Implemented".
3. Se lo standard è "Not Applicable", il valore sottratto del punteggio si baserà sulla tabella della metodologia, salvo diversa indicazione. Ad esempio, per quanto riguarda la domanda 3.1.12, se non si consente l'accesso remoto, il punteggio è 0. Se invece l'accesso remoto è consentito, il punteggio sarà -5.
4. In generale, fare riferimento a 'NIST SP 800-171 DoD Assessment Methodology, Version 1.2.1' Pagina 12 per informazioni sul punteggio.</t>
  </si>
  <si>
    <t>Tale questionario assegnerà un punteggio alle risposte di autovalutazione, in base alla metodologia di valutazione "DoD NIST SP 800-171, versione 1.2.1", e visualizzerà il "Supplier Performance Risk System (SPRS) score" nel foglio denominato "Summary". Il punteggio più alto che si potrà ricevere (sicurezza massima) è pari a 110. Tale punteggio è anche detto "punteggio base". Per ciascun controllo di sicurezza non implementato o non applicabile verranno sottratti dei punti da questo punteggio base. È possibile avere un "SPRS score" negativo, con valore più basso pari a -178 (sicurezza minima).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</si>
</sst>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sz val="8"/>
      <name val="Calibri"/>
      <family val="2"/>
      <scheme val="minor"/>
    </font>
    <font>
      <b/>
      <sz val="14"/>
      <color theme="1"/>
      <name val="Calibri"/>
      <family val="2"/>
      <scheme val="minor"/>
    </font>
    <font>
      <b/>
      <sz val="14"/>
      <color indexed="8"/>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b/>
      <sz val="11"/>
      <color theme="1"/>
      <name val="Calibri"/>
      <family val="2"/>
      <scheme val="minor"/>
    </font>
    <font>
      <b/>
      <sz val="11"/>
      <color rgb="FFFF0000"/>
      <name val="Calibri"/>
      <family val="2"/>
      <scheme val="minor"/>
    </font>
    <font>
      <sz val="12"/>
      <color rgb="FFFF0000"/>
      <name val="Calibri"/>
      <family val="2"/>
      <scheme val="minor"/>
    </font>
    <font>
      <b/>
      <sz val="12"/>
      <color rgb="FFFF0000"/>
      <name val="Calibri"/>
      <family val="2"/>
      <scheme val="minor"/>
    </font>
    <font>
      <b/>
      <sz val="12"/>
      <name val="Calibri"/>
      <family val="2"/>
      <scheme val="minor"/>
    </font>
    <font>
      <sz val="12"/>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50">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5" fillId="0" borderId="0" xfId="0" applyFont="1"/>
    <xf numFmtId="0" fontId="5" fillId="0" borderId="0" xfId="0" applyFont="1" applyAlignment="1">
      <alignment horizontal="center"/>
    </xf>
    <xf numFmtId="0" fontId="5" fillId="0" borderId="0" xfId="0" applyFont="1" applyAlignment="1">
      <alignment horizontal="center" vertical="center"/>
    </xf>
    <xf numFmtId="2" fontId="5" fillId="0" borderId="0" xfId="0" applyNumberFormat="1" applyFont="1" applyAlignment="1">
      <alignment horizontal="center" vertical="center"/>
    </xf>
    <xf numFmtId="0" fontId="5" fillId="0" borderId="0" xfId="1" applyNumberFormat="1" applyFont="1" applyFill="1" applyBorder="1" applyAlignment="1">
      <alignment horizontal="center"/>
    </xf>
    <xf numFmtId="0" fontId="6" fillId="0" borderId="0" xfId="0" applyFont="1" applyAlignment="1">
      <alignment horizontal="center"/>
    </xf>
    <xf numFmtId="0" fontId="6" fillId="0" borderId="0" xfId="1" applyNumberFormat="1" applyFont="1" applyFill="1" applyBorder="1" applyAlignment="1">
      <alignment horizontal="center"/>
    </xf>
    <xf numFmtId="0" fontId="7" fillId="0" borderId="0" xfId="2" applyFill="1" applyAlignment="1">
      <alignment horizontal="center" vertical="center"/>
    </xf>
    <xf numFmtId="0" fontId="0" fillId="0" borderId="0" xfId="0" applyAlignment="1">
      <alignment horizontal="left" wrapText="1"/>
    </xf>
    <xf numFmtId="0" fontId="5" fillId="0" borderId="1" xfId="0" applyFont="1" applyBorder="1" applyAlignment="1">
      <alignment horizontal="center" vertical="center"/>
    </xf>
    <xf numFmtId="0" fontId="5" fillId="0" borderId="1" xfId="0" applyFont="1" applyBorder="1" applyAlignment="1">
      <alignment horizontal="center"/>
    </xf>
    <xf numFmtId="0" fontId="5" fillId="0" borderId="1" xfId="1" applyNumberFormat="1" applyFont="1" applyFill="1" applyBorder="1" applyAlignment="1">
      <alignment horizontal="center"/>
    </xf>
    <xf numFmtId="0" fontId="6" fillId="0" borderId="0" xfId="0" applyFont="1" applyAlignment="1">
      <alignment vertical="center" wrapText="1"/>
    </xf>
    <xf numFmtId="0" fontId="3" fillId="0" borderId="0" xfId="0" applyFont="1" applyAlignment="1">
      <alignment horizontal="center" vertical="center"/>
    </xf>
    <xf numFmtId="0" fontId="3" fillId="0" borderId="0" xfId="0" applyFont="1" applyAlignment="1">
      <alignment horizontal="center" wrapText="1"/>
    </xf>
    <xf numFmtId="0" fontId="4" fillId="0" borderId="0" xfId="0" applyFont="1" applyAlignment="1">
      <alignment horizontal="center"/>
    </xf>
    <xf numFmtId="0" fontId="3" fillId="0" borderId="0" xfId="0" applyFont="1" applyAlignment="1">
      <alignment horizontal="center"/>
    </xf>
    <xf numFmtId="2" fontId="0" fillId="0" borderId="0" xfId="1" applyNumberFormat="1" applyFont="1" applyFill="1" applyAlignment="1">
      <alignment horizontal="center"/>
    </xf>
    <xf numFmtId="0" fontId="0" fillId="0" borderId="0" xfId="0" applyAlignment="1">
      <alignment vertical="center"/>
    </xf>
    <xf numFmtId="0" fontId="3" fillId="0" borderId="0" xfId="0" quotePrefix="1" applyFont="1" applyAlignment="1">
      <alignment horizontal="center" vertical="center"/>
    </xf>
    <xf numFmtId="0" fontId="3" fillId="0" borderId="0" xfId="0" applyFont="1" applyAlignment="1">
      <alignment vertical="center"/>
    </xf>
    <xf numFmtId="0" fontId="3" fillId="0" borderId="0" xfId="0" applyFont="1"/>
    <xf numFmtId="0" fontId="3" fillId="0" borderId="0" xfId="0" applyFont="1" applyAlignment="1">
      <alignment horizontal="center" vertical="center" wrapText="1"/>
    </xf>
    <xf numFmtId="0" fontId="3" fillId="0" borderId="2" xfId="0" applyFont="1" applyBorder="1" applyAlignment="1">
      <alignment horizontal="center" vertical="center"/>
    </xf>
    <xf numFmtId="0" fontId="3" fillId="0" borderId="2" xfId="0" applyFont="1" applyBorder="1" applyAlignment="1">
      <alignment horizontal="center" wrapText="1"/>
    </xf>
    <xf numFmtId="0" fontId="7" fillId="0" borderId="2" xfId="2" applyBorder="1" applyAlignment="1">
      <alignment horizontal="center" vertical="center"/>
    </xf>
    <xf numFmtId="0" fontId="0" fillId="0" borderId="2" xfId="0" applyBorder="1" applyAlignment="1">
      <alignment wrapText="1"/>
    </xf>
    <xf numFmtId="0" fontId="6" fillId="0" borderId="0" xfId="0" applyFont="1" applyAlignment="1">
      <alignment horizontal="center" vertical="center" wrapText="1"/>
    </xf>
    <xf numFmtId="0" fontId="0" fillId="0" borderId="0" xfId="0" applyAlignment="1">
      <alignment horizontal="left"/>
    </xf>
    <xf numFmtId="0" fontId="12" fillId="0" borderId="2" xfId="0" applyFont="1" applyBorder="1" applyAlignment="1">
      <alignment horizontal="center"/>
    </xf>
    <xf numFmtId="0" fontId="13" fillId="0" borderId="2" xfId="0" applyFont="1" applyBorder="1" applyAlignment="1">
      <alignment horizontal="center" vertical="center"/>
    </xf>
    <xf numFmtId="0" fontId="13" fillId="0" borderId="2" xfId="0" applyFont="1" applyBorder="1" applyAlignment="1">
      <alignment horizontal="center"/>
    </xf>
    <xf numFmtId="2" fontId="13" fillId="0" borderId="2" xfId="0" applyNumberFormat="1" applyFont="1" applyBorder="1" applyAlignment="1">
      <alignment horizontal="center" vertical="center"/>
    </xf>
    <xf numFmtId="0" fontId="10" fillId="0" borderId="0" xfId="0" applyFont="1" applyAlignment="1">
      <alignment wrapText="1"/>
    </xf>
    <xf numFmtId="0" fontId="5" fillId="0" borderId="0" xfId="0" applyFont="1" applyAlignment="1">
      <alignment wrapText="1"/>
    </xf>
    <xf numFmtId="0" fontId="0" fillId="0" borderId="2" xfId="0" applyBorder="1" applyAlignment="1">
      <alignment horizontal="center"/>
    </xf>
    <xf numFmtId="0" fontId="5" fillId="0" borderId="2" xfId="0" applyFont="1" applyBorder="1" applyAlignment="1">
      <alignment horizontal="left" wrapText="1"/>
    </xf>
    <xf numFmtId="0" fontId="0" fillId="0" borderId="0" xfId="0" applyAlignment="1">
      <alignment horizontal="center" wrapText="1"/>
    </xf>
    <xf numFmtId="0" fontId="9" fillId="0" borderId="0" xfId="0" applyFont="1" applyAlignment="1">
      <alignment horizontal="left" wrapText="1"/>
    </xf>
    <xf numFmtId="0" fontId="0" fillId="0" borderId="2" xfId="0" applyBorder="1" applyAlignment="1">
      <alignment horizontal="left" wrapText="1"/>
    </xf>
    <xf numFmtId="0" fontId="0" fillId="0" borderId="0" xfId="0" applyAlignment="1">
      <alignment horizontal="left" wrapText="1"/>
    </xf>
    <xf numFmtId="0" fontId="6" fillId="0" borderId="2" xfId="0" applyFont="1" applyBorder="1" applyAlignment="1">
      <alignment horizontal="left" wrapText="1"/>
    </xf>
    <xf numFmtId="0" fontId="8" fillId="0" borderId="2" xfId="0" applyFont="1" applyBorder="1" applyAlignment="1">
      <alignment horizontal="left" wrapText="1"/>
    </xf>
    <xf numFmtId="0" fontId="5" fillId="0" borderId="0" xfId="0" applyFont="1" applyAlignment="1">
      <alignment horizontal="left" wrapText="1"/>
    </xf>
    <xf numFmtId="0" fontId="10" fillId="0" borderId="0" xfId="0" applyFont="1" applyAlignment="1">
      <alignment horizontal="left" wrapText="1"/>
    </xf>
    <xf numFmtId="0" fontId="5" fillId="0" borderId="0" xfId="0" applyFont="1" applyAlignment="1">
      <alignment horizontal="left" vertical="center" wrapText="1"/>
    </xf>
  </cellXfs>
  <cellStyles count="3">
    <cellStyle name="Collegamento ipertestuale" xfId="2" builtinId="8"/>
    <cellStyle name="Normale" xfId="0" builtinId="0"/>
    <cellStyle name="Percentual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5773</xdr:colOff>
      <xdr:row>1</xdr:row>
      <xdr:rowOff>0</xdr:rowOff>
    </xdr:from>
    <xdr:to>
      <xdr:col>3</xdr:col>
      <xdr:colOff>155864</xdr:colOff>
      <xdr:row>15</xdr:row>
      <xdr:rowOff>0</xdr:rowOff>
    </xdr:to>
    <xdr:sp macro="" textlink="">
      <xdr:nvSpPr>
        <xdr:cNvPr id="2" name="Right Brace 1">
          <a:extLst>
            <a:ext uri="{FF2B5EF4-FFF2-40B4-BE49-F238E27FC236}">
              <a16:creationId xmlns:a16="http://schemas.microsoft.com/office/drawing/2014/main" id="{6FF84805-AD10-4D23-86E4-1C41EDA9C0FC}"/>
            </a:ext>
          </a:extLst>
        </xdr:cNvPr>
        <xdr:cNvSpPr/>
      </xdr:nvSpPr>
      <xdr:spPr>
        <a:xfrm>
          <a:off x="4231409" y="196273"/>
          <a:ext cx="150091" cy="2753591"/>
        </a:xfrm>
        <a:prstGeom prst="rightBrace">
          <a:avLst>
            <a:gd name="adj1" fmla="val 177564"/>
            <a:gd name="adj2" fmla="val 50000"/>
          </a:avLst>
        </a:prstGeom>
        <a:ln w="1905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34637</xdr:colOff>
      <xdr:row>15</xdr:row>
      <xdr:rowOff>28863</xdr:rowOff>
    </xdr:from>
    <xdr:to>
      <xdr:col>3</xdr:col>
      <xdr:colOff>305955</xdr:colOff>
      <xdr:row>15</xdr:row>
      <xdr:rowOff>173181</xdr:rowOff>
    </xdr:to>
    <xdr:sp macro="" textlink="">
      <xdr:nvSpPr>
        <xdr:cNvPr id="5" name="Arrow: Right 4">
          <a:extLst>
            <a:ext uri="{FF2B5EF4-FFF2-40B4-BE49-F238E27FC236}">
              <a16:creationId xmlns:a16="http://schemas.microsoft.com/office/drawing/2014/main" id="{117F8731-2061-4506-A6BA-D4EE569C742B}"/>
            </a:ext>
          </a:extLst>
        </xdr:cNvPr>
        <xdr:cNvSpPr/>
      </xdr:nvSpPr>
      <xdr:spPr>
        <a:xfrm>
          <a:off x="4260273" y="2978727"/>
          <a:ext cx="271318" cy="14431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C31"/>
  <sheetViews>
    <sheetView zoomScaleNormal="100" workbookViewId="0">
      <selection activeCell="C13" sqref="C13"/>
    </sheetView>
  </sheetViews>
  <sheetFormatPr defaultRowHeight="15" x14ac:dyDescent="0.25"/>
  <cols>
    <col min="1" max="1" width="17.140625" style="1" customWidth="1"/>
    <col min="2" max="2" width="49.42578125" customWidth="1"/>
    <col min="3" max="3" width="51.7109375" customWidth="1"/>
  </cols>
  <sheetData>
    <row r="1" spans="1:3" ht="15.6" customHeight="1" x14ac:dyDescent="0.25">
      <c r="A1" s="45" t="s">
        <v>388</v>
      </c>
      <c r="B1" s="45"/>
      <c r="C1" s="45"/>
    </row>
    <row r="2" spans="1:3" ht="15.6" customHeight="1" x14ac:dyDescent="0.25">
      <c r="A2" s="40" t="s">
        <v>389</v>
      </c>
      <c r="B2" s="40"/>
      <c r="C2" s="40"/>
    </row>
    <row r="3" spans="1:3" ht="31.5" customHeight="1" x14ac:dyDescent="0.25">
      <c r="A3" s="40" t="s">
        <v>397</v>
      </c>
      <c r="B3" s="40"/>
      <c r="C3" s="40"/>
    </row>
    <row r="4" spans="1:3" ht="30.95" customHeight="1" x14ac:dyDescent="0.25">
      <c r="A4" s="40" t="s">
        <v>390</v>
      </c>
      <c r="B4" s="40"/>
      <c r="C4" s="40"/>
    </row>
    <row r="5" spans="1:3" ht="15.6" customHeight="1" x14ac:dyDescent="0.25">
      <c r="A5" s="40" t="s">
        <v>391</v>
      </c>
      <c r="B5" s="40"/>
      <c r="C5" s="40"/>
    </row>
    <row r="6" spans="1:3" ht="15.75" x14ac:dyDescent="0.25">
      <c r="A6" s="40" t="s">
        <v>400</v>
      </c>
      <c r="B6" s="40"/>
      <c r="C6" s="40"/>
    </row>
    <row r="7" spans="1:3" x14ac:dyDescent="0.25">
      <c r="A7" s="44"/>
      <c r="B7" s="44"/>
      <c r="C7" s="44"/>
    </row>
    <row r="8" spans="1:3" ht="15.75" x14ac:dyDescent="0.25">
      <c r="A8" s="45" t="s">
        <v>384</v>
      </c>
      <c r="B8" s="45"/>
      <c r="C8" s="45"/>
    </row>
    <row r="9" spans="1:3" x14ac:dyDescent="0.25">
      <c r="A9" s="46" t="s">
        <v>399</v>
      </c>
      <c r="B9" s="46"/>
      <c r="C9" s="46"/>
    </row>
    <row r="10" spans="1:3" ht="14.45" customHeight="1" x14ac:dyDescent="0.25">
      <c r="A10" s="43" t="s">
        <v>392</v>
      </c>
      <c r="B10" s="43"/>
      <c r="C10" s="43"/>
    </row>
    <row r="11" spans="1:3" x14ac:dyDescent="0.25">
      <c r="A11" s="46" t="s">
        <v>398</v>
      </c>
      <c r="B11" s="46"/>
      <c r="C11" s="46"/>
    </row>
    <row r="12" spans="1:3" ht="14.45" customHeight="1" x14ac:dyDescent="0.25">
      <c r="A12" s="43" t="s">
        <v>379</v>
      </c>
      <c r="B12" s="43"/>
      <c r="C12" s="30" t="s">
        <v>381</v>
      </c>
    </row>
    <row r="13" spans="1:3" ht="14.45" customHeight="1" x14ac:dyDescent="0.25">
      <c r="A13" s="43" t="s">
        <v>380</v>
      </c>
      <c r="B13" s="43"/>
      <c r="C13" s="30" t="s">
        <v>382</v>
      </c>
    </row>
    <row r="14" spans="1:3" ht="14.45" customHeight="1" x14ac:dyDescent="0.25">
      <c r="A14" s="41"/>
      <c r="B14" s="41"/>
      <c r="C14" s="41"/>
    </row>
    <row r="15" spans="1:3" x14ac:dyDescent="0.25">
      <c r="A15" s="42" t="s">
        <v>393</v>
      </c>
      <c r="B15" s="42"/>
      <c r="C15" s="42"/>
    </row>
    <row r="16" spans="1:3" x14ac:dyDescent="0.25">
      <c r="A16" s="12"/>
      <c r="B16" s="32"/>
      <c r="C16" s="32"/>
    </row>
    <row r="17" spans="1:3" ht="15.75" x14ac:dyDescent="0.25">
      <c r="A17" s="33" t="s">
        <v>241</v>
      </c>
      <c r="B17" s="33" t="s">
        <v>242</v>
      </c>
      <c r="C17" s="33" t="s">
        <v>383</v>
      </c>
    </row>
    <row r="18" spans="1:3" ht="15.75" x14ac:dyDescent="0.25">
      <c r="A18" s="34">
        <v>3.1</v>
      </c>
      <c r="B18" s="35" t="s">
        <v>3</v>
      </c>
      <c r="C18" s="39">
        <v>22</v>
      </c>
    </row>
    <row r="19" spans="1:3" ht="15.75" x14ac:dyDescent="0.25">
      <c r="A19" s="34">
        <v>3.2</v>
      </c>
      <c r="B19" s="35" t="s">
        <v>243</v>
      </c>
      <c r="C19" s="39">
        <v>3</v>
      </c>
    </row>
    <row r="20" spans="1:3" ht="15.75" x14ac:dyDescent="0.25">
      <c r="A20" s="34">
        <v>3.3</v>
      </c>
      <c r="B20" s="35" t="s">
        <v>244</v>
      </c>
      <c r="C20" s="39">
        <v>9</v>
      </c>
    </row>
    <row r="21" spans="1:3" ht="15.75" x14ac:dyDescent="0.25">
      <c r="A21" s="34">
        <v>3.4</v>
      </c>
      <c r="B21" s="35" t="s">
        <v>245</v>
      </c>
      <c r="C21" s="39">
        <v>9</v>
      </c>
    </row>
    <row r="22" spans="1:3" ht="15.75" x14ac:dyDescent="0.25">
      <c r="A22" s="34">
        <v>3.5</v>
      </c>
      <c r="B22" s="35" t="s">
        <v>246</v>
      </c>
      <c r="C22" s="39">
        <v>11</v>
      </c>
    </row>
    <row r="23" spans="1:3" ht="15.75" x14ac:dyDescent="0.25">
      <c r="A23" s="34">
        <v>3.6</v>
      </c>
      <c r="B23" s="35" t="s">
        <v>247</v>
      </c>
      <c r="C23" s="39">
        <v>3</v>
      </c>
    </row>
    <row r="24" spans="1:3" ht="15.75" x14ac:dyDescent="0.25">
      <c r="A24" s="34">
        <v>3.7</v>
      </c>
      <c r="B24" s="35" t="s">
        <v>86</v>
      </c>
      <c r="C24" s="39">
        <v>6</v>
      </c>
    </row>
    <row r="25" spans="1:3" ht="15.75" x14ac:dyDescent="0.25">
      <c r="A25" s="34">
        <v>3.8</v>
      </c>
      <c r="B25" s="35" t="s">
        <v>92</v>
      </c>
      <c r="C25" s="39">
        <v>9</v>
      </c>
    </row>
    <row r="26" spans="1:3" ht="15.75" x14ac:dyDescent="0.25">
      <c r="A26" s="34">
        <v>3.9</v>
      </c>
      <c r="B26" s="35" t="s">
        <v>248</v>
      </c>
      <c r="C26" s="39">
        <v>2</v>
      </c>
    </row>
    <row r="27" spans="1:3" ht="15.75" x14ac:dyDescent="0.25">
      <c r="A27" s="36">
        <v>3.1</v>
      </c>
      <c r="B27" s="35" t="s">
        <v>249</v>
      </c>
      <c r="C27" s="39">
        <v>6</v>
      </c>
    </row>
    <row r="28" spans="1:3" ht="15.75" x14ac:dyDescent="0.25">
      <c r="A28" s="36">
        <v>3.11</v>
      </c>
      <c r="B28" s="35" t="s">
        <v>113</v>
      </c>
      <c r="C28" s="39">
        <v>3</v>
      </c>
    </row>
    <row r="29" spans="1:3" ht="15.75" x14ac:dyDescent="0.25">
      <c r="A29" s="36">
        <v>3.12</v>
      </c>
      <c r="B29" s="35" t="s">
        <v>250</v>
      </c>
      <c r="C29" s="39">
        <v>4</v>
      </c>
    </row>
    <row r="30" spans="1:3" ht="15.75" x14ac:dyDescent="0.25">
      <c r="A30" s="34">
        <v>3.13</v>
      </c>
      <c r="B30" s="35" t="s">
        <v>251</v>
      </c>
      <c r="C30" s="39">
        <v>16</v>
      </c>
    </row>
    <row r="31" spans="1:3" ht="15.75" x14ac:dyDescent="0.25">
      <c r="A31" s="34">
        <v>3.14</v>
      </c>
      <c r="B31" s="35" t="s">
        <v>252</v>
      </c>
      <c r="C31" s="39">
        <v>7</v>
      </c>
    </row>
  </sheetData>
  <mergeCells count="15">
    <mergeCell ref="A3:C3"/>
    <mergeCell ref="A1:C1"/>
    <mergeCell ref="A2:C2"/>
    <mergeCell ref="A4:C4"/>
    <mergeCell ref="A5:C5"/>
    <mergeCell ref="A6:C6"/>
    <mergeCell ref="A14:C14"/>
    <mergeCell ref="A15:C15"/>
    <mergeCell ref="A12:B12"/>
    <mergeCell ref="A13:B13"/>
    <mergeCell ref="A7:C7"/>
    <mergeCell ref="A8:C8"/>
    <mergeCell ref="A9:C9"/>
    <mergeCell ref="A10:C10"/>
    <mergeCell ref="A11:C11"/>
  </mergeCells>
  <pageMargins left="0.7" right="0.7" top="0.75" bottom="0.75" header="0.3" footer="0.3"/>
  <pageSetup orientation="landscape" r:id="rId1"/>
  <headerFooter>
    <oddHeader>&amp;L&amp;D &amp;T&amp;C&amp;A</oddHeader>
    <oddFooter>&amp;R&amp;P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3"/>
  <sheetViews>
    <sheetView zoomScaleNormal="100" workbookViewId="0">
      <selection activeCell="C2" sqref="C2"/>
    </sheetView>
  </sheetViews>
  <sheetFormatPr defaultColWidth="8.7109375" defaultRowHeight="15" x14ac:dyDescent="0.25"/>
  <cols>
    <col min="1" max="1" width="10.85546875" style="22" customWidth="1"/>
    <col min="2" max="2" width="73.85546875" bestFit="1" customWidth="1"/>
    <col min="3" max="3" width="27.28515625" style="22" customWidth="1"/>
    <col min="4" max="4" width="6.85546875" style="2" hidden="1" customWidth="1"/>
    <col min="5" max="5" width="53.85546875" customWidth="1"/>
    <col min="6" max="6" width="13.5703125" style="2" hidden="1" customWidth="1"/>
  </cols>
  <sheetData>
    <row r="1" spans="1:6" ht="18.75" x14ac:dyDescent="0.3">
      <c r="A1" s="17">
        <v>3.9</v>
      </c>
      <c r="B1" s="18" t="s">
        <v>102</v>
      </c>
      <c r="C1" s="26" t="s">
        <v>232</v>
      </c>
      <c r="D1" s="19" t="s">
        <v>236</v>
      </c>
      <c r="E1" s="20"/>
      <c r="F1" s="19" t="s">
        <v>240</v>
      </c>
    </row>
    <row r="2" spans="1:6" ht="30" x14ac:dyDescent="0.25">
      <c r="A2" s="11" t="str">
        <f>HYPERLINK("#Reference!A74","3.9.1")</f>
        <v>3.9.1</v>
      </c>
      <c r="B2" s="1" t="s">
        <v>103</v>
      </c>
      <c r="D2" s="2">
        <f>IF(C2 = "Implemented", 0, IF(C2 = "Planned to be implemented", -3, -3))</f>
        <v>-3</v>
      </c>
      <c r="F2" s="21">
        <f>SUM(D2:D23)</f>
        <v>-8</v>
      </c>
    </row>
    <row r="3" spans="1:6" ht="30" x14ac:dyDescent="0.25">
      <c r="A3" s="11" t="str">
        <f>HYPERLINK("#Reference!A75","3.9.2")</f>
        <v>3.9.2</v>
      </c>
      <c r="B3" s="1" t="s">
        <v>104</v>
      </c>
      <c r="D3" s="2">
        <f>IF(C3 = "Implemented", 0, IF(C3 = "Planned to be implemented", -5, -5))</f>
        <v>-5</v>
      </c>
    </row>
  </sheetData>
  <protectedRanges>
    <protectedRange sqref="C2:C3" name="Range1"/>
  </protectedRanges>
  <dataValidations count="1">
    <dataValidation type="list" allowBlank="1" showInputMessage="1" showErrorMessage="1" sqref="C2:C3" xr:uid="{00000000-0002-0000-0A00-000000000000}">
      <formula1>Options</formula1>
    </dataValidation>
  </dataValidations>
  <pageMargins left="0.7" right="0.7" top="0.75" bottom="0.75" header="0.3" footer="0.3"/>
  <pageSetup firstPageNumber="10" orientation="landscape" useFirstPageNumber="1" r:id="rId1"/>
  <headerFooter>
    <oddHeader>&amp;L&amp;D &amp;T&amp;C&amp;A</oddHeader>
    <oddFooter>&amp;R&amp;P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F7"/>
  <sheetViews>
    <sheetView zoomScaleNormal="100" workbookViewId="0">
      <selection activeCell="A2" sqref="A2"/>
    </sheetView>
  </sheetViews>
  <sheetFormatPr defaultColWidth="8.7109375" defaultRowHeight="15" x14ac:dyDescent="0.25"/>
  <cols>
    <col min="1" max="1" width="10.85546875" style="22" customWidth="1"/>
    <col min="2" max="2" width="75.28515625" bestFit="1" customWidth="1"/>
    <col min="3" max="3" width="27.28515625" style="22" customWidth="1"/>
    <col min="4" max="4" width="6.85546875" style="2" hidden="1" customWidth="1"/>
    <col min="5" max="5" width="53.85546875" customWidth="1"/>
    <col min="6" max="6" width="13.5703125" style="2" hidden="1" customWidth="1"/>
  </cols>
  <sheetData>
    <row r="1" spans="1:6" ht="18.75" x14ac:dyDescent="0.3">
      <c r="A1" s="23" t="s">
        <v>105</v>
      </c>
      <c r="B1" s="18" t="s">
        <v>107</v>
      </c>
      <c r="C1" s="26" t="s">
        <v>232</v>
      </c>
      <c r="D1" s="19" t="s">
        <v>236</v>
      </c>
      <c r="E1" s="20"/>
      <c r="F1" s="19" t="s">
        <v>240</v>
      </c>
    </row>
    <row r="2" spans="1:6" ht="30" x14ac:dyDescent="0.25">
      <c r="A2" s="11" t="str">
        <f>HYPERLINK("#Reference!A76","3.10.1")</f>
        <v>3.10.1</v>
      </c>
      <c r="B2" s="1" t="s">
        <v>106</v>
      </c>
      <c r="D2" s="2">
        <f>IF(C2 = "Implemented", 0, IF(C2 = "Planned to be implemented", -5, -5))</f>
        <v>-5</v>
      </c>
      <c r="F2" s="21">
        <f>SUM(D2:D23)</f>
        <v>-14</v>
      </c>
    </row>
    <row r="3" spans="1:6" ht="30" x14ac:dyDescent="0.25">
      <c r="A3" s="11" t="str">
        <f>HYPERLINK("#Reference!A77","3.10.2")</f>
        <v>3.10.2</v>
      </c>
      <c r="B3" s="1" t="s">
        <v>108</v>
      </c>
      <c r="D3" s="2">
        <f>IF(C3 = "Implemented", 0, IF(C3 = "Planned to be implemented", -5, -5))</f>
        <v>-5</v>
      </c>
    </row>
    <row r="4" spans="1:6" x14ac:dyDescent="0.25">
      <c r="A4" s="11" t="str">
        <f>HYPERLINK("#Reference!A78","3.10.3")</f>
        <v>3.10.3</v>
      </c>
      <c r="B4" s="1" t="s">
        <v>109</v>
      </c>
      <c r="D4" s="2">
        <f>IF(C4 = "Implemented", 0, IF(C4 = "Planned to be implemented", -1, -1))</f>
        <v>-1</v>
      </c>
    </row>
    <row r="5" spans="1:6" x14ac:dyDescent="0.25">
      <c r="A5" s="11" t="str">
        <f>HYPERLINK("#Reference!A79","3.10.4")</f>
        <v>3.10.4</v>
      </c>
      <c r="B5" s="1" t="s">
        <v>110</v>
      </c>
      <c r="D5" s="2">
        <f t="shared" ref="D5:D7" si="0">IF(C5 = "Implemented", 0, IF(C5 = "Planned to be implemented", -1, -1))</f>
        <v>-1</v>
      </c>
    </row>
    <row r="6" spans="1:6" x14ac:dyDescent="0.25">
      <c r="A6" s="11" t="str">
        <f>HYPERLINK("#Reference!A80","3.10.5")</f>
        <v>3.10.5</v>
      </c>
      <c r="B6" s="1" t="s">
        <v>111</v>
      </c>
      <c r="D6" s="2">
        <f t="shared" si="0"/>
        <v>-1</v>
      </c>
    </row>
    <row r="7" spans="1:6" x14ac:dyDescent="0.25">
      <c r="A7" s="11" t="str">
        <f>HYPERLINK("#Reference!A81","3.10.6")</f>
        <v>3.10.6</v>
      </c>
      <c r="B7" s="1" t="s">
        <v>112</v>
      </c>
      <c r="D7" s="2">
        <f t="shared" si="0"/>
        <v>-1</v>
      </c>
    </row>
  </sheetData>
  <protectedRanges>
    <protectedRange sqref="C2:C7" name="Range1"/>
  </protectedRanges>
  <dataValidations count="1">
    <dataValidation type="list" allowBlank="1" showInputMessage="1" showErrorMessage="1" sqref="C2:C7" xr:uid="{00000000-0002-0000-0B00-000000000000}">
      <formula1>Options</formula1>
    </dataValidation>
  </dataValidations>
  <pageMargins left="0.7" right="0.7" top="0.75" bottom="0.75" header="0.3" footer="0.3"/>
  <pageSetup firstPageNumber="11" orientation="landscape" useFirstPageNumber="1" r:id="rId1"/>
  <headerFooter>
    <oddHeader>&amp;L&amp;D &amp;T&amp;C&amp;A</oddHeader>
    <oddFooter>&amp;R&amp;P</oddFooter>
  </headerFooter>
  <ignoredErrors>
    <ignoredError sqref="A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F4"/>
  <sheetViews>
    <sheetView zoomScaleNormal="100" workbookViewId="0">
      <selection activeCell="C2" sqref="C2"/>
    </sheetView>
  </sheetViews>
  <sheetFormatPr defaultColWidth="8.7109375" defaultRowHeight="15" x14ac:dyDescent="0.25"/>
  <cols>
    <col min="1" max="1" width="10.85546875" style="22" customWidth="1"/>
    <col min="2" max="2" width="76.140625" bestFit="1" customWidth="1"/>
    <col min="3" max="3" width="27.28515625" style="22" customWidth="1"/>
    <col min="4" max="4" width="6.85546875" style="2" hidden="1" customWidth="1"/>
    <col min="5" max="5" width="53.85546875" customWidth="1"/>
    <col min="6" max="6" width="13.5703125" style="2" hidden="1" customWidth="1"/>
  </cols>
  <sheetData>
    <row r="1" spans="1:6" ht="18.75" x14ac:dyDescent="0.3">
      <c r="A1" s="17">
        <v>3.11</v>
      </c>
      <c r="B1" s="18" t="s">
        <v>113</v>
      </c>
      <c r="C1" s="26" t="s">
        <v>232</v>
      </c>
      <c r="D1" s="19" t="s">
        <v>236</v>
      </c>
      <c r="E1" s="20"/>
      <c r="F1" s="19" t="s">
        <v>240</v>
      </c>
    </row>
    <row r="2" spans="1:6" ht="60" x14ac:dyDescent="0.25">
      <c r="A2" s="11" t="str">
        <f>HYPERLINK("#Reference!A82","3.11.1")</f>
        <v>3.11.1</v>
      </c>
      <c r="B2" s="1" t="s">
        <v>114</v>
      </c>
      <c r="D2" s="2">
        <f>IF(C2 = "Implemented", 0, IF(C2 = "Planned to be implemented", -3, -3))</f>
        <v>-3</v>
      </c>
      <c r="F2" s="21">
        <f>SUM(D2:D23)</f>
        <v>-9</v>
      </c>
    </row>
    <row r="3" spans="1:6" ht="30" x14ac:dyDescent="0.25">
      <c r="A3" s="11" t="str">
        <f>HYPERLINK("#Reference!A83","3.11.2")</f>
        <v>3.11.2</v>
      </c>
      <c r="B3" s="1" t="s">
        <v>115</v>
      </c>
      <c r="D3" s="2">
        <f>IF(C3 = "Implemented", 0, IF(C3 = "Planned to be implemented", -5, -5))</f>
        <v>-5</v>
      </c>
    </row>
    <row r="4" spans="1:6" x14ac:dyDescent="0.25">
      <c r="A4" s="11" t="str">
        <f>HYPERLINK("#Reference!A84","3.11.3")</f>
        <v>3.11.3</v>
      </c>
      <c r="B4" s="1" t="s">
        <v>116</v>
      </c>
      <c r="D4" s="2">
        <f>IF(C4 = "Implemented", 0, IF(C4 = "Planned to be implemented", -1, -1))</f>
        <v>-1</v>
      </c>
    </row>
  </sheetData>
  <protectedRanges>
    <protectedRange sqref="C2:C4" name="Range1"/>
  </protectedRanges>
  <dataValidations count="1">
    <dataValidation type="list" allowBlank="1" showInputMessage="1" showErrorMessage="1" sqref="C2:C4" xr:uid="{00000000-0002-0000-0C00-000000000000}">
      <formula1>Options</formula1>
    </dataValidation>
  </dataValidations>
  <pageMargins left="0.7" right="0.7" top="0.75" bottom="0.75" header="0.3" footer="0.3"/>
  <pageSetup firstPageNumber="12" orientation="landscape" useFirstPageNumber="1" r:id="rId1"/>
  <headerFooter>
    <oddHeader>&amp;L&amp;D &amp;T&amp;C&amp;A</oddHeader>
    <oddFooter>&amp;R&amp;P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F5"/>
  <sheetViews>
    <sheetView zoomScaleNormal="100" workbookViewId="0">
      <selection activeCell="C2" sqref="C2"/>
    </sheetView>
  </sheetViews>
  <sheetFormatPr defaultColWidth="8.7109375" defaultRowHeight="15" x14ac:dyDescent="0.25"/>
  <cols>
    <col min="1" max="1" width="10.85546875" style="22" customWidth="1"/>
    <col min="2" max="2" width="74.5703125" bestFit="1" customWidth="1"/>
    <col min="3" max="3" width="27.28515625" style="22" customWidth="1"/>
    <col min="4" max="4" width="6.85546875" style="2" hidden="1" customWidth="1"/>
    <col min="5" max="5" width="53.85546875" customWidth="1"/>
    <col min="6" max="6" width="13.5703125" style="2" hidden="1" customWidth="1"/>
  </cols>
  <sheetData>
    <row r="1" spans="1:6" ht="18.75" x14ac:dyDescent="0.3">
      <c r="A1" s="17">
        <v>3.12</v>
      </c>
      <c r="B1" s="18" t="s">
        <v>117</v>
      </c>
      <c r="C1" s="26" t="s">
        <v>232</v>
      </c>
      <c r="D1" s="19" t="s">
        <v>236</v>
      </c>
      <c r="E1" s="20"/>
      <c r="F1" s="19" t="s">
        <v>240</v>
      </c>
    </row>
    <row r="2" spans="1:6" ht="30" x14ac:dyDescent="0.25">
      <c r="A2" s="11" t="str">
        <f>HYPERLINK("#Reference!A85","3.12.1")</f>
        <v>3.12.1</v>
      </c>
      <c r="B2" s="1" t="s">
        <v>118</v>
      </c>
      <c r="D2" s="2">
        <f>IF(C2 = "Implemented", 0, IF(C2 = "Planned to be implemented", -5, -5))</f>
        <v>-5</v>
      </c>
      <c r="F2" s="21">
        <f>SUM(D2:D23)</f>
        <v>-13</v>
      </c>
    </row>
    <row r="3" spans="1:6" ht="30" x14ac:dyDescent="0.25">
      <c r="A3" s="11" t="str">
        <f>HYPERLINK("#Reference!A86","3.12.2")</f>
        <v>3.12.2</v>
      </c>
      <c r="B3" s="1" t="s">
        <v>119</v>
      </c>
      <c r="D3" s="2">
        <f>IF(C3 = "Implemented", 0, IF(C3 = "Planned to be implemented", -3, -3))</f>
        <v>-3</v>
      </c>
    </row>
    <row r="4" spans="1:6" ht="30" x14ac:dyDescent="0.25">
      <c r="A4" s="11" t="str">
        <f>HYPERLINK("#Reference!A87","3.12.3")</f>
        <v>3.12.3</v>
      </c>
      <c r="B4" s="1" t="s">
        <v>120</v>
      </c>
      <c r="D4" s="2">
        <f t="shared" ref="D4" si="0">IF(C4 = "Implemented", 0, IF(C4 = "Planned to be implemented", -5, -5))</f>
        <v>-5</v>
      </c>
    </row>
    <row r="5" spans="1:6" ht="60" x14ac:dyDescent="0.25">
      <c r="A5" s="11" t="str">
        <f>HYPERLINK("#Reference!A88","3.12.4")</f>
        <v>3.12.4</v>
      </c>
      <c r="B5" s="1" t="s">
        <v>121</v>
      </c>
      <c r="D5" s="2">
        <f>IF(C5 = "Implemented", 0, IF(C5 = "Planned to be implemented", 0, 0))</f>
        <v>0</v>
      </c>
    </row>
  </sheetData>
  <protectedRanges>
    <protectedRange sqref="C2:C5" name="Range1"/>
  </protectedRanges>
  <dataValidations count="1">
    <dataValidation type="list" allowBlank="1" showInputMessage="1" showErrorMessage="1" sqref="C2:C5" xr:uid="{00000000-0002-0000-0D00-000000000000}">
      <formula1>Options</formula1>
    </dataValidation>
  </dataValidations>
  <pageMargins left="0.7" right="0.7" top="0.75" bottom="0.75" header="0.3" footer="0.3"/>
  <pageSetup firstPageNumber="13" orientation="landscape" useFirstPageNumber="1" r:id="rId1"/>
  <headerFooter>
    <oddHeader>&amp;L&amp;D &amp;T&amp;C&amp;A</oddHeader>
    <oddFooter>&amp;R&amp;P</oddFooter>
  </headerFooter>
  <ignoredErrors>
    <ignoredError sqref="D3"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F17"/>
  <sheetViews>
    <sheetView zoomScaleNormal="100" workbookViewId="0">
      <selection activeCell="C2" sqref="C2"/>
    </sheetView>
  </sheetViews>
  <sheetFormatPr defaultColWidth="8.7109375" defaultRowHeight="15" x14ac:dyDescent="0.25"/>
  <cols>
    <col min="1" max="1" width="10.85546875" style="22" customWidth="1"/>
    <col min="2" max="2" width="75.85546875" bestFit="1" customWidth="1"/>
    <col min="3" max="3" width="27.28515625" style="22" customWidth="1"/>
    <col min="4" max="4" width="6.85546875" style="2" hidden="1" customWidth="1"/>
    <col min="5" max="5" width="53.85546875" customWidth="1"/>
    <col min="6" max="6" width="13.5703125" style="2" hidden="1" customWidth="1"/>
  </cols>
  <sheetData>
    <row r="1" spans="1:6" ht="18.75" x14ac:dyDescent="0.3">
      <c r="A1" s="17">
        <v>3.13</v>
      </c>
      <c r="B1" s="18" t="s">
        <v>122</v>
      </c>
      <c r="C1" s="26" t="s">
        <v>232</v>
      </c>
      <c r="D1" s="19" t="s">
        <v>236</v>
      </c>
      <c r="E1" s="20"/>
      <c r="F1" s="19" t="s">
        <v>240</v>
      </c>
    </row>
    <row r="2" spans="1:6" ht="45" x14ac:dyDescent="0.25">
      <c r="A2" s="11" t="str">
        <f>HYPERLINK("#Reference!A89","3.13.1")</f>
        <v>3.13.1</v>
      </c>
      <c r="B2" s="1" t="s">
        <v>123</v>
      </c>
      <c r="D2" s="2">
        <f>IF(C2 = "Implemented", 0, IF(C2 = "Planned to be implemented", -5, -5))</f>
        <v>-5</v>
      </c>
      <c r="F2" s="21">
        <f>SUM(D2:D23)</f>
        <v>-42</v>
      </c>
    </row>
    <row r="3" spans="1:6" ht="45" x14ac:dyDescent="0.25">
      <c r="A3" s="11" t="str">
        <f>HYPERLINK("#Reference!A90","3.13.2")</f>
        <v>3.13.2</v>
      </c>
      <c r="B3" s="1" t="s">
        <v>124</v>
      </c>
      <c r="D3" s="2">
        <f t="shared" ref="D3" si="0">IF(C3 = "Implemented", 0, IF(C3 = "Planned to be implemented", -5, -5))</f>
        <v>-5</v>
      </c>
    </row>
    <row r="4" spans="1:6" x14ac:dyDescent="0.25">
      <c r="A4" s="11" t="str">
        <f>HYPERLINK("#Reference!A91","3.13.3")</f>
        <v>3.13.3</v>
      </c>
      <c r="B4" s="1" t="s">
        <v>125</v>
      </c>
      <c r="D4" s="2">
        <f>IF(C4 = "Implemented", 0, IF(C4 = "Planned to be implemented", -1, -1))</f>
        <v>-1</v>
      </c>
    </row>
    <row r="5" spans="1:6" ht="30" x14ac:dyDescent="0.25">
      <c r="A5" s="11" t="str">
        <f>HYPERLINK("#Reference!A92","3.13.4")</f>
        <v>3.13.4</v>
      </c>
      <c r="B5" s="1" t="s">
        <v>126</v>
      </c>
      <c r="D5" s="2">
        <f t="shared" ref="D5:D17" si="1">IF(C5 = "Implemented", 0, IF(C5 = "Planned to be implemented", -1, -1))</f>
        <v>-1</v>
      </c>
    </row>
    <row r="6" spans="1:6" ht="30" x14ac:dyDescent="0.25">
      <c r="A6" s="11" t="str">
        <f>HYPERLINK("#Reference!A93","3.13.5")</f>
        <v>3.13.5</v>
      </c>
      <c r="B6" s="1" t="s">
        <v>127</v>
      </c>
      <c r="D6" s="2">
        <f>IF(C6 = "Implemented", 0, IF(C6 = "Planned to be implemented", -5, -5))</f>
        <v>-5</v>
      </c>
    </row>
    <row r="7" spans="1:6" ht="30" x14ac:dyDescent="0.25">
      <c r="A7" s="11" t="str">
        <f>HYPERLINK("#Reference!A94","3.13.6")</f>
        <v>3.13.6</v>
      </c>
      <c r="B7" s="1" t="s">
        <v>128</v>
      </c>
      <c r="D7" s="2">
        <f>IF(C7 = "Implemented", 0, IF(C7 = "Planned to be implemented", -5, -5))</f>
        <v>-5</v>
      </c>
    </row>
    <row r="8" spans="1:6" ht="45" x14ac:dyDescent="0.25">
      <c r="A8" s="11" t="str">
        <f>HYPERLINK("#Reference!A95","3.13.7")</f>
        <v>3.13.7</v>
      </c>
      <c r="B8" s="1" t="s">
        <v>129</v>
      </c>
      <c r="D8" s="2">
        <f t="shared" si="1"/>
        <v>-1</v>
      </c>
    </row>
    <row r="9" spans="1:6" ht="45" x14ac:dyDescent="0.25">
      <c r="A9" s="11" t="str">
        <f>HYPERLINK("#Reference!A96","3.13.8")</f>
        <v>3.13.8</v>
      </c>
      <c r="B9" s="1" t="s">
        <v>130</v>
      </c>
      <c r="D9" s="2">
        <f>IF(C9 = "Implemented", 0, IF(C9 = "Planned to be implemented", -3, -3))</f>
        <v>-3</v>
      </c>
    </row>
    <row r="10" spans="1:6" ht="30" x14ac:dyDescent="0.25">
      <c r="A10" s="11" t="str">
        <f>HYPERLINK("#Reference!A97","3.13.9")</f>
        <v>3.13.9</v>
      </c>
      <c r="B10" s="1" t="s">
        <v>131</v>
      </c>
      <c r="D10" s="2">
        <f t="shared" si="1"/>
        <v>-1</v>
      </c>
    </row>
    <row r="11" spans="1:6" ht="30" x14ac:dyDescent="0.25">
      <c r="A11" s="11" t="str">
        <f>HYPERLINK("#Reference!A98","3.13.10")</f>
        <v>3.13.10</v>
      </c>
      <c r="B11" s="1" t="s">
        <v>132</v>
      </c>
      <c r="D11" s="2">
        <f t="shared" si="1"/>
        <v>-1</v>
      </c>
    </row>
    <row r="12" spans="1:6" ht="30" x14ac:dyDescent="0.25">
      <c r="A12" s="11" t="str">
        <f>HYPERLINK("#Reference!A99","3.13.11")</f>
        <v>3.13.11</v>
      </c>
      <c r="B12" s="1" t="s">
        <v>133</v>
      </c>
      <c r="D12" s="2">
        <f>IF(C12 = "Implemented", 0, IF(C12 = "Planned to be implemented", -5, -5))</f>
        <v>-5</v>
      </c>
    </row>
    <row r="13" spans="1:6" ht="30" x14ac:dyDescent="0.25">
      <c r="A13" s="11" t="str">
        <f>HYPERLINK("#Reference!A100","3.13.12")</f>
        <v>3.13.12</v>
      </c>
      <c r="B13" s="1" t="s">
        <v>134</v>
      </c>
      <c r="D13" s="2">
        <f t="shared" si="1"/>
        <v>-1</v>
      </c>
    </row>
    <row r="14" spans="1:6" x14ac:dyDescent="0.25">
      <c r="A14" s="11" t="str">
        <f>HYPERLINK("#Reference!A101","3.13.13")</f>
        <v>3.13.13</v>
      </c>
      <c r="B14" s="1" t="s">
        <v>135</v>
      </c>
      <c r="D14" s="2">
        <f t="shared" si="1"/>
        <v>-1</v>
      </c>
    </row>
    <row r="15" spans="1:6" x14ac:dyDescent="0.25">
      <c r="A15" s="11" t="str">
        <f>HYPERLINK("#Reference!A102","3.13.14")</f>
        <v>3.13.14</v>
      </c>
      <c r="B15" s="1" t="s">
        <v>253</v>
      </c>
      <c r="D15" s="2">
        <f t="shared" si="1"/>
        <v>-1</v>
      </c>
    </row>
    <row r="16" spans="1:6" x14ac:dyDescent="0.25">
      <c r="A16" s="11" t="str">
        <f>HYPERLINK("#Reference!A103","3.13.15")</f>
        <v>3.13.15</v>
      </c>
      <c r="B16" s="1" t="s">
        <v>136</v>
      </c>
      <c r="D16" s="2">
        <f>IF(C16 = "Implemented", 0, IF(C16 = "Planned to be implemented", -5, -5))</f>
        <v>-5</v>
      </c>
    </row>
    <row r="17" spans="1:4" x14ac:dyDescent="0.25">
      <c r="A17" s="11" t="str">
        <f>HYPERLINK("#Reference!A104","3.13.16")</f>
        <v>3.13.16</v>
      </c>
      <c r="B17" s="1" t="s">
        <v>137</v>
      </c>
      <c r="D17" s="2">
        <f t="shared" si="1"/>
        <v>-1</v>
      </c>
    </row>
  </sheetData>
  <protectedRanges>
    <protectedRange sqref="C2:C17" name="Range1"/>
  </protectedRanges>
  <dataValidations count="1">
    <dataValidation type="list" allowBlank="1" showInputMessage="1" showErrorMessage="1" sqref="C2:C17" xr:uid="{00000000-0002-0000-0E00-000000000000}">
      <formula1>Options</formula1>
    </dataValidation>
  </dataValidations>
  <pageMargins left="0.7" right="0.7" top="0.75" bottom="0.75" header="0.3" footer="0.3"/>
  <pageSetup firstPageNumber="14" orientation="landscape" useFirstPageNumber="1" r:id="rId1"/>
  <headerFooter>
    <oddHeader>&amp;L&amp;D &amp;T&amp;C&amp;A</oddHeader>
    <oddFooter>&amp;R&amp;P</oddFooter>
  </headerFooter>
  <ignoredErrors>
    <ignoredError sqref="D16 D12"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F8"/>
  <sheetViews>
    <sheetView zoomScaleNormal="100" workbookViewId="0">
      <selection activeCell="A8" sqref="A8"/>
    </sheetView>
  </sheetViews>
  <sheetFormatPr defaultColWidth="8.7109375" defaultRowHeight="15" x14ac:dyDescent="0.25"/>
  <cols>
    <col min="1" max="1" width="10.85546875" style="22" customWidth="1"/>
    <col min="2" max="2" width="72.28515625" bestFit="1" customWidth="1"/>
    <col min="3" max="3" width="27.28515625" style="22" customWidth="1"/>
    <col min="4" max="4" width="6.85546875" style="2" hidden="1" customWidth="1"/>
    <col min="5" max="5" width="53.85546875" customWidth="1"/>
    <col min="6" max="6" width="13.5703125" style="2" hidden="1" customWidth="1"/>
  </cols>
  <sheetData>
    <row r="1" spans="1:6" ht="18.75" x14ac:dyDescent="0.3">
      <c r="A1" s="17">
        <v>3.14</v>
      </c>
      <c r="B1" s="18" t="s">
        <v>138</v>
      </c>
      <c r="C1" s="26" t="s">
        <v>232</v>
      </c>
      <c r="D1" s="19" t="s">
        <v>236</v>
      </c>
      <c r="E1" s="20"/>
      <c r="F1" s="20" t="s">
        <v>240</v>
      </c>
    </row>
    <row r="2" spans="1:6" x14ac:dyDescent="0.25">
      <c r="A2" s="11" t="str">
        <f>HYPERLINK("#Reference!A105","3.14.1")</f>
        <v>3.14.1</v>
      </c>
      <c r="B2" s="1" t="s">
        <v>139</v>
      </c>
      <c r="D2" s="2">
        <f>IF(C2 = "Implemented", 0, IF(C2 = "Planned to be implemented", -5, -5))</f>
        <v>-5</v>
      </c>
      <c r="F2" s="21">
        <f>SUM(D2:D23)</f>
        <v>-31</v>
      </c>
    </row>
    <row r="3" spans="1:6" ht="30" x14ac:dyDescent="0.25">
      <c r="A3" s="11" t="str">
        <f>HYPERLINK("#Reference!A106","3.14.2")</f>
        <v>3.14.2</v>
      </c>
      <c r="B3" s="1" t="s">
        <v>140</v>
      </c>
      <c r="D3" s="2">
        <f t="shared" ref="D3:D7" si="0">IF(C3 = "Implemented", 0, IF(C3 = "Planned to be implemented", -5, -5))</f>
        <v>-5</v>
      </c>
    </row>
    <row r="4" spans="1:6" x14ac:dyDescent="0.25">
      <c r="A4" s="11" t="str">
        <f>HYPERLINK("#Reference!A107","3.14.3")</f>
        <v>3.14.3</v>
      </c>
      <c r="B4" s="1" t="s">
        <v>141</v>
      </c>
      <c r="D4" s="2">
        <f t="shared" si="0"/>
        <v>-5</v>
      </c>
    </row>
    <row r="5" spans="1:6" ht="30" x14ac:dyDescent="0.25">
      <c r="A5" s="11" t="str">
        <f>HYPERLINK("#Reference!A108","3.14.4")</f>
        <v>3.14.4</v>
      </c>
      <c r="B5" s="1" t="s">
        <v>142</v>
      </c>
      <c r="D5" s="2">
        <f t="shared" si="0"/>
        <v>-5</v>
      </c>
    </row>
    <row r="6" spans="1:6" ht="30" x14ac:dyDescent="0.25">
      <c r="A6" s="11" t="str">
        <f>HYPERLINK("#Reference!A109","3.14.5")</f>
        <v>3.14.5</v>
      </c>
      <c r="B6" s="1" t="s">
        <v>143</v>
      </c>
      <c r="D6" s="2">
        <f>IF(C6 = "Implemented", 0, IF(C6 = "Planned to be implemented", -3, -3))</f>
        <v>-3</v>
      </c>
    </row>
    <row r="7" spans="1:6" ht="30" x14ac:dyDescent="0.25">
      <c r="A7" s="11" t="str">
        <f>HYPERLINK("#Reference!A110","3.14.6")</f>
        <v>3.14.6</v>
      </c>
      <c r="B7" s="1" t="s">
        <v>144</v>
      </c>
      <c r="D7" s="2">
        <f t="shared" si="0"/>
        <v>-5</v>
      </c>
    </row>
    <row r="8" spans="1:6" x14ac:dyDescent="0.25">
      <c r="A8" s="11" t="str">
        <f>HYPERLINK("#Reference!A111","3.14.7")</f>
        <v>3.14.7</v>
      </c>
      <c r="B8" s="1" t="s">
        <v>145</v>
      </c>
      <c r="D8" s="2">
        <f>IF(C8 = "Implemented", 0, IF(C8 = "Planned to be implemented", -3, -3))</f>
        <v>-3</v>
      </c>
    </row>
  </sheetData>
  <protectedRanges>
    <protectedRange sqref="C2:C8" name="Range1"/>
  </protectedRanges>
  <dataValidations count="1">
    <dataValidation type="list" allowBlank="1" showInputMessage="1" showErrorMessage="1" sqref="C2:C8" xr:uid="{00000000-0002-0000-0F00-000000000000}">
      <formula1>Options</formula1>
    </dataValidation>
  </dataValidations>
  <pageMargins left="0.7" right="0.7" top="0.75" bottom="0.75" header="0.3" footer="0.3"/>
  <pageSetup firstPageNumber="15" orientation="landscape" useFirstPageNumber="1" r:id="rId1"/>
  <headerFooter>
    <oddHeader>&amp;L&amp;D &amp;T&amp;C&amp;A</oddHeader>
    <oddFooter>&amp;R&amp;P</oddFooter>
  </headerFooter>
  <ignoredErrors>
    <ignoredError sqref="D6:D7" 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C15"/>
  <sheetViews>
    <sheetView workbookViewId="0">
      <selection activeCell="B6" sqref="B6"/>
    </sheetView>
  </sheetViews>
  <sheetFormatPr defaultRowHeight="15" x14ac:dyDescent="0.25"/>
  <cols>
    <col min="1" max="1" width="15.140625" bestFit="1" customWidth="1"/>
    <col min="2" max="2" width="38" bestFit="1" customWidth="1"/>
    <col min="3" max="3" width="23.140625" bestFit="1" customWidth="1"/>
  </cols>
  <sheetData>
    <row r="1" spans="1:3" ht="15.75" x14ac:dyDescent="0.25">
      <c r="A1" s="9" t="s">
        <v>241</v>
      </c>
      <c r="B1" s="9" t="s">
        <v>242</v>
      </c>
      <c r="C1" s="9" t="s">
        <v>378</v>
      </c>
    </row>
    <row r="2" spans="1:3" ht="15.75" x14ac:dyDescent="0.25">
      <c r="A2" s="6">
        <v>3.1</v>
      </c>
      <c r="B2" s="5" t="s">
        <v>3</v>
      </c>
      <c r="C2" s="2">
        <f>COUNTBLANK('3.1 Access Control'!$C$2:C23)</f>
        <v>22</v>
      </c>
    </row>
    <row r="3" spans="1:3" ht="15.75" x14ac:dyDescent="0.25">
      <c r="A3" s="6">
        <v>3.2</v>
      </c>
      <c r="B3" s="5" t="s">
        <v>243</v>
      </c>
      <c r="C3" s="2">
        <f>COUNTBLANK('3.2 Awareness and Training'!$C$2:C4)</f>
        <v>3</v>
      </c>
    </row>
    <row r="4" spans="1:3" ht="15.75" x14ac:dyDescent="0.25">
      <c r="A4" s="6">
        <v>3.3</v>
      </c>
      <c r="B4" s="5" t="s">
        <v>244</v>
      </c>
      <c r="C4" s="2">
        <f>COUNTBLANK('3.3 Audit and Accountability'!$C$2:C10)</f>
        <v>9</v>
      </c>
    </row>
    <row r="5" spans="1:3" ht="15.75" x14ac:dyDescent="0.25">
      <c r="A5" s="6">
        <v>3.4</v>
      </c>
      <c r="B5" s="5" t="s">
        <v>245</v>
      </c>
      <c r="C5" s="2">
        <f>COUNTBLANK('3.4 Configuration Management'!$C$2:C10)</f>
        <v>9</v>
      </c>
    </row>
    <row r="6" spans="1:3" ht="15.75" x14ac:dyDescent="0.25">
      <c r="A6" s="6">
        <v>3.5</v>
      </c>
      <c r="B6" s="5" t="s">
        <v>246</v>
      </c>
      <c r="C6" s="2">
        <f>COUNTBLANK('3.5 Identification and Auth.'!$C$2:C12)</f>
        <v>11</v>
      </c>
    </row>
    <row r="7" spans="1:3" ht="15.75" x14ac:dyDescent="0.25">
      <c r="A7" s="6">
        <v>3.6</v>
      </c>
      <c r="B7" s="5" t="s">
        <v>247</v>
      </c>
      <c r="C7" s="2">
        <f>COUNTBLANK('3.6 Incident Response'!$C$2:C4)</f>
        <v>3</v>
      </c>
    </row>
    <row r="8" spans="1:3" ht="15.75" x14ac:dyDescent="0.25">
      <c r="A8" s="6">
        <v>3.7</v>
      </c>
      <c r="B8" s="5" t="s">
        <v>86</v>
      </c>
      <c r="C8" s="2">
        <f>COUNTBLANK('3.7 Maintenance'!$C$2:C7)</f>
        <v>6</v>
      </c>
    </row>
    <row r="9" spans="1:3" ht="15.75" x14ac:dyDescent="0.25">
      <c r="A9" s="6">
        <v>3.8</v>
      </c>
      <c r="B9" s="5" t="s">
        <v>92</v>
      </c>
      <c r="C9" s="2">
        <f>COUNTBLANK('3.8 Media Protection'!$C$2:C10)</f>
        <v>9</v>
      </c>
    </row>
    <row r="10" spans="1:3" ht="15.75" x14ac:dyDescent="0.25">
      <c r="A10" s="6">
        <v>3.9</v>
      </c>
      <c r="B10" s="5" t="s">
        <v>248</v>
      </c>
      <c r="C10" s="2">
        <f>COUNTBLANK('3.9 Personnel Security'!$C$2:C3)</f>
        <v>2</v>
      </c>
    </row>
    <row r="11" spans="1:3" ht="15.75" x14ac:dyDescent="0.25">
      <c r="A11" s="7">
        <v>3.1</v>
      </c>
      <c r="B11" s="5" t="s">
        <v>249</v>
      </c>
      <c r="C11" s="2">
        <f>COUNTBLANK('3.10 Physical Protection'!$C$2:C7)</f>
        <v>6</v>
      </c>
    </row>
    <row r="12" spans="1:3" ht="15.75" x14ac:dyDescent="0.25">
      <c r="A12" s="7">
        <v>3.11</v>
      </c>
      <c r="B12" s="5" t="s">
        <v>113</v>
      </c>
      <c r="C12" s="2">
        <f>COUNTBLANK('3.11 Risk Assessment'!$C$2:C4)</f>
        <v>3</v>
      </c>
    </row>
    <row r="13" spans="1:3" ht="15.75" x14ac:dyDescent="0.25">
      <c r="A13" s="7">
        <v>3.12</v>
      </c>
      <c r="B13" s="5" t="s">
        <v>250</v>
      </c>
      <c r="C13" s="2">
        <f>COUNTBLANK('3.12 Security Assessment'!$C$2:C5)</f>
        <v>4</v>
      </c>
    </row>
    <row r="14" spans="1:3" ht="15.75" x14ac:dyDescent="0.25">
      <c r="A14" s="6">
        <v>3.13</v>
      </c>
      <c r="B14" s="5" t="s">
        <v>251</v>
      </c>
      <c r="C14" s="2">
        <f>COUNTBLANK('3.13 System and Communications'!$C$2:C17)</f>
        <v>16</v>
      </c>
    </row>
    <row r="15" spans="1:3" ht="15.75" x14ac:dyDescent="0.25">
      <c r="A15" s="6">
        <v>3.14</v>
      </c>
      <c r="B15" s="5" t="s">
        <v>252</v>
      </c>
      <c r="C15" s="2">
        <f>COUNTBLANK('3.14 System and Information'!$C$2:C8)</f>
        <v>7</v>
      </c>
    </row>
  </sheetData>
  <pageMargins left="0.7" right="0.7" top="0.75" bottom="0.75" header="0.3" footer="0.3"/>
  <pageSetup firstPageNumber="16" orientation="landscape" useFirstPageNumber="1" r:id="rId1"/>
  <headerFooter>
    <oddHeader>&amp;L&amp;D &amp;T&amp;C&amp;A</oddHeader>
    <oddFooter>&amp;R&amp;P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33"/>
  <sheetViews>
    <sheetView topLeftCell="A7" zoomScaleNormal="100" workbookViewId="0">
      <selection activeCell="H31" sqref="H31"/>
    </sheetView>
  </sheetViews>
  <sheetFormatPr defaultColWidth="8.7109375" defaultRowHeight="15.75" x14ac:dyDescent="0.25"/>
  <cols>
    <col min="1" max="1" width="16.42578125" style="4" bestFit="1" customWidth="1"/>
    <col min="2" max="2" width="38" style="4" bestFit="1" customWidth="1"/>
    <col min="3" max="3" width="6.140625" style="8" bestFit="1" customWidth="1"/>
    <col min="4" max="4" width="4.42578125" style="4" customWidth="1"/>
    <col min="5" max="5" width="83.7109375" style="4" bestFit="1" customWidth="1"/>
    <col min="6" max="6" width="29" style="4" bestFit="1" customWidth="1"/>
    <col min="7" max="7" width="16.140625" style="4" bestFit="1" customWidth="1"/>
    <col min="8" max="8" width="11.85546875" style="4" bestFit="1" customWidth="1"/>
    <col min="9" max="9" width="15.42578125" style="4" bestFit="1" customWidth="1"/>
    <col min="10" max="10" width="16.42578125" style="4" bestFit="1" customWidth="1"/>
    <col min="11" max="11" width="16.85546875" style="4" bestFit="1" customWidth="1"/>
    <col min="12" max="12" width="14.5703125" style="4" bestFit="1" customWidth="1"/>
    <col min="13" max="13" width="5.42578125" style="4" bestFit="1" customWidth="1"/>
    <col min="14" max="14" width="18" style="4" bestFit="1" customWidth="1"/>
    <col min="15" max="15" width="34.85546875" style="4" bestFit="1" customWidth="1"/>
    <col min="16" max="16" width="28.85546875" style="4" bestFit="1" customWidth="1"/>
    <col min="17" max="17" width="10.7109375" style="4" bestFit="1" customWidth="1"/>
    <col min="18" max="16384" width="8.7109375" style="4"/>
  </cols>
  <sheetData>
    <row r="1" spans="1:5" x14ac:dyDescent="0.25">
      <c r="A1" s="9" t="s">
        <v>241</v>
      </c>
      <c r="B1" s="9" t="s">
        <v>242</v>
      </c>
      <c r="C1" s="10" t="s">
        <v>236</v>
      </c>
    </row>
    <row r="2" spans="1:5" ht="15.6" customHeight="1" x14ac:dyDescent="0.25">
      <c r="A2" s="6">
        <v>3.1</v>
      </c>
      <c r="B2" s="5" t="s">
        <v>3</v>
      </c>
      <c r="C2" s="8">
        <f>'3.1 Access Control'!F2</f>
        <v>-29</v>
      </c>
      <c r="E2" s="48" t="s">
        <v>394</v>
      </c>
    </row>
    <row r="3" spans="1:5" x14ac:dyDescent="0.25">
      <c r="A3" s="6">
        <v>3.2</v>
      </c>
      <c r="B3" s="5" t="s">
        <v>243</v>
      </c>
      <c r="C3" s="8">
        <f>'3.2 Awareness and Training'!F2</f>
        <v>-11</v>
      </c>
      <c r="D3" s="37"/>
      <c r="E3" s="48"/>
    </row>
    <row r="4" spans="1:5" x14ac:dyDescent="0.25">
      <c r="A4" s="6">
        <v>3.3</v>
      </c>
      <c r="B4" s="5" t="s">
        <v>244</v>
      </c>
      <c r="C4" s="8">
        <f>'3.3 Audit and Accountability'!F2</f>
        <v>-19</v>
      </c>
      <c r="D4" s="37"/>
      <c r="E4" s="37"/>
    </row>
    <row r="5" spans="1:5" x14ac:dyDescent="0.25">
      <c r="A5" s="6">
        <v>3.4</v>
      </c>
      <c r="B5" s="5" t="s">
        <v>245</v>
      </c>
      <c r="C5" s="8">
        <f>'3.4 Configuration Management'!F2</f>
        <v>-33</v>
      </c>
      <c r="E5" s="37"/>
    </row>
    <row r="6" spans="1:5" ht="15.6" customHeight="1" x14ac:dyDescent="0.25">
      <c r="A6" s="6">
        <v>3.5</v>
      </c>
      <c r="B6" s="5" t="s">
        <v>246</v>
      </c>
      <c r="C6" s="8">
        <f>'3.5 Identification and Auth.'!F2</f>
        <v>-27</v>
      </c>
    </row>
    <row r="7" spans="1:5" x14ac:dyDescent="0.25">
      <c r="A7" s="6">
        <v>3.6</v>
      </c>
      <c r="B7" s="5" t="s">
        <v>247</v>
      </c>
      <c r="C7" s="8">
        <f>'3.6 Incident Response'!F2</f>
        <v>-11</v>
      </c>
      <c r="E7" s="38"/>
    </row>
    <row r="8" spans="1:5" x14ac:dyDescent="0.25">
      <c r="A8" s="6">
        <v>3.7</v>
      </c>
      <c r="B8" s="5" t="s">
        <v>86</v>
      </c>
      <c r="C8" s="8">
        <f>'3.7 Maintenance'!F2</f>
        <v>-18</v>
      </c>
      <c r="E8" s="47" t="s">
        <v>395</v>
      </c>
    </row>
    <row r="9" spans="1:5" x14ac:dyDescent="0.25">
      <c r="A9" s="6">
        <v>3.8</v>
      </c>
      <c r="B9" s="5" t="s">
        <v>92</v>
      </c>
      <c r="C9" s="8">
        <f>'3.8 Media Protection'!F2</f>
        <v>-23</v>
      </c>
      <c r="E9" s="47"/>
    </row>
    <row r="10" spans="1:5" x14ac:dyDescent="0.25">
      <c r="A10" s="6">
        <v>3.9</v>
      </c>
      <c r="B10" s="5" t="s">
        <v>248</v>
      </c>
      <c r="C10" s="8">
        <f>'3.9 Personnel Security'!F2</f>
        <v>-8</v>
      </c>
    </row>
    <row r="11" spans="1:5" x14ac:dyDescent="0.25">
      <c r="A11" s="7">
        <v>3.1</v>
      </c>
      <c r="B11" s="5" t="s">
        <v>249</v>
      </c>
      <c r="C11" s="8">
        <f>'3.10 Physical Protection'!F2</f>
        <v>-14</v>
      </c>
    </row>
    <row r="12" spans="1:5" x14ac:dyDescent="0.25">
      <c r="A12" s="7">
        <v>3.11</v>
      </c>
      <c r="B12" s="5" t="s">
        <v>113</v>
      </c>
      <c r="C12" s="8">
        <f>'3.11 Risk Assessment'!F2</f>
        <v>-9</v>
      </c>
    </row>
    <row r="13" spans="1:5" x14ac:dyDescent="0.25">
      <c r="A13" s="7">
        <v>3.12</v>
      </c>
      <c r="B13" s="5" t="s">
        <v>250</v>
      </c>
      <c r="C13" s="8">
        <f>'3.12 Security Assessment'!F2</f>
        <v>-13</v>
      </c>
    </row>
    <row r="14" spans="1:5" x14ac:dyDescent="0.25">
      <c r="A14" s="6">
        <v>3.13</v>
      </c>
      <c r="B14" s="5" t="s">
        <v>251</v>
      </c>
      <c r="C14" s="8">
        <f>'3.13 System and Communications'!F2</f>
        <v>-42</v>
      </c>
    </row>
    <row r="15" spans="1:5" ht="16.5" thickBot="1" x14ac:dyDescent="0.3">
      <c r="A15" s="13">
        <v>3.14</v>
      </c>
      <c r="B15" s="14" t="s">
        <v>252</v>
      </c>
      <c r="C15" s="15">
        <f>'3.14 System and Information'!F2</f>
        <v>-31</v>
      </c>
    </row>
    <row r="16" spans="1:5" x14ac:dyDescent="0.25">
      <c r="B16" s="5" t="s">
        <v>385</v>
      </c>
      <c r="C16" s="8">
        <f>SUM(C2:C15)+110</f>
        <v>-178</v>
      </c>
      <c r="E16" s="4" t="s">
        <v>387</v>
      </c>
    </row>
    <row r="17" spans="1:5" ht="8.1" customHeight="1" x14ac:dyDescent="0.25">
      <c r="B17" s="5"/>
    </row>
    <row r="18" spans="1:5" ht="12" customHeight="1" x14ac:dyDescent="0.25">
      <c r="A18" s="47"/>
      <c r="B18" s="47"/>
      <c r="C18" s="47"/>
      <c r="D18" s="47"/>
      <c r="E18" s="47"/>
    </row>
    <row r="19" spans="1:5" x14ac:dyDescent="0.25">
      <c r="A19" s="47"/>
      <c r="B19" s="47"/>
      <c r="C19" s="47"/>
      <c r="D19" s="47"/>
      <c r="E19" s="47"/>
    </row>
    <row r="20" spans="1:5" x14ac:dyDescent="0.25">
      <c r="A20" s="47"/>
      <c r="B20" s="47"/>
      <c r="C20" s="47"/>
      <c r="D20" s="47"/>
      <c r="E20" s="47"/>
    </row>
    <row r="21" spans="1:5" ht="20.45" customHeight="1" x14ac:dyDescent="0.25">
      <c r="A21" s="47"/>
      <c r="B21" s="47"/>
      <c r="C21" s="47"/>
      <c r="D21" s="47"/>
      <c r="E21" s="47"/>
    </row>
    <row r="22" spans="1:5" ht="6.6" customHeight="1" x14ac:dyDescent="0.25"/>
    <row r="23" spans="1:5" ht="21.6" customHeight="1" x14ac:dyDescent="0.25">
      <c r="A23" s="47" t="s">
        <v>402</v>
      </c>
      <c r="B23" s="47"/>
      <c r="C23" s="47"/>
      <c r="D23" s="47"/>
      <c r="E23" s="47"/>
    </row>
    <row r="24" spans="1:5" ht="20.45" customHeight="1" x14ac:dyDescent="0.25">
      <c r="A24" s="47"/>
      <c r="B24" s="47"/>
      <c r="C24" s="47"/>
      <c r="D24" s="47"/>
      <c r="E24" s="47"/>
    </row>
    <row r="25" spans="1:5" ht="18.95" customHeight="1" x14ac:dyDescent="0.25">
      <c r="A25" s="47"/>
      <c r="B25" s="47"/>
      <c r="C25" s="47"/>
      <c r="D25" s="47"/>
      <c r="E25" s="47"/>
    </row>
    <row r="27" spans="1:5" ht="31.5" customHeight="1" x14ac:dyDescent="0.25">
      <c r="A27" s="49" t="s">
        <v>401</v>
      </c>
      <c r="B27" s="49"/>
      <c r="C27" s="49"/>
      <c r="D27" s="49"/>
      <c r="E27" s="49"/>
    </row>
    <row r="28" spans="1:5" ht="31.5" customHeight="1" x14ac:dyDescent="0.25">
      <c r="A28" s="49"/>
      <c r="B28" s="49"/>
      <c r="C28" s="49"/>
      <c r="D28" s="49"/>
      <c r="E28" s="49"/>
    </row>
    <row r="29" spans="1:5" ht="31.5" customHeight="1" x14ac:dyDescent="0.25">
      <c r="A29" s="49"/>
      <c r="B29" s="49"/>
      <c r="C29" s="49"/>
      <c r="D29" s="49"/>
      <c r="E29" s="49"/>
    </row>
    <row r="30" spans="1:5" ht="31.5" customHeight="1" x14ac:dyDescent="0.25">
      <c r="A30" s="49"/>
      <c r="B30" s="49"/>
      <c r="C30" s="49"/>
      <c r="D30" s="49"/>
      <c r="E30" s="49"/>
    </row>
    <row r="31" spans="1:5" ht="31.5" customHeight="1" x14ac:dyDescent="0.25">
      <c r="A31" s="49"/>
      <c r="B31" s="49"/>
      <c r="C31" s="49"/>
      <c r="D31" s="49"/>
      <c r="E31" s="49"/>
    </row>
    <row r="32" spans="1:5" ht="31.5" customHeight="1" x14ac:dyDescent="0.25">
      <c r="A32" s="49"/>
      <c r="B32" s="49"/>
      <c r="C32" s="49"/>
      <c r="D32" s="49"/>
      <c r="E32" s="49"/>
    </row>
    <row r="33" spans="1:5" ht="31.5" customHeight="1" x14ac:dyDescent="0.25">
      <c r="A33" s="49"/>
      <c r="B33" s="49"/>
      <c r="C33" s="49"/>
      <c r="D33" s="49"/>
      <c r="E33" s="49"/>
    </row>
  </sheetData>
  <mergeCells count="5">
    <mergeCell ref="E8:E9"/>
    <mergeCell ref="A23:E25"/>
    <mergeCell ref="A18:E21"/>
    <mergeCell ref="E2:E3"/>
    <mergeCell ref="A27:E33"/>
  </mergeCells>
  <pageMargins left="0.7" right="0.7" top="0.75" bottom="0.75" header="0.3" footer="0.3"/>
  <pageSetup firstPageNumber="17" orientation="landscape" useFirstPageNumber="1" r:id="rId1"/>
  <headerFooter>
    <oddHeader>&amp;L&amp;D &amp;T&amp;C&amp;A</oddHeader>
    <oddFooter>&amp;R&amp;P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
    <pageSetUpPr fitToPage="1"/>
  </sheetPr>
  <dimension ref="A1:L1"/>
  <sheetViews>
    <sheetView zoomScaleNormal="100" workbookViewId="0">
      <selection activeCell="J9" sqref="J9"/>
    </sheetView>
  </sheetViews>
  <sheetFormatPr defaultColWidth="9.5703125" defaultRowHeight="15" x14ac:dyDescent="0.25"/>
  <cols>
    <col min="1" max="1" width="16.42578125" customWidth="1"/>
    <col min="2" max="2" width="16.7109375" customWidth="1"/>
    <col min="3" max="3" width="19.42578125" customWidth="1"/>
    <col min="4" max="4" width="26.140625" customWidth="1"/>
    <col min="5" max="5" width="35.28515625" customWidth="1"/>
    <col min="6" max="6" width="20.140625" customWidth="1"/>
    <col min="7" max="7" width="17.28515625" customWidth="1"/>
    <col min="8" max="8" width="10.85546875" bestFit="1" customWidth="1"/>
    <col min="9" max="9" width="29.42578125" customWidth="1"/>
    <col min="10" max="10" width="22.140625" customWidth="1"/>
    <col min="11" max="11" width="14.42578125" customWidth="1"/>
    <col min="12" max="12" width="18.42578125" customWidth="1"/>
  </cols>
  <sheetData>
    <row r="1" spans="1:12" s="16" customFormat="1" ht="47.1" customHeight="1" x14ac:dyDescent="0.25">
      <c r="A1" s="31" t="s">
        <v>367</v>
      </c>
      <c r="B1" s="31" t="s">
        <v>368</v>
      </c>
      <c r="C1" s="31" t="s">
        <v>369</v>
      </c>
      <c r="D1" s="31" t="s">
        <v>370</v>
      </c>
      <c r="E1" s="31" t="s">
        <v>396</v>
      </c>
      <c r="F1" s="31" t="s">
        <v>371</v>
      </c>
      <c r="G1" s="31" t="s">
        <v>372</v>
      </c>
      <c r="H1" s="31" t="s">
        <v>373</v>
      </c>
      <c r="I1" s="31" t="s">
        <v>374</v>
      </c>
      <c r="J1" s="31" t="s">
        <v>375</v>
      </c>
      <c r="K1" s="31" t="s">
        <v>376</v>
      </c>
      <c r="L1" s="31" t="s">
        <v>377</v>
      </c>
    </row>
  </sheetData>
  <protectedRanges>
    <protectedRange algorithmName="SHA-512" hashValue="OM4wtXdS81jwwDE8sb+CjlP446vK2nQyn06kS9xVteb5YoZydM4MSbP/55YLsXqeoOna57+yLZ4FjbDZNWLCuQ==" saltValue="YWfiRd1/Dpb+AMyDQ/Yd1Q==" spinCount="100000" sqref="A2:L100" name="POAM"/>
  </protectedRanges>
  <pageMargins left="0.25" right="0.25" top="0.75" bottom="0.75" header="0.05" footer="0.05"/>
  <pageSetup scale="81" fitToHeight="0" orientation="landscape" r:id="rId1"/>
  <headerFooter>
    <oddHeader>&amp;L&amp;D &amp;T&amp;C&amp;A</oddHeader>
    <oddFooter>&amp;R&amp;P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B111"/>
  <sheetViews>
    <sheetView tabSelected="1" topLeftCell="A109" workbookViewId="0">
      <selection activeCell="A111" sqref="A111"/>
    </sheetView>
  </sheetViews>
  <sheetFormatPr defaultRowHeight="15" x14ac:dyDescent="0.25"/>
  <cols>
    <col min="1" max="1" width="22" style="3" customWidth="1"/>
    <col min="2" max="2" width="94" style="1" customWidth="1"/>
  </cols>
  <sheetData>
    <row r="1" spans="1:2" ht="18.75" x14ac:dyDescent="0.3">
      <c r="A1" s="27" t="s">
        <v>254</v>
      </c>
      <c r="B1" s="28" t="s">
        <v>255</v>
      </c>
    </row>
    <row r="2" spans="1:2" ht="120" x14ac:dyDescent="0.25">
      <c r="A2" s="29" t="s">
        <v>0</v>
      </c>
      <c r="B2" s="30" t="s">
        <v>256</v>
      </c>
    </row>
    <row r="3" spans="1:2" ht="105" x14ac:dyDescent="0.25">
      <c r="A3" s="29" t="s">
        <v>2</v>
      </c>
      <c r="B3" s="30" t="s">
        <v>257</v>
      </c>
    </row>
    <row r="4" spans="1:2" ht="105" x14ac:dyDescent="0.25">
      <c r="A4" s="29" t="s">
        <v>17</v>
      </c>
      <c r="B4" s="30" t="s">
        <v>258</v>
      </c>
    </row>
    <row r="5" spans="1:2" ht="135" x14ac:dyDescent="0.25">
      <c r="A5" s="29" t="s">
        <v>18</v>
      </c>
      <c r="B5" s="30" t="s">
        <v>259</v>
      </c>
    </row>
    <row r="6" spans="1:2" ht="225" x14ac:dyDescent="0.25">
      <c r="A6" s="29" t="s">
        <v>19</v>
      </c>
      <c r="B6" s="30" t="s">
        <v>260</v>
      </c>
    </row>
    <row r="7" spans="1:2" ht="75" x14ac:dyDescent="0.25">
      <c r="A7" s="29" t="s">
        <v>20</v>
      </c>
      <c r="B7" s="30" t="s">
        <v>261</v>
      </c>
    </row>
    <row r="8" spans="1:2" ht="165" x14ac:dyDescent="0.25">
      <c r="A8" s="29" t="s">
        <v>21</v>
      </c>
      <c r="B8" s="30" t="s">
        <v>262</v>
      </c>
    </row>
    <row r="9" spans="1:2" ht="105" x14ac:dyDescent="0.25">
      <c r="A9" s="29" t="s">
        <v>22</v>
      </c>
      <c r="B9" s="30" t="s">
        <v>263</v>
      </c>
    </row>
    <row r="10" spans="1:2" ht="105" x14ac:dyDescent="0.25">
      <c r="A10" s="29" t="s">
        <v>23</v>
      </c>
      <c r="B10" s="30" t="s">
        <v>264</v>
      </c>
    </row>
    <row r="11" spans="1:2" ht="135" x14ac:dyDescent="0.25">
      <c r="A11" s="29" t="s">
        <v>24</v>
      </c>
      <c r="B11" s="30" t="s">
        <v>265</v>
      </c>
    </row>
    <row r="12" spans="1:2" ht="150" x14ac:dyDescent="0.25">
      <c r="A12" s="29" t="s">
        <v>25</v>
      </c>
      <c r="B12" s="30" t="s">
        <v>266</v>
      </c>
    </row>
    <row r="13" spans="1:2" ht="135" x14ac:dyDescent="0.25">
      <c r="A13" s="29" t="s">
        <v>26</v>
      </c>
      <c r="B13" s="30" t="s">
        <v>267</v>
      </c>
    </row>
    <row r="14" spans="1:2" x14ac:dyDescent="0.25">
      <c r="A14" s="29" t="s">
        <v>27</v>
      </c>
      <c r="B14" s="30" t="s">
        <v>357</v>
      </c>
    </row>
    <row r="15" spans="1:2" ht="45" x14ac:dyDescent="0.25">
      <c r="A15" s="29" t="s">
        <v>28</v>
      </c>
      <c r="B15" s="30" t="s">
        <v>268</v>
      </c>
    </row>
    <row r="16" spans="1:2" ht="180" x14ac:dyDescent="0.25">
      <c r="A16" s="29" t="s">
        <v>36</v>
      </c>
      <c r="B16" s="30" t="s">
        <v>269</v>
      </c>
    </row>
    <row r="17" spans="1:2" ht="60" customHeight="1" x14ac:dyDescent="0.25">
      <c r="A17" s="29" t="s">
        <v>37</v>
      </c>
      <c r="B17" s="30" t="s">
        <v>365</v>
      </c>
    </row>
    <row r="18" spans="1:2" ht="45" x14ac:dyDescent="0.25">
      <c r="A18" s="29" t="s">
        <v>38</v>
      </c>
      <c r="B18" s="30" t="s">
        <v>358</v>
      </c>
    </row>
    <row r="19" spans="1:2" ht="203.1" customHeight="1" x14ac:dyDescent="0.25">
      <c r="A19" s="29" t="s">
        <v>39</v>
      </c>
      <c r="B19" s="30" t="s">
        <v>359</v>
      </c>
    </row>
    <row r="20" spans="1:2" ht="60" x14ac:dyDescent="0.25">
      <c r="A20" s="29" t="s">
        <v>40</v>
      </c>
      <c r="B20" s="30" t="s">
        <v>360</v>
      </c>
    </row>
    <row r="21" spans="1:2" ht="120" x14ac:dyDescent="0.25">
      <c r="A21" s="29" t="s">
        <v>41</v>
      </c>
      <c r="B21" s="30" t="s">
        <v>270</v>
      </c>
    </row>
    <row r="22" spans="1:2" ht="102.95" customHeight="1" x14ac:dyDescent="0.25">
      <c r="A22" s="29" t="s">
        <v>42</v>
      </c>
      <c r="B22" s="30" t="s">
        <v>271</v>
      </c>
    </row>
    <row r="23" spans="1:2" ht="105" x14ac:dyDescent="0.25">
      <c r="A23" s="29" t="s">
        <v>43</v>
      </c>
      <c r="B23" s="30" t="s">
        <v>272</v>
      </c>
    </row>
    <row r="24" spans="1:2" ht="120" x14ac:dyDescent="0.25">
      <c r="A24" s="29" t="s">
        <v>45</v>
      </c>
      <c r="B24" s="30" t="s">
        <v>273</v>
      </c>
    </row>
    <row r="25" spans="1:2" ht="195" x14ac:dyDescent="0.25">
      <c r="A25" s="29" t="s">
        <v>146</v>
      </c>
      <c r="B25" s="30" t="s">
        <v>361</v>
      </c>
    </row>
    <row r="26" spans="1:2" ht="150" x14ac:dyDescent="0.25">
      <c r="A26" s="29" t="s">
        <v>147</v>
      </c>
      <c r="B26" s="30" t="s">
        <v>274</v>
      </c>
    </row>
    <row r="27" spans="1:2" ht="255" x14ac:dyDescent="0.25">
      <c r="A27" s="29" t="s">
        <v>148</v>
      </c>
      <c r="B27" s="30" t="s">
        <v>275</v>
      </c>
    </row>
    <row r="28" spans="1:2" ht="105" x14ac:dyDescent="0.25">
      <c r="A28" s="29" t="s">
        <v>149</v>
      </c>
      <c r="B28" s="30" t="s">
        <v>276</v>
      </c>
    </row>
    <row r="29" spans="1:2" ht="60" x14ac:dyDescent="0.25">
      <c r="A29" s="29" t="s">
        <v>150</v>
      </c>
      <c r="B29" s="30" t="s">
        <v>277</v>
      </c>
    </row>
    <row r="30" spans="1:2" ht="59.45" customHeight="1" x14ac:dyDescent="0.25">
      <c r="A30" s="29" t="s">
        <v>151</v>
      </c>
      <c r="B30" s="30" t="s">
        <v>278</v>
      </c>
    </row>
    <row r="31" spans="1:2" ht="60" x14ac:dyDescent="0.25">
      <c r="A31" s="29" t="s">
        <v>152</v>
      </c>
      <c r="B31" s="30" t="s">
        <v>279</v>
      </c>
    </row>
    <row r="32" spans="1:2" ht="120" x14ac:dyDescent="0.25">
      <c r="A32" s="29" t="s">
        <v>153</v>
      </c>
      <c r="B32" s="30" t="s">
        <v>280</v>
      </c>
    </row>
    <row r="33" spans="1:2" ht="150" x14ac:dyDescent="0.25">
      <c r="A33" s="29" t="s">
        <v>154</v>
      </c>
      <c r="B33" s="30" t="s">
        <v>362</v>
      </c>
    </row>
    <row r="34" spans="1:2" ht="90" x14ac:dyDescent="0.25">
      <c r="A34" s="29" t="s">
        <v>155</v>
      </c>
      <c r="B34" s="30" t="s">
        <v>281</v>
      </c>
    </row>
    <row r="35" spans="1:2" ht="60" x14ac:dyDescent="0.25">
      <c r="A35" s="29" t="s">
        <v>156</v>
      </c>
      <c r="B35" s="30" t="s">
        <v>282</v>
      </c>
    </row>
    <row r="36" spans="1:2" ht="180" x14ac:dyDescent="0.25">
      <c r="A36" s="29" t="s">
        <v>157</v>
      </c>
      <c r="B36" s="30" t="s">
        <v>283</v>
      </c>
    </row>
    <row r="37" spans="1:2" ht="161.1" customHeight="1" x14ac:dyDescent="0.25">
      <c r="A37" s="29" t="s">
        <v>158</v>
      </c>
      <c r="B37" s="30" t="s">
        <v>284</v>
      </c>
    </row>
    <row r="38" spans="1:2" ht="195" x14ac:dyDescent="0.25">
      <c r="A38" s="29" t="s">
        <v>159</v>
      </c>
      <c r="B38" s="30" t="s">
        <v>285</v>
      </c>
    </row>
    <row r="39" spans="1:2" ht="120" x14ac:dyDescent="0.25">
      <c r="A39" s="29" t="s">
        <v>160</v>
      </c>
      <c r="B39" s="30" t="s">
        <v>286</v>
      </c>
    </row>
    <row r="40" spans="1:2" ht="150" x14ac:dyDescent="0.25">
      <c r="A40" s="29" t="s">
        <v>161</v>
      </c>
      <c r="B40" s="30" t="s">
        <v>287</v>
      </c>
    </row>
    <row r="41" spans="1:2" ht="195" x14ac:dyDescent="0.25">
      <c r="A41" s="29" t="s">
        <v>162</v>
      </c>
      <c r="B41" s="30" t="s">
        <v>288</v>
      </c>
    </row>
    <row r="42" spans="1:2" ht="90" x14ac:dyDescent="0.25">
      <c r="A42" s="29" t="s">
        <v>163</v>
      </c>
      <c r="B42" s="30" t="s">
        <v>289</v>
      </c>
    </row>
    <row r="43" spans="1:2" ht="105" x14ac:dyDescent="0.25">
      <c r="A43" s="29" t="s">
        <v>164</v>
      </c>
      <c r="B43" s="30" t="s">
        <v>290</v>
      </c>
    </row>
    <row r="44" spans="1:2" ht="120" x14ac:dyDescent="0.25">
      <c r="A44" s="29" t="s">
        <v>165</v>
      </c>
      <c r="B44" s="30" t="s">
        <v>291</v>
      </c>
    </row>
    <row r="45" spans="1:2" ht="120" x14ac:dyDescent="0.25">
      <c r="A45" s="29" t="s">
        <v>166</v>
      </c>
      <c r="B45" s="30" t="s">
        <v>292</v>
      </c>
    </row>
    <row r="46" spans="1:2" ht="159.94999999999999" customHeight="1" x14ac:dyDescent="0.25">
      <c r="A46" s="29" t="s">
        <v>167</v>
      </c>
      <c r="B46" s="30" t="s">
        <v>293</v>
      </c>
    </row>
    <row r="47" spans="1:2" ht="204" customHeight="1" x14ac:dyDescent="0.25">
      <c r="A47" s="29" t="s">
        <v>168</v>
      </c>
      <c r="B47" s="30" t="s">
        <v>294</v>
      </c>
    </row>
    <row r="48" spans="1:2" ht="60" x14ac:dyDescent="0.25">
      <c r="A48" s="29" t="s">
        <v>169</v>
      </c>
      <c r="B48" s="30" t="s">
        <v>295</v>
      </c>
    </row>
    <row r="49" spans="1:2" ht="45" x14ac:dyDescent="0.25">
      <c r="A49" s="29" t="s">
        <v>170</v>
      </c>
      <c r="B49" s="30" t="s">
        <v>296</v>
      </c>
    </row>
    <row r="50" spans="1:2" ht="45" x14ac:dyDescent="0.25">
      <c r="A50" s="29" t="s">
        <v>171</v>
      </c>
      <c r="B50" s="30" t="s">
        <v>297</v>
      </c>
    </row>
    <row r="51" spans="1:2" ht="75" x14ac:dyDescent="0.25">
      <c r="A51" s="29" t="s">
        <v>172</v>
      </c>
      <c r="B51" s="30" t="s">
        <v>298</v>
      </c>
    </row>
    <row r="52" spans="1:2" x14ac:dyDescent="0.25">
      <c r="A52" s="29" t="s">
        <v>173</v>
      </c>
      <c r="B52" s="30" t="s">
        <v>299</v>
      </c>
    </row>
    <row r="53" spans="1:2" ht="45" x14ac:dyDescent="0.25">
      <c r="A53" s="29" t="s">
        <v>174</v>
      </c>
      <c r="B53" s="30" t="s">
        <v>300</v>
      </c>
    </row>
    <row r="54" spans="1:2" x14ac:dyDescent="0.25">
      <c r="A54" s="29" t="s">
        <v>175</v>
      </c>
      <c r="B54" s="30" t="s">
        <v>301</v>
      </c>
    </row>
    <row r="55" spans="1:2" ht="135" x14ac:dyDescent="0.25">
      <c r="A55" s="29" t="s">
        <v>176</v>
      </c>
      <c r="B55" s="30" t="s">
        <v>302</v>
      </c>
    </row>
    <row r="56" spans="1:2" ht="247.5" customHeight="1" x14ac:dyDescent="0.25">
      <c r="A56" s="29" t="s">
        <v>177</v>
      </c>
      <c r="B56" s="30" t="s">
        <v>303</v>
      </c>
    </row>
    <row r="57" spans="1:2" ht="165" x14ac:dyDescent="0.25">
      <c r="A57" s="29" t="s">
        <v>178</v>
      </c>
      <c r="B57" s="30" t="s">
        <v>304</v>
      </c>
    </row>
    <row r="58" spans="1:2" ht="90" x14ac:dyDescent="0.25">
      <c r="A58" s="29" t="s">
        <v>179</v>
      </c>
      <c r="B58" s="30" t="s">
        <v>305</v>
      </c>
    </row>
    <row r="59" spans="1:2" ht="75" x14ac:dyDescent="0.25">
      <c r="A59" s="29" t="s">
        <v>180</v>
      </c>
      <c r="B59" s="30" t="s">
        <v>306</v>
      </c>
    </row>
    <row r="60" spans="1:2" ht="102" customHeight="1" x14ac:dyDescent="0.25">
      <c r="A60" s="29" t="s">
        <v>181</v>
      </c>
      <c r="B60" s="30" t="s">
        <v>307</v>
      </c>
    </row>
    <row r="61" spans="1:2" ht="60" x14ac:dyDescent="0.25">
      <c r="A61" s="29" t="s">
        <v>182</v>
      </c>
      <c r="B61" s="30" t="s">
        <v>308</v>
      </c>
    </row>
    <row r="62" spans="1:2" ht="45" x14ac:dyDescent="0.25">
      <c r="A62" s="29" t="s">
        <v>183</v>
      </c>
      <c r="B62" s="30" t="s">
        <v>309</v>
      </c>
    </row>
    <row r="63" spans="1:2" ht="60" x14ac:dyDescent="0.25">
      <c r="A63" s="29" t="s">
        <v>184</v>
      </c>
      <c r="B63" s="30" t="s">
        <v>310</v>
      </c>
    </row>
    <row r="64" spans="1:2" ht="135" x14ac:dyDescent="0.25">
      <c r="A64" s="29" t="s">
        <v>185</v>
      </c>
      <c r="B64" s="30" t="s">
        <v>311</v>
      </c>
    </row>
    <row r="65" spans="1:2" ht="146.1" customHeight="1" x14ac:dyDescent="0.25">
      <c r="A65" s="29" t="s">
        <v>186</v>
      </c>
      <c r="B65" s="30" t="s">
        <v>312</v>
      </c>
    </row>
    <row r="66" spans="1:2" ht="75" x14ac:dyDescent="0.25">
      <c r="A66" s="29" t="s">
        <v>187</v>
      </c>
      <c r="B66" s="30" t="s">
        <v>313</v>
      </c>
    </row>
    <row r="67" spans="1:2" ht="240" x14ac:dyDescent="0.25">
      <c r="A67" s="29" t="s">
        <v>188</v>
      </c>
      <c r="B67" s="30" t="s">
        <v>314</v>
      </c>
    </row>
    <row r="68" spans="1:2" ht="45" x14ac:dyDescent="0.25">
      <c r="A68" s="29" t="s">
        <v>189</v>
      </c>
      <c r="B68" s="30" t="s">
        <v>315</v>
      </c>
    </row>
    <row r="69" spans="1:2" ht="165" x14ac:dyDescent="0.25">
      <c r="A69" s="29" t="s">
        <v>190</v>
      </c>
      <c r="B69" s="30" t="s">
        <v>316</v>
      </c>
    </row>
    <row r="70" spans="1:2" ht="30" x14ac:dyDescent="0.25">
      <c r="A70" s="29" t="s">
        <v>191</v>
      </c>
      <c r="B70" s="30" t="s">
        <v>317</v>
      </c>
    </row>
    <row r="71" spans="1:2" ht="180" x14ac:dyDescent="0.25">
      <c r="A71" s="29" t="s">
        <v>192</v>
      </c>
      <c r="B71" s="30" t="s">
        <v>318</v>
      </c>
    </row>
    <row r="72" spans="1:2" ht="60" x14ac:dyDescent="0.25">
      <c r="A72" s="29" t="s">
        <v>193</v>
      </c>
      <c r="B72" s="30" t="s">
        <v>319</v>
      </c>
    </row>
    <row r="73" spans="1:2" ht="75" x14ac:dyDescent="0.25">
      <c r="A73" s="29" t="s">
        <v>194</v>
      </c>
      <c r="B73" s="30" t="s">
        <v>320</v>
      </c>
    </row>
    <row r="74" spans="1:2" ht="75" x14ac:dyDescent="0.25">
      <c r="A74" s="29" t="s">
        <v>195</v>
      </c>
      <c r="B74" s="30" t="s">
        <v>321</v>
      </c>
    </row>
    <row r="75" spans="1:2" ht="247.5" customHeight="1" x14ac:dyDescent="0.25">
      <c r="A75" s="29" t="s">
        <v>235</v>
      </c>
      <c r="B75" s="30" t="s">
        <v>322</v>
      </c>
    </row>
    <row r="76" spans="1:2" ht="165" x14ac:dyDescent="0.25">
      <c r="A76" s="29" t="s">
        <v>196</v>
      </c>
      <c r="B76" s="30" t="s">
        <v>323</v>
      </c>
    </row>
    <row r="77" spans="1:2" ht="120" x14ac:dyDescent="0.25">
      <c r="A77" s="29" t="s">
        <v>197</v>
      </c>
      <c r="B77" s="30" t="s">
        <v>324</v>
      </c>
    </row>
    <row r="78" spans="1:2" ht="30" x14ac:dyDescent="0.25">
      <c r="A78" s="29" t="s">
        <v>198</v>
      </c>
      <c r="B78" s="30" t="s">
        <v>325</v>
      </c>
    </row>
    <row r="79" spans="1:2" ht="90" x14ac:dyDescent="0.25">
      <c r="A79" s="29" t="s">
        <v>199</v>
      </c>
      <c r="B79" s="30" t="s">
        <v>326</v>
      </c>
    </row>
    <row r="80" spans="1:2" x14ac:dyDescent="0.25">
      <c r="A80" s="29" t="s">
        <v>200</v>
      </c>
      <c r="B80" s="30" t="s">
        <v>327</v>
      </c>
    </row>
    <row r="81" spans="1:2" ht="45" x14ac:dyDescent="0.25">
      <c r="A81" s="29" t="s">
        <v>201</v>
      </c>
      <c r="B81" s="30" t="s">
        <v>328</v>
      </c>
    </row>
    <row r="82" spans="1:2" ht="120" x14ac:dyDescent="0.25">
      <c r="A82" s="29" t="s">
        <v>202</v>
      </c>
      <c r="B82" s="30" t="s">
        <v>329</v>
      </c>
    </row>
    <row r="83" spans="1:2" ht="180" x14ac:dyDescent="0.25">
      <c r="A83" s="29" t="s">
        <v>203</v>
      </c>
      <c r="B83" s="30" t="s">
        <v>330</v>
      </c>
    </row>
    <row r="84" spans="1:2" ht="60" x14ac:dyDescent="0.25">
      <c r="A84" s="29" t="s">
        <v>204</v>
      </c>
      <c r="B84" s="30" t="s">
        <v>331</v>
      </c>
    </row>
    <row r="85" spans="1:2" ht="135" x14ac:dyDescent="0.25">
      <c r="A85" s="29" t="s">
        <v>205</v>
      </c>
      <c r="B85" s="30" t="s">
        <v>332</v>
      </c>
    </row>
    <row r="86" spans="1:2" ht="120" x14ac:dyDescent="0.25">
      <c r="A86" s="29" t="s">
        <v>206</v>
      </c>
      <c r="B86" s="30" t="s">
        <v>363</v>
      </c>
    </row>
    <row r="87" spans="1:2" ht="180" x14ac:dyDescent="0.25">
      <c r="A87" s="29" t="s">
        <v>207</v>
      </c>
      <c r="B87" s="30" t="s">
        <v>333</v>
      </c>
    </row>
    <row r="88" spans="1:2" ht="240" x14ac:dyDescent="0.25">
      <c r="A88" s="29" t="s">
        <v>208</v>
      </c>
      <c r="B88" s="30" t="s">
        <v>334</v>
      </c>
    </row>
    <row r="89" spans="1:2" ht="210" x14ac:dyDescent="0.25">
      <c r="A89" s="29" t="s">
        <v>209</v>
      </c>
      <c r="B89" s="30" t="s">
        <v>335</v>
      </c>
    </row>
    <row r="90" spans="1:2" ht="189.6" customHeight="1" x14ac:dyDescent="0.25">
      <c r="A90" s="29" t="s">
        <v>210</v>
      </c>
      <c r="B90" s="30" t="s">
        <v>336</v>
      </c>
    </row>
    <row r="91" spans="1:2" ht="150" x14ac:dyDescent="0.25">
      <c r="A91" s="29" t="s">
        <v>211</v>
      </c>
      <c r="B91" s="30" t="s">
        <v>337</v>
      </c>
    </row>
    <row r="92" spans="1:2" ht="165" x14ac:dyDescent="0.25">
      <c r="A92" s="29" t="s">
        <v>212</v>
      </c>
      <c r="B92" s="30" t="s">
        <v>338</v>
      </c>
    </row>
    <row r="93" spans="1:2" ht="45" x14ac:dyDescent="0.25">
      <c r="A93" s="29" t="s">
        <v>213</v>
      </c>
      <c r="B93" s="30" t="s">
        <v>339</v>
      </c>
    </row>
    <row r="94" spans="1:2" ht="60" x14ac:dyDescent="0.25">
      <c r="A94" s="29" t="s">
        <v>214</v>
      </c>
      <c r="B94" s="30" t="s">
        <v>340</v>
      </c>
    </row>
    <row r="95" spans="1:2" ht="120" x14ac:dyDescent="0.25">
      <c r="A95" s="29" t="s">
        <v>215</v>
      </c>
      <c r="B95" s="30" t="s">
        <v>341</v>
      </c>
    </row>
    <row r="96" spans="1:2" ht="225" x14ac:dyDescent="0.25">
      <c r="A96" s="29" t="s">
        <v>216</v>
      </c>
      <c r="B96" s="30" t="s">
        <v>364</v>
      </c>
    </row>
    <row r="97" spans="1:2" ht="74.099999999999994" customHeight="1" x14ac:dyDescent="0.25">
      <c r="A97" s="29" t="s">
        <v>217</v>
      </c>
      <c r="B97" s="30" t="s">
        <v>342</v>
      </c>
    </row>
    <row r="98" spans="1:2" ht="60" x14ac:dyDescent="0.25">
      <c r="A98" s="29" t="s">
        <v>218</v>
      </c>
      <c r="B98" s="30" t="s">
        <v>343</v>
      </c>
    </row>
    <row r="99" spans="1:2" ht="90" x14ac:dyDescent="0.25">
      <c r="A99" s="29" t="s">
        <v>219</v>
      </c>
      <c r="B99" s="30" t="s">
        <v>344</v>
      </c>
    </row>
    <row r="100" spans="1:2" ht="60" x14ac:dyDescent="0.25">
      <c r="A100" s="29" t="s">
        <v>220</v>
      </c>
      <c r="B100" s="30" t="s">
        <v>345</v>
      </c>
    </row>
    <row r="101" spans="1:2" ht="120" x14ac:dyDescent="0.25">
      <c r="A101" s="29" t="s">
        <v>221</v>
      </c>
      <c r="B101" s="30" t="s">
        <v>346</v>
      </c>
    </row>
    <row r="102" spans="1:2" ht="120" x14ac:dyDescent="0.25">
      <c r="A102" s="29" t="s">
        <v>222</v>
      </c>
      <c r="B102" s="30" t="s">
        <v>347</v>
      </c>
    </row>
    <row r="103" spans="1:2" ht="90" x14ac:dyDescent="0.25">
      <c r="A103" s="29" t="s">
        <v>223</v>
      </c>
      <c r="B103" s="30" t="s">
        <v>348</v>
      </c>
    </row>
    <row r="104" spans="1:2" ht="105" x14ac:dyDescent="0.25">
      <c r="A104" s="29" t="s">
        <v>224</v>
      </c>
      <c r="B104" s="30" t="s">
        <v>349</v>
      </c>
    </row>
    <row r="105" spans="1:2" ht="180" x14ac:dyDescent="0.25">
      <c r="A105" s="29" t="s">
        <v>225</v>
      </c>
      <c r="B105" s="30" t="s">
        <v>350</v>
      </c>
    </row>
    <row r="106" spans="1:2" ht="270" x14ac:dyDescent="0.25">
      <c r="A106" s="29" t="s">
        <v>226</v>
      </c>
      <c r="B106" s="30" t="s">
        <v>351</v>
      </c>
    </row>
    <row r="107" spans="1:2" ht="105" x14ac:dyDescent="0.25">
      <c r="A107" s="29" t="s">
        <v>227</v>
      </c>
      <c r="B107" s="30" t="s">
        <v>352</v>
      </c>
    </row>
    <row r="108" spans="1:2" ht="150" x14ac:dyDescent="0.25">
      <c r="A108" s="29" t="s">
        <v>228</v>
      </c>
      <c r="B108" s="30" t="s">
        <v>353</v>
      </c>
    </row>
    <row r="109" spans="1:2" ht="74.099999999999994" customHeight="1" x14ac:dyDescent="0.25">
      <c r="A109" s="29" t="s">
        <v>229</v>
      </c>
      <c r="B109" s="30" t="s">
        <v>354</v>
      </c>
    </row>
    <row r="110" spans="1:2" ht="233.45" customHeight="1" x14ac:dyDescent="0.25">
      <c r="A110" s="29" t="s">
        <v>230</v>
      </c>
      <c r="B110" s="30" t="s">
        <v>355</v>
      </c>
    </row>
    <row r="111" spans="1:2" ht="195" x14ac:dyDescent="0.25">
      <c r="A111" s="29" t="s">
        <v>231</v>
      </c>
      <c r="B111" s="30" t="s">
        <v>356</v>
      </c>
    </row>
  </sheetData>
  <hyperlinks>
    <hyperlink ref="A2" location="'3.1 Access Control'!A2" display="3.1.1" xr:uid="{00000000-0004-0000-1300-000000000000}"/>
    <hyperlink ref="A3" location="'3.1 Access Control'!A3" display="3.1.2" xr:uid="{00000000-0004-0000-1300-000001000000}"/>
    <hyperlink ref="A4" location="'3.1 Access Control'!A4" display="3.1.3" xr:uid="{00000000-0004-0000-1300-000002000000}"/>
    <hyperlink ref="A5" location="'3.1 Access Control'!A5" display="3.1.4" xr:uid="{00000000-0004-0000-1300-000003000000}"/>
    <hyperlink ref="A6" location="'3.1 Access Control'!A6" display="3.1.5" xr:uid="{00000000-0004-0000-1300-000004000000}"/>
    <hyperlink ref="A7" location="'3.1 Access Control'!A7" display="3.1.6" xr:uid="{00000000-0004-0000-1300-000005000000}"/>
    <hyperlink ref="A8" location="'3.1 Access Control'!A8" display="3.1.7" xr:uid="{00000000-0004-0000-1300-000006000000}"/>
    <hyperlink ref="A9" location="'3.1 Access Control'!A9" display="3.1.8" xr:uid="{00000000-0004-0000-1300-000007000000}"/>
    <hyperlink ref="A10" location="'3.1 Access Control'!A10" display="3.1.9" xr:uid="{00000000-0004-0000-1300-000008000000}"/>
    <hyperlink ref="A11" location="'3.1 Access Control'!A11" display="3.1.10" xr:uid="{00000000-0004-0000-1300-000009000000}"/>
    <hyperlink ref="A12" location="'3.1 Access Control'!A12" display="3.1.11" xr:uid="{00000000-0004-0000-1300-00000A000000}"/>
    <hyperlink ref="A13" location="'3.1 Access Control'!A13" display="3.1.12" xr:uid="{00000000-0004-0000-1300-00000B000000}"/>
    <hyperlink ref="A14" location="'3.1 Access Control'!A14" display="3.1.13" xr:uid="{00000000-0004-0000-1300-00000C000000}"/>
    <hyperlink ref="A15" location="'3.1 Access Control'!A15" display="3.1.14" xr:uid="{00000000-0004-0000-1300-00000D000000}"/>
    <hyperlink ref="A16:A21" location="'3.1 Access Control'!A1" display="3.1.15" xr:uid="{00000000-0004-0000-1300-00000E000000}"/>
    <hyperlink ref="A22:A23" location="'3.1 Access Control'!A1" display="3.1.21" xr:uid="{00000000-0004-0000-1300-00000F000000}"/>
    <hyperlink ref="A24:A26" location="'3.2 Awareness and Training'!A1" display="3.2.1" xr:uid="{00000000-0004-0000-1300-000010000000}"/>
    <hyperlink ref="A27:A35" location="'3.3 Audit and Accountability'!A1" display="3.3.1" xr:uid="{00000000-0004-0000-1300-000011000000}"/>
    <hyperlink ref="A36:A44" location="'3.4 Configuration Management'!A1" display="3.4.1" xr:uid="{00000000-0004-0000-1300-000012000000}"/>
    <hyperlink ref="A45:A55" location="'3.5 Identification and Auth.'!A1" display="3.5.1" xr:uid="{00000000-0004-0000-1300-000013000000}"/>
    <hyperlink ref="A56:A58" location="'3.6 Incident Response'!A1" display="3.6.1" xr:uid="{00000000-0004-0000-1300-000014000000}"/>
    <hyperlink ref="A59:A64" location="'3.7 Maintenance'!A1" display="3.7.1" xr:uid="{00000000-0004-0000-1300-000015000000}"/>
    <hyperlink ref="A65" location="'3.8 Media Protection'!A2" display="3.8.1" xr:uid="{00000000-0004-0000-1300-000016000000}"/>
    <hyperlink ref="A66:A73" location="'3.8 Media Protection'!A1" display="3.8.2" xr:uid="{00000000-0004-0000-1300-000017000000}"/>
    <hyperlink ref="A74:A75" location="'3.9 Personnel Security'!A1" display="3.9.1" xr:uid="{00000000-0004-0000-1300-000018000000}"/>
    <hyperlink ref="A76:A81" location="'3.10 Physical Protection'!A1" display="3.10.1" xr:uid="{00000000-0004-0000-1300-000019000000}"/>
    <hyperlink ref="A82:A84" location="'3.11 Risk Assessment'!A1" display="3.11.1" xr:uid="{00000000-0004-0000-1300-00001A000000}"/>
    <hyperlink ref="A85:A88" location="'3.12 Security Assessment'!A1" display="3.12.1" xr:uid="{00000000-0004-0000-1300-00001B000000}"/>
    <hyperlink ref="A89:A104" location="'3.13 System and Communications'!A1" display="3.13.1" xr:uid="{00000000-0004-0000-1300-00001C000000}"/>
    <hyperlink ref="A105:A111" location="'3.14 System and Information'!A1" display="3.14.1" xr:uid="{00000000-0004-0000-1300-00001D000000}"/>
    <hyperlink ref="A16" location="'3.1 Access Control'!A16" display="3.1.15" xr:uid="{00000000-0004-0000-1300-00001E000000}"/>
    <hyperlink ref="A17" location="'3.1 Access Control'!A17" display="3.1.16" xr:uid="{00000000-0004-0000-1300-00001F000000}"/>
    <hyperlink ref="A18" location="'3.1 Access Control'!A18" display="3.1.17" xr:uid="{00000000-0004-0000-1300-000020000000}"/>
    <hyperlink ref="A19" location="'3.1 Access Control'!A19" display="3.1.18" xr:uid="{00000000-0004-0000-1300-000021000000}"/>
    <hyperlink ref="A20" location="'3.1 Access Control'!A20" display="3.1.19" xr:uid="{00000000-0004-0000-1300-000022000000}"/>
    <hyperlink ref="A21" location="'3.1 Access Control'!A21" display="3.1.20" xr:uid="{00000000-0004-0000-1300-000023000000}"/>
    <hyperlink ref="A22" location="'3.1 Access Control'!A22" display="3.1.21" xr:uid="{00000000-0004-0000-1300-000024000000}"/>
    <hyperlink ref="A23" location="'3.1 Access Control'!A23" display="3.1.22" xr:uid="{00000000-0004-0000-1300-000025000000}"/>
    <hyperlink ref="A24" location="'3.2 Awareness and Training'!A2" display="3.2.1" xr:uid="{00000000-0004-0000-1300-000026000000}"/>
    <hyperlink ref="A25" location="'3.2 Awareness and Training'!A3" display="3.2.2" xr:uid="{00000000-0004-0000-1300-000027000000}"/>
    <hyperlink ref="A26" location="'3.2 Awareness and Training'!A4" display="3.2.3" xr:uid="{00000000-0004-0000-1300-000028000000}"/>
    <hyperlink ref="A27" location="'3.3 Audit and Accountability'!A2" display="3.3.1" xr:uid="{00000000-0004-0000-1300-000029000000}"/>
    <hyperlink ref="A28" location="'3.3 Audit and Accountability'!A3" display="3.3.2" xr:uid="{00000000-0004-0000-1300-00002A000000}"/>
    <hyperlink ref="A29" location="'3.3 Audit and Accountability'!A4" display="3.3.3" xr:uid="{00000000-0004-0000-1300-00002B000000}"/>
    <hyperlink ref="A30" location="'3.3 Audit and Accountability'!A5" display="3.3.4" xr:uid="{00000000-0004-0000-1300-00002C000000}"/>
    <hyperlink ref="A31" location="'3.3 Audit and Accountability'!A6" display="3.3.5" xr:uid="{00000000-0004-0000-1300-00002D000000}"/>
    <hyperlink ref="A32" location="'3.3 Audit and Accountability'!A7" display="3.3.6" xr:uid="{00000000-0004-0000-1300-00002E000000}"/>
    <hyperlink ref="A33" location="'3.3 Audit and Accountability'!A8" display="3.3.7" xr:uid="{00000000-0004-0000-1300-00002F000000}"/>
    <hyperlink ref="A34" location="'3.3 Audit and Accountability'!A9" display="3.3.8" xr:uid="{00000000-0004-0000-1300-000030000000}"/>
    <hyperlink ref="A35" location="'3.3 Audit and Accountability'!A10" display="3.3.9" xr:uid="{00000000-0004-0000-1300-000031000000}"/>
    <hyperlink ref="A36" location="'3.4 Configuration Management'!A2" display="3.4.1" xr:uid="{00000000-0004-0000-1300-000032000000}"/>
    <hyperlink ref="A37" location="'3.4 Configuration Management'!A3" display="3.4.2" xr:uid="{00000000-0004-0000-1300-000033000000}"/>
    <hyperlink ref="A38" location="'3.4 Configuration Management'!A4" display="3.4.3" xr:uid="{00000000-0004-0000-1300-000034000000}"/>
    <hyperlink ref="A39" location="'3.4 Configuration Management'!A5" display="3.4.4" xr:uid="{00000000-0004-0000-1300-000035000000}"/>
    <hyperlink ref="A40" location="'3.4 Configuration Management'!A6" display="3.4.5" xr:uid="{00000000-0004-0000-1300-000036000000}"/>
    <hyperlink ref="A41" location="'3.4 Configuration Management'!A7" display="3.4.6" xr:uid="{00000000-0004-0000-1300-000037000000}"/>
    <hyperlink ref="A42" location="'3.4 Configuration Management'!A8" display="3.4.7" xr:uid="{00000000-0004-0000-1300-000038000000}"/>
    <hyperlink ref="A43" location="'3.4 Configuration Management'!A9" display="3.4.8" xr:uid="{00000000-0004-0000-1300-000039000000}"/>
    <hyperlink ref="A44" location="'3.4 Configuration Management'!A10" display="3.4.9" xr:uid="{00000000-0004-0000-1300-00003A000000}"/>
    <hyperlink ref="A45" location="'3.5 Identification and Auth.'!A2" display="3.5.1" xr:uid="{00000000-0004-0000-1300-00003B000000}"/>
    <hyperlink ref="A46" location="'3.5 Identification and Auth.'!A3" display="3.5.2" xr:uid="{00000000-0004-0000-1300-00003C000000}"/>
    <hyperlink ref="A47" location="'3.5 Identification and Auth.'!A4" display="3.5.3" xr:uid="{00000000-0004-0000-1300-00003D000000}"/>
    <hyperlink ref="A48" location="'3.5 Identification and Auth.'!A5" display="3.5.4" xr:uid="{00000000-0004-0000-1300-00003E000000}"/>
    <hyperlink ref="A49" location="'3.5 Identification and Auth.'!A6" display="3.5.5" xr:uid="{00000000-0004-0000-1300-00003F000000}"/>
    <hyperlink ref="A50" location="'3.5 Identification and Auth.'!A7" display="3.5.6" xr:uid="{00000000-0004-0000-1300-000040000000}"/>
    <hyperlink ref="A51" location="'3.5 Identification and Auth.'!A8" display="3.5.7" xr:uid="{00000000-0004-0000-1300-000041000000}"/>
    <hyperlink ref="A52" location="'3.5 Identification and Auth.'!A9" display="3.5.8" xr:uid="{00000000-0004-0000-1300-000042000000}"/>
    <hyperlink ref="A53" location="'3.5 Identification and Auth.'!A10" display="3.5.9" xr:uid="{00000000-0004-0000-1300-000043000000}"/>
    <hyperlink ref="A54" location="'3.5 Identification and Auth.'!A11" display="3.5.10" xr:uid="{00000000-0004-0000-1300-000044000000}"/>
    <hyperlink ref="A55" location="'3.5 Identification and Auth.'!A12" display="3.5.11" xr:uid="{00000000-0004-0000-1300-000045000000}"/>
    <hyperlink ref="A56" location="'3.6 Incident Response'!A2" display="3.6.1" xr:uid="{00000000-0004-0000-1300-000046000000}"/>
    <hyperlink ref="A57" location="'3.6 Incident Response'!A3" display="3.6.2" xr:uid="{00000000-0004-0000-1300-000047000000}"/>
    <hyperlink ref="A58" location="'3.6 Incident Response'!A4" display="3.6.3" xr:uid="{00000000-0004-0000-1300-000048000000}"/>
    <hyperlink ref="A59" location="'3.7 Maintenance'!A2" display="3.7.1" xr:uid="{00000000-0004-0000-1300-000049000000}"/>
    <hyperlink ref="A60" location="'3.7 Maintenance'!A3" display="3.7.2" xr:uid="{00000000-0004-0000-1300-00004A000000}"/>
    <hyperlink ref="A61" location="'3.7 Maintenance'!A4" display="3.7.3" xr:uid="{00000000-0004-0000-1300-00004B000000}"/>
    <hyperlink ref="A62" location="'3.7 Maintenance'!A5" display="3.7.4" xr:uid="{00000000-0004-0000-1300-00004C000000}"/>
    <hyperlink ref="A63" location="'3.7 Maintenance'!A6" display="3.7.5" xr:uid="{00000000-0004-0000-1300-00004D000000}"/>
    <hyperlink ref="A64" location="'3.7 Maintenance'!A7" display="3.7.6" xr:uid="{00000000-0004-0000-1300-00004E000000}"/>
    <hyperlink ref="A66" location="'3.8 Media Protection'!A3" display="3.8.2" xr:uid="{00000000-0004-0000-1300-00004F000000}"/>
    <hyperlink ref="A67" location="'3.8 Media Protection'!A4" display="3.8.3" xr:uid="{00000000-0004-0000-1300-000050000000}"/>
    <hyperlink ref="A68" location="'3.8 Media Protection'!A5" display="3.8.4" xr:uid="{00000000-0004-0000-1300-000051000000}"/>
    <hyperlink ref="A69" location="'3.8 Media Protection'!A6" display="3.8.5" xr:uid="{00000000-0004-0000-1300-000052000000}"/>
    <hyperlink ref="A70" location="'3.8 Media Protection'!A7" display="3.8.6" xr:uid="{00000000-0004-0000-1300-000053000000}"/>
    <hyperlink ref="A71" location="'3.8 Media Protection'!A8" display="3.8.7" xr:uid="{00000000-0004-0000-1300-000054000000}"/>
    <hyperlink ref="A72" location="'3.8 Media Protection'!A9" display="3.8.8" xr:uid="{00000000-0004-0000-1300-000055000000}"/>
    <hyperlink ref="A73" location="'3.8 Media Protection'!A10" display="3.8.9" xr:uid="{00000000-0004-0000-1300-000056000000}"/>
    <hyperlink ref="A74" location="'3.9 Personnel Security'!A2" display="3.9.1" xr:uid="{00000000-0004-0000-1300-000057000000}"/>
    <hyperlink ref="A75" location="'3.9 Personnel Security'!A3" display="3.9.2" xr:uid="{00000000-0004-0000-1300-000058000000}"/>
    <hyperlink ref="A76" location="'3.10 Physical Protection'!A2" display="3.10.1" xr:uid="{00000000-0004-0000-1300-000059000000}"/>
    <hyperlink ref="A77" location="'3.10 Physical Protection'!A3" display="3.10.2" xr:uid="{00000000-0004-0000-1300-00005A000000}"/>
    <hyperlink ref="A78" location="'3.10 Physical Protection'!A4" display="3.10.3" xr:uid="{00000000-0004-0000-1300-00005B000000}"/>
    <hyperlink ref="A79" location="'3.10 Physical Protection'!A5" display="3.10.4" xr:uid="{00000000-0004-0000-1300-00005C000000}"/>
    <hyperlink ref="A80" location="'3.10 Physical Protection'!A6" display="3.10.5" xr:uid="{00000000-0004-0000-1300-00005D000000}"/>
    <hyperlink ref="A81" location="'3.10 Physical Protection'!A7" display="3.10.6" xr:uid="{00000000-0004-0000-1300-00005E000000}"/>
    <hyperlink ref="A82" location="'3.11 Risk Assessment'!A2" display="3.11.1" xr:uid="{00000000-0004-0000-1300-00005F000000}"/>
    <hyperlink ref="A83" location="'3.11 Risk Assessment'!A3" display="3.11.2" xr:uid="{00000000-0004-0000-1300-000060000000}"/>
    <hyperlink ref="A84" location="'3.11 Risk Assessment'!A4" display="3.11.3" xr:uid="{00000000-0004-0000-1300-000061000000}"/>
    <hyperlink ref="A85" location="'3.12 Security Assessment'!A2" display="3.12.1" xr:uid="{00000000-0004-0000-1300-000062000000}"/>
    <hyperlink ref="A86" location="'3.12 Security Assessment'!A3" display="3.12.2" xr:uid="{00000000-0004-0000-1300-000063000000}"/>
    <hyperlink ref="A87" location="'3.12 Security Assessment'!A4" display="3.12.3" xr:uid="{00000000-0004-0000-1300-000064000000}"/>
    <hyperlink ref="A88" location="'3.12 Security Assessment'!A5" display="3.12.4" xr:uid="{00000000-0004-0000-1300-000065000000}"/>
    <hyperlink ref="A89" location="'3.13 System and Communications'!A2" display="3.13.1" xr:uid="{00000000-0004-0000-1300-000066000000}"/>
    <hyperlink ref="A90" location="'3.13 System and Communications'!A3" display="3.13.2" xr:uid="{00000000-0004-0000-1300-000067000000}"/>
    <hyperlink ref="A91" location="'3.13 System and Communications'!A4" display="3.13.3" xr:uid="{00000000-0004-0000-1300-000068000000}"/>
    <hyperlink ref="A92" location="'3.13 System and Communications'!A5" display="3.13.4" xr:uid="{00000000-0004-0000-1300-000069000000}"/>
    <hyperlink ref="A93" location="'3.13 System and Communications'!A6" display="3.13.5" xr:uid="{00000000-0004-0000-1300-00006A000000}"/>
    <hyperlink ref="A94" location="'3.13 System and Communications'!A7" display="3.13.6" xr:uid="{00000000-0004-0000-1300-00006B000000}"/>
    <hyperlink ref="A95" location="'3.13 System and Communications'!A8" display="3.13.7" xr:uid="{00000000-0004-0000-1300-00006C000000}"/>
    <hyperlink ref="A96" location="'3.13 System and Communications'!A9" display="3.13.8" xr:uid="{00000000-0004-0000-1300-00006D000000}"/>
    <hyperlink ref="A97" location="'3.13 System and Communications'!A10" display="3.13.9" xr:uid="{00000000-0004-0000-1300-00006E000000}"/>
    <hyperlink ref="A98" location="'3.13 System and Communications'!A11" display="3.13.10" xr:uid="{00000000-0004-0000-1300-00006F000000}"/>
    <hyperlink ref="A99" location="'3.13 System and Communications'!A12" display="3.13.11" xr:uid="{00000000-0004-0000-1300-000070000000}"/>
    <hyperlink ref="A100" location="'3.13 System and Communications'!A13" display="3.13.12" xr:uid="{00000000-0004-0000-1300-000071000000}"/>
    <hyperlink ref="A101" location="'3.13 System and Communications'!A14" display="3.13.13" xr:uid="{00000000-0004-0000-1300-000072000000}"/>
    <hyperlink ref="A102" location="'3.13 System and Communications'!A15" display="3.13.14" xr:uid="{00000000-0004-0000-1300-000073000000}"/>
    <hyperlink ref="A103" location="'3.13 System and Communications'!A16" display="3.13.15" xr:uid="{00000000-0004-0000-1300-000074000000}"/>
    <hyperlink ref="A104" location="'3.13 System and Communications'!A17" display="3.13.16" xr:uid="{00000000-0004-0000-1300-000075000000}"/>
    <hyperlink ref="A105" location="'3.14 System and Information'!A2" display="3.14.1" xr:uid="{00000000-0004-0000-1300-000076000000}"/>
    <hyperlink ref="A106" location="'3.14 System and Information'!A3" display="3.14.2" xr:uid="{00000000-0004-0000-1300-000077000000}"/>
    <hyperlink ref="A107" location="'3.14 System and Information'!A4" display="3.14.3" xr:uid="{00000000-0004-0000-1300-000078000000}"/>
    <hyperlink ref="A108" location="'3.14 System and Information'!A5" display="3.14.4" xr:uid="{00000000-0004-0000-1300-000079000000}"/>
    <hyperlink ref="A109" location="'3.14 System and Information'!A6" display="3.14.5" xr:uid="{00000000-0004-0000-1300-00007A000000}"/>
    <hyperlink ref="A110" location="'3.14 System and Information'!A7" display="3.14.6" xr:uid="{00000000-0004-0000-1300-00007B000000}"/>
    <hyperlink ref="A111" location="'3.14 System and Information'!A8" display="3.14.7" xr:uid="{00000000-0004-0000-1300-00007C000000}"/>
  </hyperlinks>
  <pageMargins left="0.7" right="0.7" top="0.75" bottom="0.75" header="0.3" footer="0.3"/>
  <pageSetup orientation="landscape" r:id="rId1"/>
  <headerFooter>
    <oddHeader>&amp;L&amp;D &amp;T&amp;C&amp;A</oddHead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1"/>
  <sheetViews>
    <sheetView zoomScaleNormal="100" workbookViewId="0">
      <selection activeCell="E11" sqref="E11"/>
    </sheetView>
  </sheetViews>
  <sheetFormatPr defaultColWidth="8.7109375" defaultRowHeight="15" x14ac:dyDescent="0.25"/>
  <cols>
    <col min="1" max="1" width="10.85546875" style="3" customWidth="1"/>
    <col min="2" max="2" width="75.140625" style="1" bestFit="1" customWidth="1"/>
    <col min="3" max="3" width="27.28515625" style="3" customWidth="1"/>
    <col min="4" max="4" width="6.85546875" style="2" hidden="1" customWidth="1"/>
    <col min="5" max="5" width="53.85546875" customWidth="1"/>
    <col min="6" max="6" width="15.28515625" style="2" hidden="1" customWidth="1"/>
  </cols>
  <sheetData>
    <row r="1" spans="1:6" s="20" customFormat="1" ht="18.75" x14ac:dyDescent="0.3">
      <c r="A1" s="17">
        <v>3.1</v>
      </c>
      <c r="B1" s="18" t="s">
        <v>3</v>
      </c>
      <c r="C1" s="17" t="s">
        <v>232</v>
      </c>
      <c r="D1" s="20" t="s">
        <v>236</v>
      </c>
      <c r="F1" s="19" t="s">
        <v>366</v>
      </c>
    </row>
    <row r="2" spans="1:6" ht="30" x14ac:dyDescent="0.25">
      <c r="A2" s="11" t="str">
        <f>HYPERLINK("#Reference!A2","3.1.1")</f>
        <v>3.1.1</v>
      </c>
      <c r="B2" s="1" t="s">
        <v>1</v>
      </c>
      <c r="D2" s="2">
        <f>IF(C2 = "Implemented", 0, IF(C2 = "Planned to be implemented", -5, -5))</f>
        <v>-5</v>
      </c>
      <c r="F2" s="21">
        <f>SUM(D2:D23)</f>
        <v>-29</v>
      </c>
    </row>
    <row r="3" spans="1:6" ht="30" x14ac:dyDescent="0.25">
      <c r="A3" s="11" t="str">
        <f>HYPERLINK("#Reference!$A3","3.1.2")</f>
        <v>3.1.2</v>
      </c>
      <c r="B3" s="1" t="s">
        <v>4</v>
      </c>
      <c r="D3" s="2">
        <f t="shared" ref="D3" si="0">IF(C3 = "Implemented", 0, IF(C3 = "Planned to be implemented", -5, -5))</f>
        <v>-5</v>
      </c>
    </row>
    <row r="4" spans="1:6" x14ac:dyDescent="0.25">
      <c r="A4" s="11" t="str">
        <f>HYPERLINK("#Reference!A4","3.1.3")</f>
        <v>3.1.3</v>
      </c>
      <c r="B4" s="1" t="s">
        <v>5</v>
      </c>
      <c r="D4" s="2">
        <f>IF(C4 = "Implemented", 0, IF(C4 = "Planned to be implemented", -1, -1))</f>
        <v>-1</v>
      </c>
    </row>
    <row r="5" spans="1:6" ht="30" x14ac:dyDescent="0.25">
      <c r="A5" s="11" t="str">
        <f>HYPERLINK("#Reference!A5","3.1.4")</f>
        <v>3.1.4</v>
      </c>
      <c r="B5" s="1" t="s">
        <v>6</v>
      </c>
      <c r="D5" s="2">
        <f t="shared" ref="D5:D23" si="1">IF(C5 = "Implemented", 0, IF(C5 = "Planned to be implemented", -1, -1))</f>
        <v>-1</v>
      </c>
    </row>
    <row r="6" spans="1:6" ht="30" x14ac:dyDescent="0.25">
      <c r="A6" s="11" t="str">
        <f>HYPERLINK("#Reference!A6","3.1.5")</f>
        <v>3.1.5</v>
      </c>
      <c r="B6" s="1" t="s">
        <v>7</v>
      </c>
      <c r="D6" s="2">
        <f>IF(C6 = "Implemented", 0, IF(C6 = "Planned to be implemented", -3, -3))</f>
        <v>-3</v>
      </c>
    </row>
    <row r="7" spans="1:6" x14ac:dyDescent="0.25">
      <c r="A7" s="11" t="str">
        <f>HYPERLINK("#Reference!A7","3.1.6")</f>
        <v>3.1.6</v>
      </c>
      <c r="B7" s="1" t="s">
        <v>8</v>
      </c>
      <c r="D7" s="2">
        <f t="shared" si="1"/>
        <v>-1</v>
      </c>
    </row>
    <row r="8" spans="1:6" ht="30" x14ac:dyDescent="0.25">
      <c r="A8" s="11" t="str">
        <f>HYPERLINK("#Reference!A8","3.1.7")</f>
        <v>3.1.7</v>
      </c>
      <c r="B8" s="1" t="s">
        <v>9</v>
      </c>
      <c r="D8" s="2">
        <f t="shared" si="1"/>
        <v>-1</v>
      </c>
    </row>
    <row r="9" spans="1:6" x14ac:dyDescent="0.25">
      <c r="A9" s="11" t="str">
        <f>HYPERLINK("#Reference!A9","3.1.8")</f>
        <v>3.1.8</v>
      </c>
      <c r="B9" s="1" t="s">
        <v>10</v>
      </c>
      <c r="D9" s="2">
        <f t="shared" si="1"/>
        <v>-1</v>
      </c>
    </row>
    <row r="10" spans="1:6" x14ac:dyDescent="0.25">
      <c r="A10" s="11" t="str">
        <f>HYPERLINK("#Reference!A10","3.1.9")</f>
        <v>3.1.9</v>
      </c>
      <c r="B10" s="1" t="s">
        <v>11</v>
      </c>
      <c r="D10" s="2">
        <f t="shared" si="1"/>
        <v>-1</v>
      </c>
    </row>
    <row r="11" spans="1:6" ht="30" x14ac:dyDescent="0.25">
      <c r="A11" s="11" t="str">
        <f>HYPERLINK("#Reference!A11","3.1.10")</f>
        <v>3.1.10</v>
      </c>
      <c r="B11" s="1" t="s">
        <v>12</v>
      </c>
      <c r="D11" s="2">
        <f t="shared" si="1"/>
        <v>-1</v>
      </c>
    </row>
    <row r="12" spans="1:6" x14ac:dyDescent="0.25">
      <c r="A12" s="11" t="str">
        <f>HYPERLINK("#Reference!A12","3.1.11")</f>
        <v>3.1.11</v>
      </c>
      <c r="B12" s="1" t="s">
        <v>13</v>
      </c>
      <c r="D12" s="2">
        <f t="shared" si="1"/>
        <v>-1</v>
      </c>
    </row>
    <row r="13" spans="1:6" x14ac:dyDescent="0.25">
      <c r="A13" s="11" t="str">
        <f>HYPERLINK("#Reference!A13","3.1.12")</f>
        <v>3.1.12</v>
      </c>
      <c r="B13" s="1" t="s">
        <v>14</v>
      </c>
      <c r="D13" s="2">
        <f>IF(C13 = "Implemented", 0, IF(C13 = "Planned to be implemented", -5, 0))</f>
        <v>0</v>
      </c>
    </row>
    <row r="14" spans="1:6" ht="30" x14ac:dyDescent="0.25">
      <c r="A14" s="11" t="str">
        <f>HYPERLINK("#Reference!A14","3.1.13")</f>
        <v>3.1.13</v>
      </c>
      <c r="B14" s="1" t="s">
        <v>15</v>
      </c>
      <c r="D14" s="2">
        <f>IF(C14 = "Implemented", 0, IF(C14 = "Planned to be implemented", -5, 0))</f>
        <v>0</v>
      </c>
    </row>
    <row r="15" spans="1:6" x14ac:dyDescent="0.25">
      <c r="A15" s="11" t="str">
        <f>HYPERLINK("#Reference!A15","3.1.14")</f>
        <v>3.1.14</v>
      </c>
      <c r="B15" s="1" t="s">
        <v>16</v>
      </c>
      <c r="D15" s="2">
        <f t="shared" si="1"/>
        <v>-1</v>
      </c>
    </row>
    <row r="16" spans="1:6" ht="30" x14ac:dyDescent="0.25">
      <c r="A16" s="11" t="str">
        <f>HYPERLINK("#Reference!A16","3.1.15")</f>
        <v>3.1.15</v>
      </c>
      <c r="B16" s="1" t="s">
        <v>29</v>
      </c>
      <c r="D16" s="2">
        <f t="shared" si="1"/>
        <v>-1</v>
      </c>
    </row>
    <row r="17" spans="1:6" x14ac:dyDescent="0.25">
      <c r="A17" s="11" t="str">
        <f>HYPERLINK("#Reference!A17","3.1.16")</f>
        <v>3.1.16</v>
      </c>
      <c r="B17" s="1" t="s">
        <v>30</v>
      </c>
      <c r="D17" s="2">
        <f>IF(C17 = "Implemented", 0, IF(C17 = "Planned to be implemented", -5, 0))</f>
        <v>0</v>
      </c>
    </row>
    <row r="18" spans="1:6" x14ac:dyDescent="0.25">
      <c r="A18" s="11" t="str">
        <f>HYPERLINK("#Reference!A18","3.1.17")</f>
        <v>3.1.17</v>
      </c>
      <c r="B18" s="1" t="s">
        <v>31</v>
      </c>
      <c r="D18" s="2">
        <f t="shared" ref="D18:D19" si="2">IF(C18 = "Implemented", 0, IF(C18 = "Planned to be implemented", -5, 0))</f>
        <v>0</v>
      </c>
    </row>
    <row r="19" spans="1:6" x14ac:dyDescent="0.25">
      <c r="A19" s="11" t="str">
        <f>HYPERLINK("#Reference!A19","3.1.18")</f>
        <v>3.1.18</v>
      </c>
      <c r="B19" s="1" t="s">
        <v>32</v>
      </c>
      <c r="D19" s="2">
        <f t="shared" si="2"/>
        <v>0</v>
      </c>
    </row>
    <row r="20" spans="1:6" x14ac:dyDescent="0.25">
      <c r="A20" s="11" t="str">
        <f>HYPERLINK("#Reference!A20","3.1.19")</f>
        <v>3.1.19</v>
      </c>
      <c r="B20" s="1" t="s">
        <v>386</v>
      </c>
      <c r="D20" s="2">
        <f>IF(C20 = "Implemented", 0, IF(C20 = "Planned to be implemented", -3, -3))</f>
        <v>-3</v>
      </c>
    </row>
    <row r="21" spans="1:6" x14ac:dyDescent="0.25">
      <c r="A21" s="11" t="str">
        <f>HYPERLINK("#Reference!A21","3.1.20")</f>
        <v>3.1.20</v>
      </c>
      <c r="B21" s="1" t="s">
        <v>33</v>
      </c>
      <c r="D21" s="2">
        <f t="shared" si="1"/>
        <v>-1</v>
      </c>
    </row>
    <row r="22" spans="1:6" x14ac:dyDescent="0.25">
      <c r="A22" s="11" t="str">
        <f>HYPERLINK("#Reference!A22","3.1.21")</f>
        <v>3.1.21</v>
      </c>
      <c r="B22" s="1" t="s">
        <v>34</v>
      </c>
      <c r="D22" s="2">
        <f t="shared" si="1"/>
        <v>-1</v>
      </c>
    </row>
    <row r="23" spans="1:6" x14ac:dyDescent="0.25">
      <c r="A23" s="11" t="str">
        <f>HYPERLINK("#Reference!A23","3.1.22")</f>
        <v>3.1.22</v>
      </c>
      <c r="B23" s="1" t="s">
        <v>35</v>
      </c>
      <c r="D23" s="2">
        <f t="shared" si="1"/>
        <v>-1</v>
      </c>
    </row>
    <row r="24" spans="1:6" ht="18.75" x14ac:dyDescent="0.3">
      <c r="F24" s="20"/>
    </row>
    <row r="25" spans="1:6" s="25" customFormat="1" ht="18.75" x14ac:dyDescent="0.3">
      <c r="A25" s="24"/>
      <c r="C25" s="17"/>
      <c r="D25" s="20"/>
      <c r="E25"/>
      <c r="F25" s="20"/>
    </row>
    <row r="29" spans="1:6" ht="18.75" x14ac:dyDescent="0.3">
      <c r="F29" s="20"/>
    </row>
    <row r="30" spans="1:6" s="25" customFormat="1" ht="18.75" x14ac:dyDescent="0.3">
      <c r="A30" s="24"/>
      <c r="C30" s="17"/>
      <c r="D30" s="20"/>
      <c r="F30" s="2"/>
    </row>
    <row r="40" spans="1:6" ht="18.75" x14ac:dyDescent="0.3">
      <c r="F40" s="20"/>
    </row>
    <row r="41" spans="1:6" s="25" customFormat="1" ht="18.75" x14ac:dyDescent="0.3">
      <c r="A41" s="24"/>
      <c r="C41" s="17"/>
      <c r="D41" s="20"/>
      <c r="F41" s="2"/>
    </row>
  </sheetData>
  <protectedRanges>
    <protectedRange sqref="C2:C23" name="Range1"/>
  </protectedRanges>
  <phoneticPr fontId="2" type="noConversion"/>
  <dataValidations count="1">
    <dataValidation type="list" allowBlank="1" showInputMessage="1" showErrorMessage="1" sqref="C2:C45" xr:uid="{00000000-0002-0000-0200-000000000000}">
      <formula1>Options</formula1>
    </dataValidation>
  </dataValidations>
  <pageMargins left="0.7" right="0.7" top="0.75" bottom="0.75" header="0.3" footer="0.3"/>
  <pageSetup firstPageNumber="2" orientation="landscape" useFirstPageNumber="1" r:id="rId1"/>
  <headerFooter>
    <oddHeader>&amp;L&amp;D &amp;T&amp;C&amp;A</oddHeader>
    <oddFooter>&amp;R&amp;P</oddFooter>
  </headerFooter>
  <ignoredErrors>
    <ignoredError sqref="D4 D6"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dimension ref="A1:A5"/>
  <sheetViews>
    <sheetView workbookViewId="0">
      <selection activeCell="B13" sqref="B13"/>
    </sheetView>
  </sheetViews>
  <sheetFormatPr defaultRowHeight="15" x14ac:dyDescent="0.25"/>
  <sheetData>
    <row r="1" spans="1:1" x14ac:dyDescent="0.25">
      <c r="A1" t="s">
        <v>234</v>
      </c>
    </row>
    <row r="2" spans="1:1" x14ac:dyDescent="0.25">
      <c r="A2" t="s">
        <v>238</v>
      </c>
    </row>
    <row r="3" spans="1:1" x14ac:dyDescent="0.25">
      <c r="A3" t="s">
        <v>239</v>
      </c>
    </row>
    <row r="4" spans="1:1" x14ac:dyDescent="0.25">
      <c r="A4" t="s">
        <v>233</v>
      </c>
    </row>
    <row r="5" spans="1:1" x14ac:dyDescent="0.25">
      <c r="A5" t="s">
        <v>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4"/>
  <sheetViews>
    <sheetView zoomScaleNormal="100" workbookViewId="0">
      <selection activeCell="C2" sqref="C2"/>
    </sheetView>
  </sheetViews>
  <sheetFormatPr defaultColWidth="8.7109375" defaultRowHeight="15" x14ac:dyDescent="0.25"/>
  <cols>
    <col min="1" max="1" width="10.85546875" style="22" customWidth="1"/>
    <col min="2" max="2" width="76.140625" bestFit="1" customWidth="1"/>
    <col min="3" max="3" width="27.28515625" style="22" customWidth="1"/>
    <col min="4" max="4" width="6.85546875" style="2" hidden="1" customWidth="1"/>
    <col min="5" max="5" width="53.85546875" customWidth="1"/>
    <col min="6" max="6" width="14" style="2" hidden="1" customWidth="1"/>
  </cols>
  <sheetData>
    <row r="1" spans="1:6" ht="18.75" x14ac:dyDescent="0.3">
      <c r="A1" s="17">
        <v>3.2</v>
      </c>
      <c r="B1" s="18" t="s">
        <v>44</v>
      </c>
      <c r="C1" s="26" t="s">
        <v>232</v>
      </c>
      <c r="D1" s="20" t="s">
        <v>236</v>
      </c>
      <c r="E1" s="20"/>
      <c r="F1" s="19" t="s">
        <v>240</v>
      </c>
    </row>
    <row r="2" spans="1:6" ht="60" x14ac:dyDescent="0.25">
      <c r="A2" s="11" t="str">
        <f>HYPERLINK("#Reference!A24","3.2.1")</f>
        <v>3.2.1</v>
      </c>
      <c r="B2" s="1" t="s">
        <v>46</v>
      </c>
      <c r="D2" s="2">
        <f>IF(C2 = "Implemented", 0, IF(C2 = "Planned to be implemented", -5, -5))</f>
        <v>-5</v>
      </c>
      <c r="F2" s="21">
        <f>SUM(D2:D23)</f>
        <v>-11</v>
      </c>
    </row>
    <row r="3" spans="1:6" ht="30" x14ac:dyDescent="0.25">
      <c r="A3" s="11" t="str">
        <f>HYPERLINK("#Reference!A25","3.2.2")</f>
        <v>3.2.2</v>
      </c>
      <c r="B3" s="1" t="s">
        <v>47</v>
      </c>
      <c r="D3" s="2">
        <f t="shared" ref="D3" si="0">IF(C3 = "Implemented", 0, IF(C3 = "Planned to be implemented", -5, -5))</f>
        <v>-5</v>
      </c>
    </row>
    <row r="4" spans="1:6" ht="30" x14ac:dyDescent="0.25">
      <c r="A4" s="11" t="str">
        <f>HYPERLINK("#Reference!A26","3.2.3")</f>
        <v>3.2.3</v>
      </c>
      <c r="B4" s="1" t="s">
        <v>48</v>
      </c>
      <c r="D4" s="2">
        <f>IF(C4 = "Implemented", 0, IF(C4 = "Planned to be implemented", -1, -1))</f>
        <v>-1</v>
      </c>
    </row>
  </sheetData>
  <protectedRanges>
    <protectedRange sqref="C2:C4" name="Range1"/>
  </protectedRanges>
  <dataValidations count="1">
    <dataValidation type="list" allowBlank="1" showInputMessage="1" showErrorMessage="1" sqref="C2:C4" xr:uid="{00000000-0002-0000-0300-000000000000}">
      <formula1>Options</formula1>
    </dataValidation>
  </dataValidations>
  <pageMargins left="0.7" right="0.7" top="0.75" bottom="0.75" header="0.3" footer="0.3"/>
  <pageSetup firstPageNumber="3" orientation="landscape" useFirstPageNumber="1" r:id="rId1"/>
  <headerFooter>
    <oddHeader>&amp;L&amp;D &amp;T&amp;C&amp;A</oddHead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0"/>
  <sheetViews>
    <sheetView zoomScaleNormal="100" workbookViewId="0">
      <selection activeCell="C2" sqref="C2"/>
    </sheetView>
  </sheetViews>
  <sheetFormatPr defaultColWidth="8.7109375" defaultRowHeight="15" x14ac:dyDescent="0.25"/>
  <cols>
    <col min="1" max="1" width="10.85546875" style="22" customWidth="1"/>
    <col min="2" max="2" width="76.140625" bestFit="1" customWidth="1"/>
    <col min="3" max="3" width="27.28515625" style="22" customWidth="1"/>
    <col min="4" max="4" width="6.85546875" style="2" hidden="1" customWidth="1"/>
    <col min="5" max="5" width="53.85546875" customWidth="1"/>
    <col min="6" max="6" width="14.140625" style="2" hidden="1" customWidth="1"/>
  </cols>
  <sheetData>
    <row r="1" spans="1:6" ht="18.75" x14ac:dyDescent="0.3">
      <c r="A1" s="17">
        <v>3.3</v>
      </c>
      <c r="B1" s="18" t="s">
        <v>49</v>
      </c>
      <c r="C1" s="26" t="s">
        <v>232</v>
      </c>
      <c r="D1" s="19" t="s">
        <v>236</v>
      </c>
      <c r="E1" s="20"/>
      <c r="F1" s="19" t="s">
        <v>240</v>
      </c>
    </row>
    <row r="2" spans="1:6" ht="45" x14ac:dyDescent="0.25">
      <c r="A2" s="11" t="str">
        <f>HYPERLINK("#Reference!A27","3.3.1")</f>
        <v>3.3.1</v>
      </c>
      <c r="B2" s="1" t="s">
        <v>50</v>
      </c>
      <c r="D2" s="2">
        <f>IF(C2 = "Implemented", 0, IF(C2 = "Planned to be implemented", -5, -5))</f>
        <v>-5</v>
      </c>
      <c r="F2" s="21">
        <f>SUM(D2:D23)</f>
        <v>-19</v>
      </c>
    </row>
    <row r="3" spans="1:6" ht="30" x14ac:dyDescent="0.25">
      <c r="A3" s="11" t="str">
        <f>HYPERLINK("#Reference!A28","3.3.2")</f>
        <v>3.3.2</v>
      </c>
      <c r="B3" s="1" t="s">
        <v>51</v>
      </c>
      <c r="D3" s="2">
        <f>IF(C3 = "Implemented", 0, IF(C3 = "Planned to be implemented", -3, -3))</f>
        <v>-3</v>
      </c>
    </row>
    <row r="4" spans="1:6" x14ac:dyDescent="0.25">
      <c r="A4" s="11" t="str">
        <f>HYPERLINK("#Reference!A29","3.3.3")</f>
        <v>3.3.3</v>
      </c>
      <c r="B4" s="1" t="s">
        <v>52</v>
      </c>
      <c r="D4" s="2">
        <f>IF(C4 = "Implemented", 0, IF(C4 = "Planned to be implemented", -1, -1))</f>
        <v>-1</v>
      </c>
    </row>
    <row r="5" spans="1:6" x14ac:dyDescent="0.25">
      <c r="A5" s="11" t="str">
        <f>HYPERLINK("#Reference!A30","3.3.4")</f>
        <v>3.3.4</v>
      </c>
      <c r="B5" s="1" t="s">
        <v>53</v>
      </c>
      <c r="D5" s="2">
        <f>IF(C5 = "Implemented", 0, IF(C5 = "Planned to be implemented", -1, -1))</f>
        <v>-1</v>
      </c>
    </row>
    <row r="6" spans="1:6" ht="45" x14ac:dyDescent="0.25">
      <c r="A6" s="11" t="str">
        <f>HYPERLINK("#Reference!A31","3.3.5")</f>
        <v>3.3.5</v>
      </c>
      <c r="B6" s="1" t="s">
        <v>54</v>
      </c>
      <c r="D6" s="2">
        <f t="shared" ref="D6" si="0">IF(C6 = "Implemented", 0, IF(C6 = "Planned to be implemented", -5, -5))</f>
        <v>-5</v>
      </c>
    </row>
    <row r="7" spans="1:6" ht="30" x14ac:dyDescent="0.25">
      <c r="A7" s="11" t="str">
        <f>HYPERLINK("#Reference!A32","3.3.6")</f>
        <v>3.3.6</v>
      </c>
      <c r="B7" s="1" t="s">
        <v>55</v>
      </c>
      <c r="D7" s="2">
        <f>IF(C7 = "Implemented", 0, IF(C7 = "Planned to be implemented", -1, -1))</f>
        <v>-1</v>
      </c>
    </row>
    <row r="8" spans="1:6" ht="30" x14ac:dyDescent="0.25">
      <c r="A8" s="11" t="str">
        <f>HYPERLINK("#Reference!A33","3.3.7")</f>
        <v>3.3.7</v>
      </c>
      <c r="B8" s="1" t="s">
        <v>56</v>
      </c>
      <c r="D8" s="2">
        <f>IF(C8 = "Implemented", 0, IF(C8 = "Planned to be implemented", -1, -1))</f>
        <v>-1</v>
      </c>
    </row>
    <row r="9" spans="1:6" ht="30" x14ac:dyDescent="0.25">
      <c r="A9" s="11" t="str">
        <f>HYPERLINK("#Reference!A34","3.3.8")</f>
        <v>3.3.8</v>
      </c>
      <c r="B9" s="1" t="s">
        <v>57</v>
      </c>
      <c r="D9" s="2">
        <f t="shared" ref="D9:D10" si="1">IF(C9 = "Implemented", 0, IF(C9 = "Planned to be implemented", -1, -1))</f>
        <v>-1</v>
      </c>
    </row>
    <row r="10" spans="1:6" x14ac:dyDescent="0.25">
      <c r="A10" s="11" t="str">
        <f>HYPERLINK("#Reference!A35","3.3.9")</f>
        <v>3.3.9</v>
      </c>
      <c r="B10" s="1" t="s">
        <v>58</v>
      </c>
      <c r="D10" s="2">
        <f t="shared" si="1"/>
        <v>-1</v>
      </c>
    </row>
  </sheetData>
  <protectedRanges>
    <protectedRange sqref="C2:C10" name="Range1"/>
  </protectedRanges>
  <dataValidations count="1">
    <dataValidation type="list" allowBlank="1" showInputMessage="1" showErrorMessage="1" sqref="C2:C10" xr:uid="{00000000-0002-0000-0400-000000000000}">
      <formula1>Options</formula1>
    </dataValidation>
  </dataValidations>
  <pageMargins left="0.7" right="0.7" top="0.75" bottom="0.75" header="0.3" footer="0.3"/>
  <pageSetup firstPageNumber="4" orientation="landscape" useFirstPageNumber="1" r:id="rId1"/>
  <headerFooter>
    <oddHeader>&amp;L&amp;D &amp;T&amp;C&amp;A</oddHeader>
    <oddFooter>&amp;R&amp;P</oddFooter>
  </headerFooter>
  <ignoredErrors>
    <ignoredError sqref="D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10"/>
  <sheetViews>
    <sheetView zoomScaleNormal="100" workbookViewId="0">
      <selection activeCell="C2" sqref="C2"/>
    </sheetView>
  </sheetViews>
  <sheetFormatPr defaultColWidth="8.7109375" defaultRowHeight="15" x14ac:dyDescent="0.25"/>
  <cols>
    <col min="1" max="1" width="10.85546875" style="22" customWidth="1"/>
    <col min="2" max="2" width="76.28515625" customWidth="1"/>
    <col min="3" max="3" width="27.28515625" style="22" customWidth="1"/>
    <col min="4" max="4" width="6.85546875" style="2" hidden="1" customWidth="1"/>
    <col min="5" max="5" width="53.85546875" customWidth="1"/>
    <col min="6" max="6" width="13.85546875" style="2" hidden="1" customWidth="1"/>
  </cols>
  <sheetData>
    <row r="1" spans="1:6" ht="18.75" x14ac:dyDescent="0.3">
      <c r="A1" s="17">
        <v>3.4</v>
      </c>
      <c r="B1" s="18" t="s">
        <v>59</v>
      </c>
      <c r="C1" s="26" t="s">
        <v>232</v>
      </c>
      <c r="D1" s="19" t="s">
        <v>236</v>
      </c>
      <c r="E1" s="20"/>
      <c r="F1" s="19" t="s">
        <v>240</v>
      </c>
    </row>
    <row r="2" spans="1:6" ht="45" x14ac:dyDescent="0.25">
      <c r="A2" s="11" t="str">
        <f>HYPERLINK("#Reference!A36","3.4.1")</f>
        <v>3.4.1</v>
      </c>
      <c r="B2" s="1" t="s">
        <v>60</v>
      </c>
      <c r="D2" s="2">
        <f>IF(C2 = "Implemented", 0, IF(C2 = "Planned to be implemented", -5, -5))</f>
        <v>-5</v>
      </c>
      <c r="F2" s="21">
        <f>SUM(D2:D23)</f>
        <v>-33</v>
      </c>
    </row>
    <row r="3" spans="1:6" ht="30" x14ac:dyDescent="0.25">
      <c r="A3" s="11" t="str">
        <f>HYPERLINK("#Reference!A37","3.4.2")</f>
        <v>3.4.2</v>
      </c>
      <c r="B3" s="1" t="s">
        <v>61</v>
      </c>
      <c r="D3" s="2">
        <f t="shared" ref="D3:D9" si="0">IF(C3 = "Implemented", 0, IF(C3 = "Planned to be implemented", -5, -5))</f>
        <v>-5</v>
      </c>
    </row>
    <row r="4" spans="1:6" x14ac:dyDescent="0.25">
      <c r="A4" s="11" t="str">
        <f>HYPERLINK("#Reference!A38","3.4.3")</f>
        <v>3.4.3</v>
      </c>
      <c r="B4" s="1" t="s">
        <v>62</v>
      </c>
      <c r="D4" s="2">
        <f>IF(C4 = "Implemented", 0, IF(C4 = "Planned to be implemented", -1, -1))</f>
        <v>-1</v>
      </c>
    </row>
    <row r="5" spans="1:6" x14ac:dyDescent="0.25">
      <c r="A5" s="11" t="str">
        <f>HYPERLINK("#Reference!A39","3.4.4")</f>
        <v>3.4.4</v>
      </c>
      <c r="B5" s="1" t="s">
        <v>63</v>
      </c>
      <c r="D5" s="2">
        <f>IF(C5 = "Implemented", 0, IF(C5 = "Planned to be implemented", -1, -1))</f>
        <v>-1</v>
      </c>
    </row>
    <row r="6" spans="1:6" ht="30" x14ac:dyDescent="0.25">
      <c r="A6" s="11" t="str">
        <f>HYPERLINK("#Reference!A40","3.4.5")</f>
        <v>3.4.5</v>
      </c>
      <c r="B6" s="1" t="s">
        <v>64</v>
      </c>
      <c r="D6" s="2">
        <f t="shared" si="0"/>
        <v>-5</v>
      </c>
    </row>
    <row r="7" spans="1:6" ht="30" x14ac:dyDescent="0.25">
      <c r="A7" s="11" t="str">
        <f>HYPERLINK("#Reference!A41","3.4.6")</f>
        <v>3.4.6</v>
      </c>
      <c r="B7" s="1" t="s">
        <v>65</v>
      </c>
      <c r="D7" s="2">
        <f t="shared" si="0"/>
        <v>-5</v>
      </c>
    </row>
    <row r="8" spans="1:6" ht="30" x14ac:dyDescent="0.25">
      <c r="A8" s="11" t="str">
        <f>HYPERLINK("#Reference!A42","3.4.7")</f>
        <v>3.4.7</v>
      </c>
      <c r="B8" s="1" t="s">
        <v>66</v>
      </c>
      <c r="D8" s="2">
        <f t="shared" si="0"/>
        <v>-5</v>
      </c>
    </row>
    <row r="9" spans="1:6" ht="45" x14ac:dyDescent="0.25">
      <c r="A9" s="11" t="str">
        <f>HYPERLINK("#Reference!A43","3.4.8")</f>
        <v>3.4.8</v>
      </c>
      <c r="B9" s="1" t="s">
        <v>67</v>
      </c>
      <c r="D9" s="2">
        <f t="shared" si="0"/>
        <v>-5</v>
      </c>
    </row>
    <row r="10" spans="1:6" x14ac:dyDescent="0.25">
      <c r="A10" s="11" t="str">
        <f>HYPERLINK("#Reference!A44","3.4.9")</f>
        <v>3.4.9</v>
      </c>
      <c r="B10" s="1" t="s">
        <v>68</v>
      </c>
      <c r="D10" s="2">
        <f>IF(C10 = "Implemented", 0, IF(C10 = "Planned to be implemented", -1, -1))</f>
        <v>-1</v>
      </c>
    </row>
  </sheetData>
  <protectedRanges>
    <protectedRange sqref="C2:C10" name="Range1"/>
  </protectedRanges>
  <dataValidations count="1">
    <dataValidation type="list" allowBlank="1" showInputMessage="1" showErrorMessage="1" sqref="C2:C10" xr:uid="{00000000-0002-0000-0500-000000000000}">
      <formula1>Options</formula1>
    </dataValidation>
  </dataValidations>
  <pageMargins left="0.7" right="0.7" top="0.75" bottom="0.75" header="0.3" footer="0.3"/>
  <pageSetup firstPageNumber="5" orientation="landscape" useFirstPageNumber="1" r:id="rId1"/>
  <headerFooter>
    <oddHeader>&amp;L&amp;D &amp;T&amp;C&amp;A</oddHeader>
    <oddFooter>&amp;R&amp;P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12"/>
  <sheetViews>
    <sheetView zoomScaleNormal="100" workbookViewId="0">
      <selection activeCell="C2" sqref="C2"/>
    </sheetView>
  </sheetViews>
  <sheetFormatPr defaultColWidth="8.7109375" defaultRowHeight="15" x14ac:dyDescent="0.25"/>
  <cols>
    <col min="1" max="1" width="10.85546875" style="22" customWidth="1"/>
    <col min="2" max="2" width="76.28515625" customWidth="1"/>
    <col min="3" max="3" width="27.28515625" style="22" customWidth="1"/>
    <col min="4" max="4" width="6.85546875" style="2" hidden="1" customWidth="1"/>
    <col min="5" max="5" width="53.85546875" customWidth="1"/>
    <col min="6" max="6" width="13.5703125" style="2" hidden="1" customWidth="1"/>
  </cols>
  <sheetData>
    <row r="1" spans="1:6" ht="18.75" x14ac:dyDescent="0.3">
      <c r="A1" s="17">
        <v>3.5</v>
      </c>
      <c r="B1" s="18" t="s">
        <v>69</v>
      </c>
      <c r="C1" s="26" t="s">
        <v>232</v>
      </c>
      <c r="D1" s="19" t="s">
        <v>236</v>
      </c>
      <c r="E1" s="20"/>
      <c r="F1" s="19" t="s">
        <v>240</v>
      </c>
    </row>
    <row r="2" spans="1:6" x14ac:dyDescent="0.25">
      <c r="A2" s="11" t="str">
        <f>HYPERLINK("#Reference!A45","3.5.1")</f>
        <v>3.5.1</v>
      </c>
      <c r="B2" s="1" t="s">
        <v>70</v>
      </c>
      <c r="D2" s="2">
        <f>IF(C2 = "Implemented", 0, IF(C2 = "Planned to be implemented", -5, -5))</f>
        <v>-5</v>
      </c>
      <c r="F2" s="21">
        <f>SUM(D2:D23)</f>
        <v>-27</v>
      </c>
    </row>
    <row r="3" spans="1:6" ht="30" x14ac:dyDescent="0.25">
      <c r="A3" s="11" t="str">
        <f>HYPERLINK("#Reference!A46","3.5.2")</f>
        <v>3.5.2</v>
      </c>
      <c r="B3" s="1" t="s">
        <v>71</v>
      </c>
      <c r="D3" s="2">
        <f>IF(C3 = "Implemented", 0, IF(C3 = "Planned to be implemented", -5, -5))</f>
        <v>-5</v>
      </c>
    </row>
    <row r="4" spans="1:6" ht="30" x14ac:dyDescent="0.25">
      <c r="A4" s="11" t="str">
        <f>HYPERLINK("#Reference!A47","3.5.3")</f>
        <v>3.5.3</v>
      </c>
      <c r="B4" s="1" t="s">
        <v>72</v>
      </c>
      <c r="D4" s="2">
        <f>IF(C4 = "Implemented", 0, IF(C4 = "Planned to be implemented", -5, -5))</f>
        <v>-5</v>
      </c>
    </row>
    <row r="5" spans="1:6" ht="30" x14ac:dyDescent="0.25">
      <c r="A5" s="11" t="str">
        <f>HYPERLINK("#Reference!A48","3.5.4")</f>
        <v>3.5.4</v>
      </c>
      <c r="B5" s="1" t="s">
        <v>73</v>
      </c>
      <c r="D5" s="2">
        <f>IF(C5 = "Implemented", 0, IF(C5 = "Planned to be implemented", -1, -1))</f>
        <v>-1</v>
      </c>
    </row>
    <row r="6" spans="1:6" x14ac:dyDescent="0.25">
      <c r="A6" s="11" t="str">
        <f>HYPERLINK("#Reference!A49","3.5.5")</f>
        <v>3.5.5</v>
      </c>
      <c r="B6" s="1" t="s">
        <v>74</v>
      </c>
      <c r="D6" s="2">
        <f t="shared" ref="D6:D12" si="0">IF(C6 = "Implemented", 0, IF(C6 = "Planned to be implemented", -1, -1))</f>
        <v>-1</v>
      </c>
    </row>
    <row r="7" spans="1:6" x14ac:dyDescent="0.25">
      <c r="A7" s="11" t="str">
        <f>HYPERLINK("#Reference!A50","3.5.6")</f>
        <v>3.5.6</v>
      </c>
      <c r="B7" s="1" t="s">
        <v>75</v>
      </c>
      <c r="D7" s="2">
        <f t="shared" si="0"/>
        <v>-1</v>
      </c>
    </row>
    <row r="8" spans="1:6" ht="30" x14ac:dyDescent="0.25">
      <c r="A8" s="11" t="str">
        <f>HYPERLINK("#Reference!A51","3.5.7")</f>
        <v>3.5.7</v>
      </c>
      <c r="B8" s="1" t="s">
        <v>76</v>
      </c>
      <c r="D8" s="2">
        <f t="shared" si="0"/>
        <v>-1</v>
      </c>
    </row>
    <row r="9" spans="1:6" x14ac:dyDescent="0.25">
      <c r="A9" s="11" t="str">
        <f>HYPERLINK("#Reference!A52","3.5.8")</f>
        <v>3.5.8</v>
      </c>
      <c r="B9" s="1" t="s">
        <v>77</v>
      </c>
      <c r="D9" s="2">
        <f t="shared" si="0"/>
        <v>-1</v>
      </c>
    </row>
    <row r="10" spans="1:6" ht="30" x14ac:dyDescent="0.25">
      <c r="A10" s="11" t="str">
        <f>HYPERLINK("#Reference!A53","3.5.9")</f>
        <v>3.5.9</v>
      </c>
      <c r="B10" s="1" t="s">
        <v>78</v>
      </c>
      <c r="D10" s="2">
        <f t="shared" si="0"/>
        <v>-1</v>
      </c>
    </row>
    <row r="11" spans="1:6" x14ac:dyDescent="0.25">
      <c r="A11" s="11" t="str">
        <f>HYPERLINK("#Reference!A54","3.5.10")</f>
        <v>3.5.10</v>
      </c>
      <c r="B11" s="1" t="s">
        <v>79</v>
      </c>
      <c r="D11" s="2">
        <f>IF(C11 = "Implemented", 0, IF(C11 = "Planned to be implemented", -5, -5))</f>
        <v>-5</v>
      </c>
    </row>
    <row r="12" spans="1:6" x14ac:dyDescent="0.25">
      <c r="A12" s="11" t="str">
        <f>HYPERLINK("#Reference!A55","3.5.11")</f>
        <v>3.5.11</v>
      </c>
      <c r="B12" s="1" t="s">
        <v>80</v>
      </c>
      <c r="D12" s="2">
        <f t="shared" si="0"/>
        <v>-1</v>
      </c>
    </row>
  </sheetData>
  <protectedRanges>
    <protectedRange sqref="C2:C12" name="Range1"/>
  </protectedRanges>
  <dataValidations count="1">
    <dataValidation type="list" allowBlank="1" showInputMessage="1" showErrorMessage="1" sqref="C2:C12" xr:uid="{00000000-0002-0000-0600-000000000000}">
      <formula1>Options</formula1>
    </dataValidation>
  </dataValidations>
  <pageMargins left="0.7" right="0.7" top="0.75" bottom="0.75" header="0.3" footer="0.3"/>
  <pageSetup firstPageNumber="6" orientation="landscape" useFirstPageNumber="1" r:id="rId1"/>
  <headerFooter>
    <oddHeader>&amp;L&amp;D &amp;T&amp;C&amp;A</oddHeader>
    <oddFooter>&amp;R&amp;P</oddFooter>
  </headerFooter>
  <ignoredErrors>
    <ignoredError sqref="D1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4"/>
  <sheetViews>
    <sheetView zoomScaleNormal="100" workbookViewId="0">
      <selection activeCell="C2" sqref="C2"/>
    </sheetView>
  </sheetViews>
  <sheetFormatPr defaultColWidth="8.7109375" defaultRowHeight="15" x14ac:dyDescent="0.25"/>
  <cols>
    <col min="1" max="1" width="10.85546875" style="22" customWidth="1"/>
    <col min="2" max="2" width="72.42578125" bestFit="1" customWidth="1"/>
    <col min="3" max="3" width="27.28515625" style="22" customWidth="1"/>
    <col min="4" max="4" width="6.85546875" style="2" hidden="1" customWidth="1"/>
    <col min="5" max="5" width="53.85546875" customWidth="1"/>
    <col min="6" max="6" width="13.5703125" style="2" hidden="1" customWidth="1"/>
  </cols>
  <sheetData>
    <row r="1" spans="1:6" ht="18.75" x14ac:dyDescent="0.3">
      <c r="A1" s="17">
        <v>3.6</v>
      </c>
      <c r="B1" s="18" t="s">
        <v>81</v>
      </c>
      <c r="C1" s="26" t="s">
        <v>232</v>
      </c>
      <c r="D1" s="19" t="s">
        <v>236</v>
      </c>
      <c r="E1" s="20"/>
      <c r="F1" s="19" t="s">
        <v>240</v>
      </c>
    </row>
    <row r="2" spans="1:6" ht="45" x14ac:dyDescent="0.25">
      <c r="A2" s="11" t="str">
        <f>HYPERLINK("#Reference!A56","3.6.1")</f>
        <v>3.6.1</v>
      </c>
      <c r="B2" s="1" t="s">
        <v>82</v>
      </c>
      <c r="D2" s="2">
        <f>IF(C2 = "Implemented", 0, IF(C2 = "Planned to be implemented", -5, -5))</f>
        <v>-5</v>
      </c>
      <c r="F2" s="21">
        <f>SUM(D2:D23)</f>
        <v>-11</v>
      </c>
    </row>
    <row r="3" spans="1:6" ht="30" x14ac:dyDescent="0.25">
      <c r="A3" s="11" t="str">
        <f>HYPERLINK("#Reference!A57","3.6.2")</f>
        <v>3.6.2</v>
      </c>
      <c r="B3" s="1" t="s">
        <v>83</v>
      </c>
      <c r="D3" s="2">
        <f t="shared" ref="D3" si="0">IF(C3 = "Implemented", 0, IF(C3 = "Planned to be implemented", -5, -5))</f>
        <v>-5</v>
      </c>
    </row>
    <row r="4" spans="1:6" x14ac:dyDescent="0.25">
      <c r="A4" s="11" t="str">
        <f>HYPERLINK("#Reference!A58","3.6.3")</f>
        <v>3.6.3</v>
      </c>
      <c r="B4" s="1" t="s">
        <v>84</v>
      </c>
      <c r="D4" s="2">
        <f>IF(C4 = "Implemented", 0, IF(C4 = "Planned to be implemented", -1, -1))</f>
        <v>-1</v>
      </c>
    </row>
  </sheetData>
  <protectedRanges>
    <protectedRange sqref="C2:C4" name="Range1"/>
  </protectedRanges>
  <dataValidations count="1">
    <dataValidation type="list" allowBlank="1" showInputMessage="1" showErrorMessage="1" sqref="C2:C4" xr:uid="{00000000-0002-0000-0700-000000000000}">
      <formula1>Options</formula1>
    </dataValidation>
  </dataValidations>
  <pageMargins left="0.7" right="0.7" top="0.75" bottom="0.75" header="0.3" footer="0.3"/>
  <pageSetup firstPageNumber="7" orientation="landscape" useFirstPageNumber="1" r:id="rId1"/>
  <headerFooter>
    <oddHeader>&amp;L&amp;D &amp;T&amp;C&amp;A</oddHeader>
    <oddFooter>&amp;R&amp;P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F7"/>
  <sheetViews>
    <sheetView zoomScaleNormal="100" workbookViewId="0">
      <selection activeCell="C2" sqref="C2"/>
    </sheetView>
  </sheetViews>
  <sheetFormatPr defaultColWidth="8.7109375" defaultRowHeight="15" x14ac:dyDescent="0.25"/>
  <cols>
    <col min="1" max="1" width="10.85546875" style="22" customWidth="1"/>
    <col min="2" max="2" width="74.85546875" bestFit="1" customWidth="1"/>
    <col min="3" max="3" width="27.28515625" style="22" customWidth="1"/>
    <col min="4" max="4" width="6.85546875" style="2" hidden="1" customWidth="1"/>
    <col min="5" max="5" width="53.85546875" customWidth="1"/>
    <col min="6" max="6" width="13.5703125" style="2" hidden="1" customWidth="1"/>
  </cols>
  <sheetData>
    <row r="1" spans="1:6" ht="18.75" x14ac:dyDescent="0.3">
      <c r="A1" s="17">
        <v>3.7</v>
      </c>
      <c r="B1" s="18" t="s">
        <v>86</v>
      </c>
      <c r="C1" s="26" t="s">
        <v>232</v>
      </c>
      <c r="D1" s="19" t="s">
        <v>236</v>
      </c>
      <c r="E1" s="20"/>
      <c r="F1" s="19" t="s">
        <v>240</v>
      </c>
    </row>
    <row r="2" spans="1:6" x14ac:dyDescent="0.25">
      <c r="A2" s="11" t="str">
        <f>HYPERLINK("#Reference!A59","3.7.1")</f>
        <v>3.7.1</v>
      </c>
      <c r="B2" s="1" t="s">
        <v>85</v>
      </c>
      <c r="D2" s="2">
        <f>IF(C2 = "Implemented", 0, IF(C2 = "Planned to be implemented", -3, -3))</f>
        <v>-3</v>
      </c>
      <c r="F2" s="21">
        <f>SUM(D2:D23)</f>
        <v>-18</v>
      </c>
    </row>
    <row r="3" spans="1:6" ht="30" x14ac:dyDescent="0.25">
      <c r="A3" s="11" t="str">
        <f>HYPERLINK("#Reference!A60","3.7.2")</f>
        <v>3.7.2</v>
      </c>
      <c r="B3" s="1" t="s">
        <v>87</v>
      </c>
      <c r="D3" s="2">
        <f>IF(C3 = "Implemented", 0, IF(C3 = "Planned to be implemented", -5, -5))</f>
        <v>-5</v>
      </c>
    </row>
    <row r="4" spans="1:6" x14ac:dyDescent="0.25">
      <c r="A4" s="11" t="str">
        <f>HYPERLINK("#Reference!A61","3.7.3")</f>
        <v>3.7.3</v>
      </c>
      <c r="B4" s="1" t="s">
        <v>88</v>
      </c>
      <c r="D4" s="2">
        <f>IF(C4 = "Implemented", 0, IF(C4 = "Planned to be implemented", -1, -1))</f>
        <v>-1</v>
      </c>
    </row>
    <row r="5" spans="1:6" ht="30" x14ac:dyDescent="0.25">
      <c r="A5" s="11" t="str">
        <f>HYPERLINK("#Reference!A62","3.7.4")</f>
        <v>3.7.4</v>
      </c>
      <c r="B5" s="1" t="s">
        <v>89</v>
      </c>
      <c r="D5" s="2">
        <f t="shared" ref="D5" si="0">IF(C5 = "Implemented", 0, IF(C5 = "Planned to be implemented", -3, -3))</f>
        <v>-3</v>
      </c>
    </row>
    <row r="6" spans="1:6" ht="45" x14ac:dyDescent="0.25">
      <c r="A6" s="11" t="str">
        <f>HYPERLINK("#Reference!A63","3.7.5")</f>
        <v>3.7.5</v>
      </c>
      <c r="B6" s="1" t="s">
        <v>90</v>
      </c>
      <c r="D6" s="2">
        <f>IF(C6 = "Implemented", 0, IF(C6 = "Planned to be implemented", -5, -5))</f>
        <v>-5</v>
      </c>
    </row>
    <row r="7" spans="1:6" ht="30" x14ac:dyDescent="0.25">
      <c r="A7" s="11" t="str">
        <f>HYPERLINK("#Reference!A64","3.7.6")</f>
        <v>3.7.6</v>
      </c>
      <c r="B7" s="1" t="s">
        <v>91</v>
      </c>
      <c r="D7" s="2">
        <f>IF(C7 = "Implemented", 0, IF(C7 = "Planned to be implemented", -1, -1))</f>
        <v>-1</v>
      </c>
    </row>
  </sheetData>
  <protectedRanges>
    <protectedRange sqref="C2:C7" name="Range1"/>
  </protectedRanges>
  <dataValidations count="1">
    <dataValidation type="list" allowBlank="1" showInputMessage="1" showErrorMessage="1" sqref="C2:C7" xr:uid="{00000000-0002-0000-0800-000000000000}">
      <formula1>Options</formula1>
    </dataValidation>
  </dataValidations>
  <pageMargins left="0.7" right="0.7" top="0.75" bottom="0.75" header="0.3" footer="0.3"/>
  <pageSetup firstPageNumber="8" orientation="landscape" useFirstPageNumber="1" r:id="rId1"/>
  <headerFooter>
    <oddHeader>&amp;L&amp;D &amp;T&amp;C&amp;A</oddHeader>
    <oddFooter>&amp;R&amp;P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10"/>
  <sheetViews>
    <sheetView zoomScaleNormal="100" workbookViewId="0">
      <selection activeCell="C2" sqref="C2"/>
    </sheetView>
  </sheetViews>
  <sheetFormatPr defaultColWidth="8.7109375" defaultRowHeight="15" x14ac:dyDescent="0.25"/>
  <cols>
    <col min="1" max="1" width="10.85546875" style="22" customWidth="1"/>
    <col min="2" max="2" width="72.42578125" bestFit="1" customWidth="1"/>
    <col min="3" max="3" width="27.28515625" style="22" customWidth="1"/>
    <col min="4" max="4" width="6.85546875" style="2" hidden="1" customWidth="1"/>
    <col min="5" max="5" width="53.85546875" customWidth="1"/>
    <col min="6" max="6" width="13.5703125" style="2" hidden="1" customWidth="1"/>
  </cols>
  <sheetData>
    <row r="1" spans="1:6" ht="18.75" x14ac:dyDescent="0.3">
      <c r="A1" s="17">
        <v>3.8</v>
      </c>
      <c r="B1" s="18" t="s">
        <v>92</v>
      </c>
      <c r="C1" s="26" t="s">
        <v>232</v>
      </c>
      <c r="D1" s="19" t="s">
        <v>236</v>
      </c>
      <c r="E1" s="20"/>
      <c r="F1" s="19" t="s">
        <v>240</v>
      </c>
    </row>
    <row r="2" spans="1:6" ht="30" x14ac:dyDescent="0.25">
      <c r="A2" s="11" t="str">
        <f>HYPERLINK("#Reference!A65","3.8.1")</f>
        <v>3.8.1</v>
      </c>
      <c r="B2" s="1" t="s">
        <v>93</v>
      </c>
      <c r="D2" s="2">
        <f>IF(C2 = "Implemented", 0, IF(C2 = "Planned to be implemented", -3, -3))</f>
        <v>-3</v>
      </c>
      <c r="F2" s="21">
        <f>SUM(D2:D23)</f>
        <v>-23</v>
      </c>
    </row>
    <row r="3" spans="1:6" x14ac:dyDescent="0.25">
      <c r="A3" s="11" t="str">
        <f>HYPERLINK("#Reference!A66","3.8.2")</f>
        <v>3.8.2</v>
      </c>
      <c r="B3" s="1" t="s">
        <v>94</v>
      </c>
      <c r="D3" s="2">
        <f t="shared" ref="D3" si="0">IF(C3 = "Implemented", 0, IF(C3 = "Planned to be implemented", -3, -3))</f>
        <v>-3</v>
      </c>
    </row>
    <row r="4" spans="1:6" ht="30" x14ac:dyDescent="0.25">
      <c r="A4" s="11" t="str">
        <f>HYPERLINK("#Reference!A67","3.8.3")</f>
        <v>3.8.3</v>
      </c>
      <c r="B4" s="1" t="s">
        <v>95</v>
      </c>
      <c r="D4" s="2">
        <f>IF(C4 = "Implemented", 0, IF(C4 = "Planned to be implemented", -5, -5))</f>
        <v>-5</v>
      </c>
    </row>
    <row r="5" spans="1:6" x14ac:dyDescent="0.25">
      <c r="A5" s="11" t="str">
        <f>HYPERLINK("#Reference!A68","3.8.4")</f>
        <v>3.8.4</v>
      </c>
      <c r="B5" s="1" t="s">
        <v>96</v>
      </c>
      <c r="D5" s="2">
        <f>IF(C5 = "Implemented", 0, IF(C5 = "Planned to be implemented", -1, -1))</f>
        <v>-1</v>
      </c>
    </row>
    <row r="6" spans="1:6" ht="30" x14ac:dyDescent="0.25">
      <c r="A6" s="11" t="str">
        <f>HYPERLINK("#Reference!A69","3.8.5")</f>
        <v>3.8.5</v>
      </c>
      <c r="B6" s="1" t="s">
        <v>97</v>
      </c>
      <c r="D6" s="2">
        <f>IF(C6 = "Implemented", 0, IF(C6 = "Planned to be implemented", -1, -1))</f>
        <v>-1</v>
      </c>
    </row>
    <row r="7" spans="1:6" ht="45" x14ac:dyDescent="0.25">
      <c r="A7" s="11" t="str">
        <f>HYPERLINK("#Reference!A70","3.8.6")</f>
        <v>3.8.6</v>
      </c>
      <c r="B7" s="1" t="s">
        <v>98</v>
      </c>
      <c r="D7" s="2">
        <f t="shared" ref="D7" si="1">IF(C7 = "Implemented", 0, IF(C7 = "Planned to be implemented", -1, -1))</f>
        <v>-1</v>
      </c>
    </row>
    <row r="8" spans="1:6" x14ac:dyDescent="0.25">
      <c r="A8" s="11" t="str">
        <f>HYPERLINK("#Reference!A71","3.8.7")</f>
        <v>3.8.7</v>
      </c>
      <c r="B8" s="1" t="s">
        <v>99</v>
      </c>
      <c r="D8" s="2">
        <f>IF(C8 = "Implemented", 0, IF(C8 = "Planned to be implemented", -5, -5))</f>
        <v>-5</v>
      </c>
    </row>
    <row r="9" spans="1:6" ht="30" x14ac:dyDescent="0.25">
      <c r="A9" s="11" t="str">
        <f>HYPERLINK("#Reference!A72","3.8.8")</f>
        <v>3.8.8</v>
      </c>
      <c r="B9" s="1" t="s">
        <v>100</v>
      </c>
      <c r="D9" s="2">
        <f>IF(C9 = "Implemented", 0, IF(C9 = "Planned to be implemented", -3, -3))</f>
        <v>-3</v>
      </c>
    </row>
    <row r="10" spans="1:6" x14ac:dyDescent="0.25">
      <c r="A10" s="11" t="str">
        <f>HYPERLINK("#Reference!A73","3.8.9")</f>
        <v>3.8.9</v>
      </c>
      <c r="B10" s="1" t="s">
        <v>101</v>
      </c>
      <c r="D10" s="2">
        <f>IF(C10 = "Implemented", 0, IF(C10 = "Planned to be implemented", -1, -1))</f>
        <v>-1</v>
      </c>
    </row>
  </sheetData>
  <protectedRanges>
    <protectedRange sqref="C2:C10" name="Range1"/>
  </protectedRanges>
  <dataValidations count="1">
    <dataValidation type="list" allowBlank="1" showInputMessage="1" showErrorMessage="1" sqref="C2:C10" xr:uid="{00000000-0002-0000-0900-000000000000}">
      <formula1>Options</formula1>
    </dataValidation>
  </dataValidations>
  <pageMargins left="0.7" right="0.7" top="0.75" bottom="0.75" header="0.3" footer="0.3"/>
  <pageSetup firstPageNumber="9" orientation="landscape" useFirstPageNumber="1" r:id="rId1"/>
  <headerFooter>
    <oddHeader>&amp;L&amp;D &amp;T&amp;C&amp;A</oddHeader>
    <oddFooter>&amp;R&amp;P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20</vt:i4>
      </vt:variant>
      <vt:variant>
        <vt:lpstr>Intervalli denominati</vt:lpstr>
      </vt:variant>
      <vt:variant>
        <vt:i4>1</vt:i4>
      </vt:variant>
    </vt:vector>
  </HeadingPairs>
  <TitlesOfParts>
    <vt:vector size="21" baseType="lpstr">
      <vt:lpstr>Instruction</vt:lpstr>
      <vt:lpstr>3.1 Access Control</vt:lpstr>
      <vt:lpstr>3.2 Awareness and Training</vt:lpstr>
      <vt:lpstr>3.3 Audit and Accountability</vt:lpstr>
      <vt:lpstr>3.4 Configuration Management</vt:lpstr>
      <vt:lpstr>3.5 Identification and Auth.</vt:lpstr>
      <vt:lpstr>3.6 Incident Response</vt:lpstr>
      <vt:lpstr>3.7 Maintenance</vt:lpstr>
      <vt:lpstr>3.8 Media Protection</vt:lpstr>
      <vt:lpstr>3.9 Personnel Security</vt:lpstr>
      <vt:lpstr>3.10 Physical Protection</vt:lpstr>
      <vt:lpstr>3.11 Risk Assessment</vt:lpstr>
      <vt:lpstr>3.12 Security Assessment</vt:lpstr>
      <vt:lpstr>3.13 System and Communications</vt:lpstr>
      <vt:lpstr>3.14 System and Information</vt:lpstr>
      <vt:lpstr>Completion of the Questionnaire</vt:lpstr>
      <vt:lpstr>Summary</vt:lpstr>
      <vt:lpstr>Master POAM List</vt:lpstr>
      <vt:lpstr>Reference</vt:lpstr>
      <vt:lpstr>Sheet2</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Qiu, Xinlei</dc:creator>
  <cp:lastModifiedBy>Arcangelo CASTIGLIONE</cp:lastModifiedBy>
  <cp:lastPrinted>2020-12-08T16:01:37Z</cp:lastPrinted>
  <dcterms:created xsi:type="dcterms:W3CDTF">2020-04-15T21:00:44Z</dcterms:created>
  <dcterms:modified xsi:type="dcterms:W3CDTF">2024-03-08T09:49:39Z</dcterms:modified>
</cp:coreProperties>
</file>