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2bbb4ca90462df/Documents/"/>
    </mc:Choice>
  </mc:AlternateContent>
  <xr:revisionPtr revIDLastSave="1976" documentId="8_{AC98E26A-4F9F-4D9C-8E09-58F3D26A7621}" xr6:coauthVersionLast="47" xr6:coauthVersionMax="47" xr10:uidLastSave="{F2A815E4-1493-4AB3-BAE3-ACF7EF82DCAC}"/>
  <bookViews>
    <workbookView xWindow="0" yWindow="225" windowWidth="28800" windowHeight="15435" activeTab="3" xr2:uid="{5AFF977E-270C-4F96-957F-B82AB1156198}"/>
  </bookViews>
  <sheets>
    <sheet name="驱逐夜战ci发动率" sheetId="1" r:id="rId1"/>
    <sheet name="驱逐夜战ci计算器" sheetId="2" r:id="rId2"/>
    <sheet name="炮击支援计算器" sheetId="4" r:id="rId3"/>
    <sheet name="陆基攻击力计算器" sheetId="3" r:id="rId4"/>
    <sheet name="对陆装备倍率表" sheetId="5" r:id="rId5"/>
    <sheet name="对陆计算器" sheetId="6" r:id="rId6"/>
  </sheets>
  <definedNames>
    <definedName name="_xlnm._FilterDatabase" localSheetId="2" hidden="1">炮击支援计算器!$B$23:$H$29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J3" i="2"/>
  <c r="N14" i="2"/>
  <c r="M12" i="2"/>
  <c r="M14" i="2"/>
  <c r="G12" i="6"/>
  <c r="F12" i="6"/>
  <c r="E12" i="6"/>
  <c r="D12" i="6"/>
  <c r="J12" i="6"/>
  <c r="N15" i="4"/>
  <c r="N14" i="4"/>
  <c r="N13" i="4"/>
  <c r="N12" i="4"/>
  <c r="N11" i="4"/>
  <c r="N10" i="4"/>
  <c r="H27" i="4"/>
  <c r="H28" i="4"/>
  <c r="H29" i="4"/>
  <c r="H26" i="4"/>
  <c r="O6" i="4"/>
  <c r="N6" i="4"/>
  <c r="G102" i="1"/>
  <c r="B102" i="1"/>
  <c r="Q102" i="1" s="1"/>
  <c r="B101" i="1"/>
  <c r="O100" i="1"/>
  <c r="B100" i="1"/>
  <c r="J100" i="1" s="1"/>
  <c r="B99" i="1"/>
  <c r="O98" i="1"/>
  <c r="B98" i="1"/>
  <c r="J98" i="1" s="1"/>
  <c r="B97" i="1"/>
  <c r="O96" i="1"/>
  <c r="B96" i="1"/>
  <c r="J96" i="1" s="1"/>
  <c r="B95" i="1"/>
  <c r="O94" i="1"/>
  <c r="B94" i="1"/>
  <c r="J94" i="1" s="1"/>
  <c r="B93" i="1"/>
  <c r="O92" i="1"/>
  <c r="B92" i="1"/>
  <c r="J92" i="1" s="1"/>
  <c r="B91" i="1"/>
  <c r="O90" i="1"/>
  <c r="B90" i="1"/>
  <c r="J90" i="1" s="1"/>
  <c r="B89" i="1"/>
  <c r="O88" i="1"/>
  <c r="B88" i="1"/>
  <c r="J88" i="1" s="1"/>
  <c r="B87" i="1"/>
  <c r="O86" i="1"/>
  <c r="B86" i="1"/>
  <c r="J86" i="1" s="1"/>
  <c r="B85" i="1"/>
  <c r="O84" i="1"/>
  <c r="B84" i="1"/>
  <c r="J84" i="1" s="1"/>
  <c r="B83" i="1"/>
  <c r="O82" i="1"/>
  <c r="B82" i="1"/>
  <c r="J82" i="1" s="1"/>
  <c r="B81" i="1"/>
  <c r="O80" i="1"/>
  <c r="B80" i="1"/>
  <c r="J80" i="1" s="1"/>
  <c r="B79" i="1"/>
  <c r="O78" i="1"/>
  <c r="B78" i="1"/>
  <c r="J78" i="1" s="1"/>
  <c r="B77" i="1"/>
  <c r="O76" i="1"/>
  <c r="B76" i="1"/>
  <c r="J76" i="1" s="1"/>
  <c r="B75" i="1"/>
  <c r="O74" i="1"/>
  <c r="B74" i="1"/>
  <c r="J74" i="1" s="1"/>
  <c r="B73" i="1"/>
  <c r="O72" i="1"/>
  <c r="B72" i="1"/>
  <c r="J72" i="1" s="1"/>
  <c r="B71" i="1"/>
  <c r="O70" i="1"/>
  <c r="B70" i="1"/>
  <c r="J70" i="1" s="1"/>
  <c r="B69" i="1"/>
  <c r="O68" i="1"/>
  <c r="B68" i="1"/>
  <c r="J68" i="1" s="1"/>
  <c r="B67" i="1"/>
  <c r="O66" i="1"/>
  <c r="B66" i="1"/>
  <c r="J66" i="1" s="1"/>
  <c r="B65" i="1"/>
  <c r="B64" i="1"/>
  <c r="O63" i="1"/>
  <c r="H63" i="1"/>
  <c r="G63" i="1"/>
  <c r="B63" i="1"/>
  <c r="M63" i="1" s="1"/>
  <c r="Q62" i="1"/>
  <c r="M62" i="1"/>
  <c r="J62" i="1"/>
  <c r="H62" i="1"/>
  <c r="G62" i="1"/>
  <c r="B62" i="1"/>
  <c r="O62" i="1" s="1"/>
  <c r="Q61" i="1"/>
  <c r="O61" i="1"/>
  <c r="M61" i="1"/>
  <c r="H61" i="1"/>
  <c r="B61" i="1"/>
  <c r="J61" i="1" s="1"/>
  <c r="P60" i="1"/>
  <c r="J60" i="1"/>
  <c r="H60" i="1"/>
  <c r="B60" i="1"/>
  <c r="Q60" i="1" s="1"/>
  <c r="P59" i="1"/>
  <c r="M59" i="1"/>
  <c r="J59" i="1"/>
  <c r="H59" i="1"/>
  <c r="B59" i="1"/>
  <c r="N59" i="1" s="1"/>
  <c r="P58" i="1"/>
  <c r="M58" i="1"/>
  <c r="J58" i="1"/>
  <c r="H58" i="1"/>
  <c r="B58" i="1"/>
  <c r="N58" i="1" s="1"/>
  <c r="P57" i="1"/>
  <c r="M57" i="1"/>
  <c r="J57" i="1"/>
  <c r="H57" i="1"/>
  <c r="B57" i="1"/>
  <c r="N57" i="1" s="1"/>
  <c r="P56" i="1"/>
  <c r="M56" i="1"/>
  <c r="J56" i="1"/>
  <c r="H56" i="1"/>
  <c r="B56" i="1"/>
  <c r="N56" i="1" s="1"/>
  <c r="P55" i="1"/>
  <c r="M55" i="1"/>
  <c r="J55" i="1"/>
  <c r="H55" i="1"/>
  <c r="B55" i="1"/>
  <c r="N55" i="1" s="1"/>
  <c r="P54" i="1"/>
  <c r="M54" i="1"/>
  <c r="J54" i="1"/>
  <c r="H54" i="1"/>
  <c r="B54" i="1"/>
  <c r="N54" i="1" s="1"/>
  <c r="P53" i="1"/>
  <c r="M53" i="1"/>
  <c r="J53" i="1"/>
  <c r="H53" i="1"/>
  <c r="B53" i="1"/>
  <c r="N53" i="1" s="1"/>
  <c r="P52" i="1"/>
  <c r="M52" i="1"/>
  <c r="J52" i="1"/>
  <c r="H52" i="1"/>
  <c r="B52" i="1"/>
  <c r="N52" i="1" s="1"/>
  <c r="P51" i="1"/>
  <c r="M51" i="1"/>
  <c r="J51" i="1"/>
  <c r="B51" i="1"/>
  <c r="N51" i="1" s="1"/>
  <c r="P50" i="1"/>
  <c r="M50" i="1"/>
  <c r="J50" i="1"/>
  <c r="B50" i="1"/>
  <c r="N50" i="1" s="1"/>
  <c r="P49" i="1"/>
  <c r="M49" i="1"/>
  <c r="J49" i="1"/>
  <c r="B49" i="1"/>
  <c r="N49" i="1" s="1"/>
  <c r="J48" i="1"/>
  <c r="B48" i="1"/>
  <c r="O47" i="1"/>
  <c r="N47" i="1"/>
  <c r="B47" i="1"/>
  <c r="P46" i="1"/>
  <c r="J46" i="1"/>
  <c r="H46" i="1"/>
  <c r="F46" i="1"/>
  <c r="B46" i="1"/>
  <c r="N46" i="1" s="1"/>
  <c r="N45" i="1"/>
  <c r="M45" i="1"/>
  <c r="H45" i="1"/>
  <c r="G45" i="1"/>
  <c r="F45" i="1"/>
  <c r="B45" i="1"/>
  <c r="J45" i="1" s="1"/>
  <c r="O44" i="1"/>
  <c r="M44" i="1"/>
  <c r="B44" i="1"/>
  <c r="F43" i="1"/>
  <c r="B43" i="1"/>
  <c r="P42" i="1"/>
  <c r="J42" i="1"/>
  <c r="H42" i="1"/>
  <c r="F42" i="1"/>
  <c r="B42" i="1"/>
  <c r="N42" i="1" s="1"/>
  <c r="N41" i="1"/>
  <c r="M41" i="1"/>
  <c r="H41" i="1"/>
  <c r="G41" i="1"/>
  <c r="F41" i="1"/>
  <c r="B41" i="1"/>
  <c r="J41" i="1" s="1"/>
  <c r="J40" i="1"/>
  <c r="B40" i="1"/>
  <c r="O39" i="1"/>
  <c r="N39" i="1"/>
  <c r="H39" i="1"/>
  <c r="G39" i="1"/>
  <c r="C39" i="1"/>
  <c r="B39" i="1"/>
  <c r="K39" i="1" s="1"/>
  <c r="M38" i="1"/>
  <c r="J38" i="1"/>
  <c r="H38" i="1"/>
  <c r="B38" i="1"/>
  <c r="O37" i="1"/>
  <c r="N37" i="1"/>
  <c r="G37" i="1"/>
  <c r="C37" i="1"/>
  <c r="B37" i="1"/>
  <c r="K37" i="1" s="1"/>
  <c r="M36" i="1"/>
  <c r="H36" i="1"/>
  <c r="B36" i="1"/>
  <c r="N35" i="1"/>
  <c r="G35" i="1"/>
  <c r="B35" i="1"/>
  <c r="O35" i="1" s="1"/>
  <c r="N34" i="1"/>
  <c r="M34" i="1"/>
  <c r="J34" i="1"/>
  <c r="H34" i="1"/>
  <c r="G34" i="1"/>
  <c r="C34" i="1"/>
  <c r="B34" i="1"/>
  <c r="O33" i="1"/>
  <c r="N33" i="1"/>
  <c r="M33" i="1"/>
  <c r="H33" i="1"/>
  <c r="G33" i="1"/>
  <c r="C33" i="1"/>
  <c r="B33" i="1"/>
  <c r="B32" i="1"/>
  <c r="G32" i="1" s="1"/>
  <c r="B31" i="1"/>
  <c r="M31" i="1" s="1"/>
  <c r="B30" i="1"/>
  <c r="O29" i="1"/>
  <c r="N29" i="1"/>
  <c r="M29" i="1"/>
  <c r="H29" i="1"/>
  <c r="F29" i="1"/>
  <c r="D29" i="1"/>
  <c r="B29" i="1"/>
  <c r="P29" i="1" s="1"/>
  <c r="Q28" i="1"/>
  <c r="P28" i="1"/>
  <c r="N28" i="1"/>
  <c r="M28" i="1"/>
  <c r="L28" i="1"/>
  <c r="H28" i="1"/>
  <c r="F28" i="1"/>
  <c r="D28" i="1"/>
  <c r="B28" i="1"/>
  <c r="K28" i="1" s="1"/>
  <c r="Q27" i="1"/>
  <c r="P27" i="1"/>
  <c r="N27" i="1"/>
  <c r="M27" i="1"/>
  <c r="L27" i="1"/>
  <c r="H27" i="1"/>
  <c r="F27" i="1"/>
  <c r="D27" i="1"/>
  <c r="B27" i="1"/>
  <c r="K27" i="1" s="1"/>
  <c r="Q26" i="1"/>
  <c r="P26" i="1"/>
  <c r="N26" i="1"/>
  <c r="M26" i="1"/>
  <c r="L26" i="1"/>
  <c r="H26" i="1"/>
  <c r="F26" i="1"/>
  <c r="D26" i="1"/>
  <c r="B26" i="1"/>
  <c r="K26" i="1" s="1"/>
  <c r="Q25" i="1"/>
  <c r="P25" i="1"/>
  <c r="N25" i="1"/>
  <c r="M25" i="1"/>
  <c r="L25" i="1"/>
  <c r="H25" i="1"/>
  <c r="F25" i="1"/>
  <c r="D25" i="1"/>
  <c r="B25" i="1"/>
  <c r="K25" i="1" s="1"/>
  <c r="Q24" i="1"/>
  <c r="P24" i="1"/>
  <c r="N24" i="1"/>
  <c r="M24" i="1"/>
  <c r="L24" i="1"/>
  <c r="H24" i="1"/>
  <c r="F24" i="1"/>
  <c r="D24" i="1"/>
  <c r="B24" i="1"/>
  <c r="K24" i="1" s="1"/>
  <c r="Q23" i="1"/>
  <c r="P23" i="1"/>
  <c r="N23" i="1"/>
  <c r="M23" i="1"/>
  <c r="L23" i="1"/>
  <c r="H23" i="1"/>
  <c r="F23" i="1"/>
  <c r="D23" i="1"/>
  <c r="B23" i="1"/>
  <c r="K23" i="1" s="1"/>
  <c r="Q22" i="1"/>
  <c r="P22" i="1"/>
  <c r="N22" i="1"/>
  <c r="M22" i="1"/>
  <c r="L22" i="1"/>
  <c r="H22" i="1"/>
  <c r="F22" i="1"/>
  <c r="D22" i="1"/>
  <c r="B22" i="1"/>
  <c r="K22" i="1" s="1"/>
  <c r="Q21" i="1"/>
  <c r="P21" i="1"/>
  <c r="N21" i="1"/>
  <c r="M21" i="1"/>
  <c r="L21" i="1"/>
  <c r="H21" i="1"/>
  <c r="F21" i="1"/>
  <c r="D21" i="1"/>
  <c r="B21" i="1"/>
  <c r="K21" i="1" s="1"/>
  <c r="Q20" i="1"/>
  <c r="P20" i="1"/>
  <c r="N20" i="1"/>
  <c r="M20" i="1"/>
  <c r="L20" i="1"/>
  <c r="H20" i="1"/>
  <c r="F20" i="1"/>
  <c r="D20" i="1"/>
  <c r="B20" i="1"/>
  <c r="K20" i="1" s="1"/>
  <c r="Q19" i="1"/>
  <c r="P19" i="1"/>
  <c r="N19" i="1"/>
  <c r="M19" i="1"/>
  <c r="L19" i="1"/>
  <c r="H19" i="1"/>
  <c r="F19" i="1"/>
  <c r="D19" i="1"/>
  <c r="B19" i="1"/>
  <c r="K19" i="1" s="1"/>
  <c r="Q18" i="1"/>
  <c r="P18" i="1"/>
  <c r="N18" i="1"/>
  <c r="M18" i="1"/>
  <c r="L18" i="1"/>
  <c r="H18" i="1"/>
  <c r="F18" i="1"/>
  <c r="D18" i="1"/>
  <c r="B18" i="1"/>
  <c r="K18" i="1" s="1"/>
  <c r="J17" i="1"/>
  <c r="B17" i="1"/>
  <c r="L17" i="1" s="1"/>
  <c r="Q16" i="1"/>
  <c r="P16" i="1"/>
  <c r="N16" i="1"/>
  <c r="L16" i="1"/>
  <c r="J16" i="1"/>
  <c r="H16" i="1"/>
  <c r="F16" i="1"/>
  <c r="D16" i="1"/>
  <c r="B16" i="1"/>
  <c r="J15" i="1"/>
  <c r="B15" i="1"/>
  <c r="L15" i="1" s="1"/>
  <c r="Q14" i="1"/>
  <c r="P14" i="1"/>
  <c r="N14" i="1"/>
  <c r="L14" i="1"/>
  <c r="J14" i="1"/>
  <c r="H14" i="1"/>
  <c r="F14" i="1"/>
  <c r="D14" i="1"/>
  <c r="B14" i="1"/>
  <c r="J13" i="1"/>
  <c r="B13" i="1"/>
  <c r="L13" i="1" s="1"/>
  <c r="Q12" i="1"/>
  <c r="P12" i="1"/>
  <c r="N12" i="1"/>
  <c r="L12" i="1"/>
  <c r="J12" i="1"/>
  <c r="H12" i="1"/>
  <c r="F12" i="1"/>
  <c r="D12" i="1"/>
  <c r="B12" i="1"/>
  <c r="J11" i="1"/>
  <c r="B11" i="1"/>
  <c r="L11" i="1" s="1"/>
  <c r="Q10" i="1"/>
  <c r="P10" i="1"/>
  <c r="N10" i="1"/>
  <c r="L10" i="1"/>
  <c r="J10" i="1"/>
  <c r="H10" i="1"/>
  <c r="F10" i="1"/>
  <c r="D10" i="1"/>
  <c r="B10" i="1"/>
  <c r="J9" i="1"/>
  <c r="B9" i="1"/>
  <c r="L9" i="1" s="1"/>
  <c r="Q8" i="1"/>
  <c r="P8" i="1"/>
  <c r="N8" i="1"/>
  <c r="L8" i="1"/>
  <c r="J8" i="1"/>
  <c r="H8" i="1"/>
  <c r="F8" i="1"/>
  <c r="D8" i="1"/>
  <c r="B8" i="1"/>
  <c r="Q7" i="1"/>
  <c r="P7" i="1"/>
  <c r="M7" i="1"/>
  <c r="J7" i="1"/>
  <c r="F7" i="1"/>
  <c r="C7" i="1"/>
  <c r="B7" i="1"/>
  <c r="Q6" i="1"/>
  <c r="P6" i="1"/>
  <c r="N6" i="1"/>
  <c r="M6" i="1"/>
  <c r="K6" i="1"/>
  <c r="H6" i="1"/>
  <c r="F6" i="1"/>
  <c r="C6" i="1"/>
  <c r="B6" i="1"/>
  <c r="O6" i="1" s="1"/>
  <c r="Q5" i="1"/>
  <c r="P5" i="1"/>
  <c r="N5" i="1"/>
  <c r="M5" i="1"/>
  <c r="K5" i="1"/>
  <c r="H5" i="1"/>
  <c r="F5" i="1"/>
  <c r="C5" i="1"/>
  <c r="B5" i="1"/>
  <c r="O5" i="1" s="1"/>
  <c r="Q4" i="1"/>
  <c r="P4" i="1"/>
  <c r="N4" i="1"/>
  <c r="M4" i="1"/>
  <c r="K4" i="1"/>
  <c r="H4" i="1"/>
  <c r="F4" i="1"/>
  <c r="C4" i="1"/>
  <c r="B4" i="1"/>
  <c r="O4" i="1" s="1"/>
  <c r="Q3" i="1"/>
  <c r="P3" i="1"/>
  <c r="N3" i="1"/>
  <c r="M3" i="1"/>
  <c r="K3" i="1"/>
  <c r="H3" i="1"/>
  <c r="F3" i="1"/>
  <c r="C3" i="1"/>
  <c r="B3" i="1"/>
  <c r="O3" i="1" s="1"/>
  <c r="E14" i="1" l="1"/>
  <c r="I19" i="1"/>
  <c r="I12" i="1"/>
  <c r="I29" i="1"/>
  <c r="E8" i="1"/>
  <c r="Q77" i="1"/>
  <c r="P77" i="1"/>
  <c r="H77" i="1"/>
  <c r="N77" i="1"/>
  <c r="F77" i="1"/>
  <c r="M77" i="1"/>
  <c r="L77" i="1"/>
  <c r="D77" i="1"/>
  <c r="K77" i="1"/>
  <c r="C77" i="1"/>
  <c r="O77" i="1"/>
  <c r="J77" i="1"/>
  <c r="G77" i="1"/>
  <c r="Q93" i="1"/>
  <c r="P93" i="1"/>
  <c r="H93" i="1"/>
  <c r="N93" i="1"/>
  <c r="F93" i="1"/>
  <c r="M93" i="1"/>
  <c r="L93" i="1"/>
  <c r="D93" i="1"/>
  <c r="E93" i="1" s="1"/>
  <c r="K93" i="1"/>
  <c r="C93" i="1"/>
  <c r="O93" i="1"/>
  <c r="J93" i="1"/>
  <c r="G93" i="1"/>
  <c r="Q71" i="1"/>
  <c r="P71" i="1"/>
  <c r="H71" i="1"/>
  <c r="N71" i="1"/>
  <c r="F71" i="1"/>
  <c r="M71" i="1"/>
  <c r="L71" i="1"/>
  <c r="D71" i="1"/>
  <c r="K71" i="1"/>
  <c r="C71" i="1"/>
  <c r="O71" i="1"/>
  <c r="J71" i="1"/>
  <c r="G71" i="1"/>
  <c r="Q30" i="1"/>
  <c r="L30" i="1"/>
  <c r="D30" i="1"/>
  <c r="P30" i="1"/>
  <c r="F30" i="1"/>
  <c r="I30" i="1" s="1"/>
  <c r="O30" i="1"/>
  <c r="K30" i="1"/>
  <c r="C31" i="1"/>
  <c r="C32" i="1"/>
  <c r="J3" i="1"/>
  <c r="J4" i="1"/>
  <c r="J5" i="1"/>
  <c r="J6" i="1"/>
  <c r="K7" i="1"/>
  <c r="O7" i="1"/>
  <c r="G7" i="1"/>
  <c r="L7" i="1"/>
  <c r="C30" i="1"/>
  <c r="M35" i="1"/>
  <c r="K40" i="1"/>
  <c r="C40" i="1"/>
  <c r="Q40" i="1"/>
  <c r="L40" i="1"/>
  <c r="D40" i="1"/>
  <c r="H40" i="1"/>
  <c r="G40" i="1"/>
  <c r="F40" i="1"/>
  <c r="P40" i="1"/>
  <c r="N40" i="1"/>
  <c r="K43" i="1"/>
  <c r="C43" i="1"/>
  <c r="Q43" i="1"/>
  <c r="L43" i="1"/>
  <c r="D43" i="1"/>
  <c r="M43" i="1"/>
  <c r="J43" i="1"/>
  <c r="H43" i="1"/>
  <c r="I43" i="1" s="1"/>
  <c r="G43" i="1"/>
  <c r="P43" i="1"/>
  <c r="K48" i="1"/>
  <c r="C48" i="1"/>
  <c r="Q48" i="1"/>
  <c r="O48" i="1"/>
  <c r="L48" i="1"/>
  <c r="D48" i="1"/>
  <c r="E48" i="1" s="1"/>
  <c r="H48" i="1"/>
  <c r="G48" i="1"/>
  <c r="F48" i="1"/>
  <c r="I48" i="1" s="1"/>
  <c r="N48" i="1"/>
  <c r="Q32" i="1"/>
  <c r="L32" i="1"/>
  <c r="D32" i="1"/>
  <c r="E32" i="1" s="1"/>
  <c r="P32" i="1"/>
  <c r="F32" i="1"/>
  <c r="O32" i="1"/>
  <c r="K32" i="1"/>
  <c r="K9" i="1"/>
  <c r="C9" i="1"/>
  <c r="O9" i="1"/>
  <c r="G9" i="1"/>
  <c r="M9" i="1"/>
  <c r="K11" i="1"/>
  <c r="C11" i="1"/>
  <c r="O11" i="1"/>
  <c r="G11" i="1"/>
  <c r="M11" i="1"/>
  <c r="K13" i="1"/>
  <c r="C13" i="1"/>
  <c r="O13" i="1"/>
  <c r="G13" i="1"/>
  <c r="M13" i="1"/>
  <c r="K15" i="1"/>
  <c r="C15" i="1"/>
  <c r="O15" i="1"/>
  <c r="G15" i="1"/>
  <c r="M15" i="1"/>
  <c r="K17" i="1"/>
  <c r="C17" i="1"/>
  <c r="O17" i="1"/>
  <c r="G17" i="1"/>
  <c r="M17" i="1"/>
  <c r="G30" i="1"/>
  <c r="G31" i="1"/>
  <c r="H32" i="1"/>
  <c r="D3" i="1"/>
  <c r="E3" i="1" s="1"/>
  <c r="L3" i="1"/>
  <c r="D4" i="1"/>
  <c r="E4" i="1" s="1"/>
  <c r="L4" i="1"/>
  <c r="D5" i="1"/>
  <c r="E5" i="1" s="1"/>
  <c r="L5" i="1"/>
  <c r="D6" i="1"/>
  <c r="E6" i="1" s="1"/>
  <c r="L6" i="1"/>
  <c r="D7" i="1"/>
  <c r="E7" i="1" s="1"/>
  <c r="N7" i="1"/>
  <c r="D9" i="1"/>
  <c r="E9" i="1" s="1"/>
  <c r="N9" i="1"/>
  <c r="D11" i="1"/>
  <c r="E11" i="1" s="1"/>
  <c r="N11" i="1"/>
  <c r="D13" i="1"/>
  <c r="E13" i="1" s="1"/>
  <c r="N13" i="1"/>
  <c r="D15" i="1"/>
  <c r="E15" i="1" s="1"/>
  <c r="N15" i="1"/>
  <c r="D17" i="1"/>
  <c r="E17" i="1" s="1"/>
  <c r="N17" i="1"/>
  <c r="H30" i="1"/>
  <c r="H31" i="1"/>
  <c r="J32" i="1"/>
  <c r="M40" i="1"/>
  <c r="N43" i="1"/>
  <c r="M48" i="1"/>
  <c r="Q87" i="1"/>
  <c r="P87" i="1"/>
  <c r="H87" i="1"/>
  <c r="N87" i="1"/>
  <c r="F87" i="1"/>
  <c r="M87" i="1"/>
  <c r="L87" i="1"/>
  <c r="D87" i="1"/>
  <c r="K87" i="1"/>
  <c r="C87" i="1"/>
  <c r="O87" i="1"/>
  <c r="J87" i="1"/>
  <c r="G87" i="1"/>
  <c r="P9" i="1"/>
  <c r="P11" i="1"/>
  <c r="P13" i="1"/>
  <c r="P15" i="1"/>
  <c r="P17" i="1"/>
  <c r="J30" i="1"/>
  <c r="M32" i="1"/>
  <c r="Q36" i="1"/>
  <c r="L36" i="1"/>
  <c r="D36" i="1"/>
  <c r="G36" i="1"/>
  <c r="P36" i="1"/>
  <c r="F36" i="1"/>
  <c r="I36" i="1" s="1"/>
  <c r="O36" i="1"/>
  <c r="N36" i="1"/>
  <c r="C36" i="1"/>
  <c r="K36" i="1"/>
  <c r="O40" i="1"/>
  <c r="O43" i="1"/>
  <c r="P48" i="1"/>
  <c r="Q35" i="1"/>
  <c r="L35" i="1"/>
  <c r="D35" i="1"/>
  <c r="K35" i="1"/>
  <c r="J35" i="1"/>
  <c r="H35" i="1"/>
  <c r="P35" i="1"/>
  <c r="F35" i="1"/>
  <c r="K44" i="1"/>
  <c r="C44" i="1"/>
  <c r="Q44" i="1"/>
  <c r="L44" i="1"/>
  <c r="D44" i="1"/>
  <c r="H44" i="1"/>
  <c r="G44" i="1"/>
  <c r="F44" i="1"/>
  <c r="P44" i="1"/>
  <c r="N44" i="1"/>
  <c r="K47" i="1"/>
  <c r="C47" i="1"/>
  <c r="Q47" i="1"/>
  <c r="L47" i="1"/>
  <c r="D47" i="1"/>
  <c r="M47" i="1"/>
  <c r="J47" i="1"/>
  <c r="H47" i="1"/>
  <c r="G47" i="1"/>
  <c r="P47" i="1"/>
  <c r="Q31" i="1"/>
  <c r="L31" i="1"/>
  <c r="D31" i="1"/>
  <c r="E31" i="1" s="1"/>
  <c r="K31" i="1"/>
  <c r="J31" i="1"/>
  <c r="P31" i="1"/>
  <c r="F31" i="1"/>
  <c r="I31" i="1" s="1"/>
  <c r="F9" i="1"/>
  <c r="Q9" i="1"/>
  <c r="F11" i="1"/>
  <c r="Q11" i="1"/>
  <c r="F13" i="1"/>
  <c r="Q13" i="1"/>
  <c r="F15" i="1"/>
  <c r="I15" i="1" s="1"/>
  <c r="Q15" i="1"/>
  <c r="F17" i="1"/>
  <c r="Q17" i="1"/>
  <c r="M30" i="1"/>
  <c r="N31" i="1"/>
  <c r="N32" i="1"/>
  <c r="G3" i="1"/>
  <c r="I3" i="1" s="1"/>
  <c r="G4" i="1"/>
  <c r="I4" i="1" s="1"/>
  <c r="G5" i="1"/>
  <c r="I5" i="1" s="1"/>
  <c r="G6" i="1"/>
  <c r="I6" i="1" s="1"/>
  <c r="H7" i="1"/>
  <c r="K8" i="1"/>
  <c r="C8" i="1"/>
  <c r="O8" i="1"/>
  <c r="G8" i="1"/>
  <c r="I8" i="1" s="1"/>
  <c r="M8" i="1"/>
  <c r="H9" i="1"/>
  <c r="K10" i="1"/>
  <c r="C10" i="1"/>
  <c r="E10" i="1" s="1"/>
  <c r="O10" i="1"/>
  <c r="G10" i="1"/>
  <c r="I10" i="1" s="1"/>
  <c r="M10" i="1"/>
  <c r="H11" i="1"/>
  <c r="K12" i="1"/>
  <c r="C12" i="1"/>
  <c r="E12" i="1" s="1"/>
  <c r="O12" i="1"/>
  <c r="G12" i="1"/>
  <c r="M12" i="1"/>
  <c r="H13" i="1"/>
  <c r="K14" i="1"/>
  <c r="C14" i="1"/>
  <c r="O14" i="1"/>
  <c r="G14" i="1"/>
  <c r="I14" i="1" s="1"/>
  <c r="M14" i="1"/>
  <c r="H15" i="1"/>
  <c r="K16" i="1"/>
  <c r="C16" i="1"/>
  <c r="E16" i="1" s="1"/>
  <c r="O16" i="1"/>
  <c r="G16" i="1"/>
  <c r="I16" i="1" s="1"/>
  <c r="M16" i="1"/>
  <c r="H17" i="1"/>
  <c r="N30" i="1"/>
  <c r="O31" i="1"/>
  <c r="Q33" i="1"/>
  <c r="L33" i="1"/>
  <c r="D33" i="1"/>
  <c r="E33" i="1" s="1"/>
  <c r="K33" i="1"/>
  <c r="J33" i="1"/>
  <c r="P33" i="1"/>
  <c r="F33" i="1"/>
  <c r="I33" i="1" s="1"/>
  <c r="Q34" i="1"/>
  <c r="L34" i="1"/>
  <c r="D34" i="1"/>
  <c r="E34" i="1" s="1"/>
  <c r="P34" i="1"/>
  <c r="F34" i="1"/>
  <c r="I34" i="1" s="1"/>
  <c r="O34" i="1"/>
  <c r="K34" i="1"/>
  <c r="C35" i="1"/>
  <c r="J36" i="1"/>
  <c r="Q38" i="1"/>
  <c r="L38" i="1"/>
  <c r="D38" i="1"/>
  <c r="E38" i="1" s="1"/>
  <c r="G38" i="1"/>
  <c r="P38" i="1"/>
  <c r="F38" i="1"/>
  <c r="I38" i="1" s="1"/>
  <c r="O38" i="1"/>
  <c r="N38" i="1"/>
  <c r="C38" i="1"/>
  <c r="K38" i="1"/>
  <c r="J44" i="1"/>
  <c r="F47" i="1"/>
  <c r="G18" i="1"/>
  <c r="I18" i="1" s="1"/>
  <c r="O18" i="1"/>
  <c r="G19" i="1"/>
  <c r="O19" i="1"/>
  <c r="G20" i="1"/>
  <c r="I20" i="1" s="1"/>
  <c r="O20" i="1"/>
  <c r="G21" i="1"/>
  <c r="I21" i="1" s="1"/>
  <c r="O21" i="1"/>
  <c r="G22" i="1"/>
  <c r="I22" i="1" s="1"/>
  <c r="O22" i="1"/>
  <c r="G23" i="1"/>
  <c r="I23" i="1" s="1"/>
  <c r="O23" i="1"/>
  <c r="G24" i="1"/>
  <c r="I24" i="1" s="1"/>
  <c r="O24" i="1"/>
  <c r="G25" i="1"/>
  <c r="I25" i="1" s="1"/>
  <c r="O25" i="1"/>
  <c r="G26" i="1"/>
  <c r="I26" i="1" s="1"/>
  <c r="O26" i="1"/>
  <c r="G27" i="1"/>
  <c r="I27" i="1" s="1"/>
  <c r="O27" i="1"/>
  <c r="G28" i="1"/>
  <c r="I28" i="1" s="1"/>
  <c r="O28" i="1"/>
  <c r="G29" i="1"/>
  <c r="F37" i="1"/>
  <c r="I37" i="1" s="1"/>
  <c r="P37" i="1"/>
  <c r="F39" i="1"/>
  <c r="I39" i="1" s="1"/>
  <c r="P39" i="1"/>
  <c r="G42" i="1"/>
  <c r="I42" i="1" s="1"/>
  <c r="G46" i="1"/>
  <c r="I46" i="1" s="1"/>
  <c r="Q67" i="1"/>
  <c r="P67" i="1"/>
  <c r="H67" i="1"/>
  <c r="N67" i="1"/>
  <c r="F67" i="1"/>
  <c r="M67" i="1"/>
  <c r="L67" i="1"/>
  <c r="D67" i="1"/>
  <c r="K67" i="1"/>
  <c r="C67" i="1"/>
  <c r="O67" i="1"/>
  <c r="J67" i="1"/>
  <c r="G67" i="1"/>
  <c r="Q83" i="1"/>
  <c r="P83" i="1"/>
  <c r="H83" i="1"/>
  <c r="N83" i="1"/>
  <c r="F83" i="1"/>
  <c r="M83" i="1"/>
  <c r="L83" i="1"/>
  <c r="D83" i="1"/>
  <c r="E83" i="1" s="1"/>
  <c r="K83" i="1"/>
  <c r="C83" i="1"/>
  <c r="O83" i="1"/>
  <c r="J83" i="1"/>
  <c r="G83" i="1"/>
  <c r="Q99" i="1"/>
  <c r="P99" i="1"/>
  <c r="H99" i="1"/>
  <c r="N99" i="1"/>
  <c r="F99" i="1"/>
  <c r="M99" i="1"/>
  <c r="L99" i="1"/>
  <c r="D99" i="1"/>
  <c r="K99" i="1"/>
  <c r="C99" i="1"/>
  <c r="O99" i="1"/>
  <c r="J99" i="1"/>
  <c r="G99" i="1"/>
  <c r="Q73" i="1"/>
  <c r="P73" i="1"/>
  <c r="H73" i="1"/>
  <c r="N73" i="1"/>
  <c r="F73" i="1"/>
  <c r="M73" i="1"/>
  <c r="L73" i="1"/>
  <c r="D73" i="1"/>
  <c r="E73" i="1" s="1"/>
  <c r="K73" i="1"/>
  <c r="C73" i="1"/>
  <c r="O73" i="1"/>
  <c r="J73" i="1"/>
  <c r="G73" i="1"/>
  <c r="Q89" i="1"/>
  <c r="P89" i="1"/>
  <c r="H89" i="1"/>
  <c r="N89" i="1"/>
  <c r="F89" i="1"/>
  <c r="M89" i="1"/>
  <c r="L89" i="1"/>
  <c r="D89" i="1"/>
  <c r="K89" i="1"/>
  <c r="C89" i="1"/>
  <c r="O89" i="1"/>
  <c r="J89" i="1"/>
  <c r="G89" i="1"/>
  <c r="H37" i="1"/>
  <c r="K49" i="1"/>
  <c r="C49" i="1"/>
  <c r="Q49" i="1"/>
  <c r="O49" i="1"/>
  <c r="G49" i="1"/>
  <c r="L49" i="1"/>
  <c r="D49" i="1"/>
  <c r="K50" i="1"/>
  <c r="C50" i="1"/>
  <c r="Q50" i="1"/>
  <c r="O50" i="1"/>
  <c r="G50" i="1"/>
  <c r="L50" i="1"/>
  <c r="D50" i="1"/>
  <c r="K51" i="1"/>
  <c r="C51" i="1"/>
  <c r="Q51" i="1"/>
  <c r="O51" i="1"/>
  <c r="G51" i="1"/>
  <c r="L51" i="1"/>
  <c r="D51" i="1"/>
  <c r="E51" i="1" s="1"/>
  <c r="K52" i="1"/>
  <c r="C52" i="1"/>
  <c r="Q52" i="1"/>
  <c r="O52" i="1"/>
  <c r="G52" i="1"/>
  <c r="L52" i="1"/>
  <c r="D52" i="1"/>
  <c r="E52" i="1" s="1"/>
  <c r="K53" i="1"/>
  <c r="C53" i="1"/>
  <c r="Q53" i="1"/>
  <c r="O53" i="1"/>
  <c r="G53" i="1"/>
  <c r="L53" i="1"/>
  <c r="D53" i="1"/>
  <c r="E53" i="1" s="1"/>
  <c r="K54" i="1"/>
  <c r="C54" i="1"/>
  <c r="Q54" i="1"/>
  <c r="O54" i="1"/>
  <c r="G54" i="1"/>
  <c r="L54" i="1"/>
  <c r="D54" i="1"/>
  <c r="E54" i="1" s="1"/>
  <c r="K55" i="1"/>
  <c r="C55" i="1"/>
  <c r="Q55" i="1"/>
  <c r="O55" i="1"/>
  <c r="G55" i="1"/>
  <c r="L55" i="1"/>
  <c r="D55" i="1"/>
  <c r="K56" i="1"/>
  <c r="C56" i="1"/>
  <c r="Q56" i="1"/>
  <c r="O56" i="1"/>
  <c r="G56" i="1"/>
  <c r="L56" i="1"/>
  <c r="D56" i="1"/>
  <c r="K57" i="1"/>
  <c r="C57" i="1"/>
  <c r="Q57" i="1"/>
  <c r="O57" i="1"/>
  <c r="G57" i="1"/>
  <c r="L57" i="1"/>
  <c r="D57" i="1"/>
  <c r="K58" i="1"/>
  <c r="C58" i="1"/>
  <c r="Q58" i="1"/>
  <c r="O58" i="1"/>
  <c r="G58" i="1"/>
  <c r="L58" i="1"/>
  <c r="D58" i="1"/>
  <c r="K59" i="1"/>
  <c r="C59" i="1"/>
  <c r="Q59" i="1"/>
  <c r="O59" i="1"/>
  <c r="G59" i="1"/>
  <c r="L59" i="1"/>
  <c r="D59" i="1"/>
  <c r="E59" i="1" s="1"/>
  <c r="N60" i="1"/>
  <c r="L60" i="1"/>
  <c r="K60" i="1"/>
  <c r="M60" i="1"/>
  <c r="C60" i="1"/>
  <c r="G60" i="1"/>
  <c r="O60" i="1"/>
  <c r="D60" i="1"/>
  <c r="Q64" i="1"/>
  <c r="N64" i="1"/>
  <c r="F64" i="1"/>
  <c r="L64" i="1"/>
  <c r="D64" i="1"/>
  <c r="K64" i="1"/>
  <c r="C64" i="1"/>
  <c r="M64" i="1"/>
  <c r="J64" i="1"/>
  <c r="H64" i="1"/>
  <c r="G64" i="1"/>
  <c r="O64" i="1"/>
  <c r="Q79" i="1"/>
  <c r="P79" i="1"/>
  <c r="H79" i="1"/>
  <c r="N79" i="1"/>
  <c r="F79" i="1"/>
  <c r="M79" i="1"/>
  <c r="L79" i="1"/>
  <c r="D79" i="1"/>
  <c r="K79" i="1"/>
  <c r="C79" i="1"/>
  <c r="O79" i="1"/>
  <c r="J79" i="1"/>
  <c r="G79" i="1"/>
  <c r="Q95" i="1"/>
  <c r="P95" i="1"/>
  <c r="H95" i="1"/>
  <c r="N95" i="1"/>
  <c r="F95" i="1"/>
  <c r="M95" i="1"/>
  <c r="L95" i="1"/>
  <c r="D95" i="1"/>
  <c r="K95" i="1"/>
  <c r="C95" i="1"/>
  <c r="O95" i="1"/>
  <c r="J95" i="1"/>
  <c r="G95" i="1"/>
  <c r="J18" i="1"/>
  <c r="J19" i="1"/>
  <c r="J20" i="1"/>
  <c r="J21" i="1"/>
  <c r="J22" i="1"/>
  <c r="J23" i="1"/>
  <c r="J24" i="1"/>
  <c r="J25" i="1"/>
  <c r="J26" i="1"/>
  <c r="J27" i="1"/>
  <c r="J28" i="1"/>
  <c r="Q29" i="1"/>
  <c r="L29" i="1"/>
  <c r="J29" i="1"/>
  <c r="J37" i="1"/>
  <c r="J39" i="1"/>
  <c r="K41" i="1"/>
  <c r="C41" i="1"/>
  <c r="Q41" i="1"/>
  <c r="L41" i="1"/>
  <c r="D41" i="1"/>
  <c r="O41" i="1"/>
  <c r="M42" i="1"/>
  <c r="K45" i="1"/>
  <c r="C45" i="1"/>
  <c r="Q45" i="1"/>
  <c r="L45" i="1"/>
  <c r="D45" i="1"/>
  <c r="O45" i="1"/>
  <c r="M46" i="1"/>
  <c r="Q69" i="1"/>
  <c r="P69" i="1"/>
  <c r="H69" i="1"/>
  <c r="N69" i="1"/>
  <c r="F69" i="1"/>
  <c r="M69" i="1"/>
  <c r="L69" i="1"/>
  <c r="D69" i="1"/>
  <c r="K69" i="1"/>
  <c r="C69" i="1"/>
  <c r="O69" i="1"/>
  <c r="J69" i="1"/>
  <c r="G69" i="1"/>
  <c r="Q85" i="1"/>
  <c r="P85" i="1"/>
  <c r="H85" i="1"/>
  <c r="N85" i="1"/>
  <c r="F85" i="1"/>
  <c r="I85" i="1" s="1"/>
  <c r="M85" i="1"/>
  <c r="L85" i="1"/>
  <c r="D85" i="1"/>
  <c r="K85" i="1"/>
  <c r="C85" i="1"/>
  <c r="O85" i="1"/>
  <c r="J85" i="1"/>
  <c r="G85" i="1"/>
  <c r="Q101" i="1"/>
  <c r="P101" i="1"/>
  <c r="H101" i="1"/>
  <c r="N101" i="1"/>
  <c r="F101" i="1"/>
  <c r="M101" i="1"/>
  <c r="L101" i="1"/>
  <c r="D101" i="1"/>
  <c r="E101" i="1" s="1"/>
  <c r="K101" i="1"/>
  <c r="C101" i="1"/>
  <c r="O101" i="1"/>
  <c r="J101" i="1"/>
  <c r="G101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K29" i="1"/>
  <c r="P41" i="1"/>
  <c r="P45" i="1"/>
  <c r="F49" i="1"/>
  <c r="F50" i="1"/>
  <c r="F51" i="1"/>
  <c r="F52" i="1"/>
  <c r="I52" i="1" s="1"/>
  <c r="F53" i="1"/>
  <c r="I53" i="1" s="1"/>
  <c r="F54" i="1"/>
  <c r="I54" i="1" s="1"/>
  <c r="F55" i="1"/>
  <c r="I55" i="1" s="1"/>
  <c r="F56" i="1"/>
  <c r="I56" i="1" s="1"/>
  <c r="F57" i="1"/>
  <c r="F58" i="1"/>
  <c r="F59" i="1"/>
  <c r="F60" i="1"/>
  <c r="I60" i="1" s="1"/>
  <c r="P64" i="1"/>
  <c r="Q75" i="1"/>
  <c r="P75" i="1"/>
  <c r="H75" i="1"/>
  <c r="N75" i="1"/>
  <c r="F75" i="1"/>
  <c r="M75" i="1"/>
  <c r="L75" i="1"/>
  <c r="D75" i="1"/>
  <c r="E75" i="1" s="1"/>
  <c r="K75" i="1"/>
  <c r="C75" i="1"/>
  <c r="O75" i="1"/>
  <c r="J75" i="1"/>
  <c r="G75" i="1"/>
  <c r="Q91" i="1"/>
  <c r="P91" i="1"/>
  <c r="H91" i="1"/>
  <c r="N91" i="1"/>
  <c r="F91" i="1"/>
  <c r="M91" i="1"/>
  <c r="L91" i="1"/>
  <c r="D91" i="1"/>
  <c r="K91" i="1"/>
  <c r="C91" i="1"/>
  <c r="O91" i="1"/>
  <c r="J91" i="1"/>
  <c r="G91" i="1"/>
  <c r="Q37" i="1"/>
  <c r="L37" i="1"/>
  <c r="D37" i="1"/>
  <c r="E37" i="1" s="1"/>
  <c r="M37" i="1"/>
  <c r="Q39" i="1"/>
  <c r="L39" i="1"/>
  <c r="D39" i="1"/>
  <c r="E39" i="1" s="1"/>
  <c r="M39" i="1"/>
  <c r="I41" i="1"/>
  <c r="K42" i="1"/>
  <c r="C42" i="1"/>
  <c r="Q42" i="1"/>
  <c r="L42" i="1"/>
  <c r="D42" i="1"/>
  <c r="E42" i="1" s="1"/>
  <c r="O42" i="1"/>
  <c r="I45" i="1"/>
  <c r="K46" i="1"/>
  <c r="C46" i="1"/>
  <c r="Q46" i="1"/>
  <c r="L46" i="1"/>
  <c r="D46" i="1"/>
  <c r="E46" i="1" s="1"/>
  <c r="O46" i="1"/>
  <c r="H49" i="1"/>
  <c r="H50" i="1"/>
  <c r="H51" i="1"/>
  <c r="Q65" i="1"/>
  <c r="P65" i="1"/>
  <c r="H65" i="1"/>
  <c r="N65" i="1"/>
  <c r="F65" i="1"/>
  <c r="M65" i="1"/>
  <c r="L65" i="1"/>
  <c r="D65" i="1"/>
  <c r="K65" i="1"/>
  <c r="C65" i="1"/>
  <c r="O65" i="1"/>
  <c r="J65" i="1"/>
  <c r="G65" i="1"/>
  <c r="Q81" i="1"/>
  <c r="P81" i="1"/>
  <c r="H81" i="1"/>
  <c r="N81" i="1"/>
  <c r="F81" i="1"/>
  <c r="M81" i="1"/>
  <c r="L81" i="1"/>
  <c r="D81" i="1"/>
  <c r="E81" i="1" s="1"/>
  <c r="K81" i="1"/>
  <c r="C81" i="1"/>
  <c r="O81" i="1"/>
  <c r="J81" i="1"/>
  <c r="G81" i="1"/>
  <c r="Q97" i="1"/>
  <c r="P97" i="1"/>
  <c r="H97" i="1"/>
  <c r="N97" i="1"/>
  <c r="F97" i="1"/>
  <c r="M97" i="1"/>
  <c r="L97" i="1"/>
  <c r="D97" i="1"/>
  <c r="K97" i="1"/>
  <c r="C97" i="1"/>
  <c r="O97" i="1"/>
  <c r="J97" i="1"/>
  <c r="G97" i="1"/>
  <c r="Q63" i="1"/>
  <c r="N61" i="1"/>
  <c r="F61" i="1"/>
  <c r="I61" i="1" s="1"/>
  <c r="L61" i="1"/>
  <c r="D61" i="1"/>
  <c r="E61" i="1" s="1"/>
  <c r="K61" i="1"/>
  <c r="C61" i="1"/>
  <c r="P61" i="1"/>
  <c r="J63" i="1"/>
  <c r="G61" i="1"/>
  <c r="N62" i="1"/>
  <c r="F62" i="1"/>
  <c r="I62" i="1" s="1"/>
  <c r="L62" i="1"/>
  <c r="D62" i="1"/>
  <c r="E62" i="1" s="1"/>
  <c r="K62" i="1"/>
  <c r="C62" i="1"/>
  <c r="P62" i="1"/>
  <c r="Q66" i="1"/>
  <c r="P66" i="1"/>
  <c r="H66" i="1"/>
  <c r="N66" i="1"/>
  <c r="F66" i="1"/>
  <c r="I66" i="1" s="1"/>
  <c r="M66" i="1"/>
  <c r="L66" i="1"/>
  <c r="D66" i="1"/>
  <c r="K66" i="1"/>
  <c r="C66" i="1"/>
  <c r="Q68" i="1"/>
  <c r="P68" i="1"/>
  <c r="H68" i="1"/>
  <c r="N68" i="1"/>
  <c r="F68" i="1"/>
  <c r="M68" i="1"/>
  <c r="L68" i="1"/>
  <c r="D68" i="1"/>
  <c r="K68" i="1"/>
  <c r="C68" i="1"/>
  <c r="Q70" i="1"/>
  <c r="P70" i="1"/>
  <c r="H70" i="1"/>
  <c r="N70" i="1"/>
  <c r="F70" i="1"/>
  <c r="M70" i="1"/>
  <c r="L70" i="1"/>
  <c r="D70" i="1"/>
  <c r="E70" i="1" s="1"/>
  <c r="K70" i="1"/>
  <c r="C70" i="1"/>
  <c r="Q72" i="1"/>
  <c r="P72" i="1"/>
  <c r="H72" i="1"/>
  <c r="N72" i="1"/>
  <c r="F72" i="1"/>
  <c r="I72" i="1" s="1"/>
  <c r="M72" i="1"/>
  <c r="L72" i="1"/>
  <c r="D72" i="1"/>
  <c r="E72" i="1" s="1"/>
  <c r="K72" i="1"/>
  <c r="C72" i="1"/>
  <c r="Q74" i="1"/>
  <c r="P74" i="1"/>
  <c r="H74" i="1"/>
  <c r="N74" i="1"/>
  <c r="F74" i="1"/>
  <c r="I74" i="1" s="1"/>
  <c r="M74" i="1"/>
  <c r="L74" i="1"/>
  <c r="D74" i="1"/>
  <c r="K74" i="1"/>
  <c r="C74" i="1"/>
  <c r="Q76" i="1"/>
  <c r="P76" i="1"/>
  <c r="H76" i="1"/>
  <c r="N76" i="1"/>
  <c r="F76" i="1"/>
  <c r="M76" i="1"/>
  <c r="L76" i="1"/>
  <c r="D76" i="1"/>
  <c r="K76" i="1"/>
  <c r="C76" i="1"/>
  <c r="Q78" i="1"/>
  <c r="P78" i="1"/>
  <c r="H78" i="1"/>
  <c r="N78" i="1"/>
  <c r="F78" i="1"/>
  <c r="M78" i="1"/>
  <c r="L78" i="1"/>
  <c r="D78" i="1"/>
  <c r="E78" i="1" s="1"/>
  <c r="K78" i="1"/>
  <c r="C78" i="1"/>
  <c r="Q80" i="1"/>
  <c r="P80" i="1"/>
  <c r="H80" i="1"/>
  <c r="N80" i="1"/>
  <c r="F80" i="1"/>
  <c r="M80" i="1"/>
  <c r="L80" i="1"/>
  <c r="D80" i="1"/>
  <c r="E80" i="1" s="1"/>
  <c r="K80" i="1"/>
  <c r="C80" i="1"/>
  <c r="Q82" i="1"/>
  <c r="P82" i="1"/>
  <c r="H82" i="1"/>
  <c r="N82" i="1"/>
  <c r="F82" i="1"/>
  <c r="I82" i="1" s="1"/>
  <c r="M82" i="1"/>
  <c r="L82" i="1"/>
  <c r="D82" i="1"/>
  <c r="K82" i="1"/>
  <c r="C82" i="1"/>
  <c r="Q84" i="1"/>
  <c r="P84" i="1"/>
  <c r="H84" i="1"/>
  <c r="N84" i="1"/>
  <c r="F84" i="1"/>
  <c r="M84" i="1"/>
  <c r="L84" i="1"/>
  <c r="D84" i="1"/>
  <c r="K84" i="1"/>
  <c r="C84" i="1"/>
  <c r="Q86" i="1"/>
  <c r="P86" i="1"/>
  <c r="H86" i="1"/>
  <c r="N86" i="1"/>
  <c r="F86" i="1"/>
  <c r="M86" i="1"/>
  <c r="L86" i="1"/>
  <c r="D86" i="1"/>
  <c r="E86" i="1" s="1"/>
  <c r="K86" i="1"/>
  <c r="C86" i="1"/>
  <c r="Q88" i="1"/>
  <c r="P88" i="1"/>
  <c r="H88" i="1"/>
  <c r="N88" i="1"/>
  <c r="F88" i="1"/>
  <c r="I88" i="1" s="1"/>
  <c r="M88" i="1"/>
  <c r="L88" i="1"/>
  <c r="D88" i="1"/>
  <c r="E88" i="1" s="1"/>
  <c r="K88" i="1"/>
  <c r="C88" i="1"/>
  <c r="Q90" i="1"/>
  <c r="P90" i="1"/>
  <c r="H90" i="1"/>
  <c r="N90" i="1"/>
  <c r="F90" i="1"/>
  <c r="I90" i="1" s="1"/>
  <c r="M90" i="1"/>
  <c r="L90" i="1"/>
  <c r="D90" i="1"/>
  <c r="K90" i="1"/>
  <c r="C90" i="1"/>
  <c r="Q92" i="1"/>
  <c r="P92" i="1"/>
  <c r="H92" i="1"/>
  <c r="N92" i="1"/>
  <c r="F92" i="1"/>
  <c r="M92" i="1"/>
  <c r="L92" i="1"/>
  <c r="D92" i="1"/>
  <c r="K92" i="1"/>
  <c r="C92" i="1"/>
  <c r="Q94" i="1"/>
  <c r="P94" i="1"/>
  <c r="H94" i="1"/>
  <c r="N94" i="1"/>
  <c r="F94" i="1"/>
  <c r="M94" i="1"/>
  <c r="L94" i="1"/>
  <c r="D94" i="1"/>
  <c r="E94" i="1" s="1"/>
  <c r="K94" i="1"/>
  <c r="C94" i="1"/>
  <c r="Q96" i="1"/>
  <c r="P96" i="1"/>
  <c r="H96" i="1"/>
  <c r="N96" i="1"/>
  <c r="F96" i="1"/>
  <c r="M96" i="1"/>
  <c r="L96" i="1"/>
  <c r="D96" i="1"/>
  <c r="E96" i="1" s="1"/>
  <c r="K96" i="1"/>
  <c r="C96" i="1"/>
  <c r="Q98" i="1"/>
  <c r="P98" i="1"/>
  <c r="H98" i="1"/>
  <c r="N98" i="1"/>
  <c r="F98" i="1"/>
  <c r="I98" i="1" s="1"/>
  <c r="M98" i="1"/>
  <c r="L98" i="1"/>
  <c r="D98" i="1"/>
  <c r="K98" i="1"/>
  <c r="C98" i="1"/>
  <c r="Q100" i="1"/>
  <c r="P100" i="1"/>
  <c r="H100" i="1"/>
  <c r="N100" i="1"/>
  <c r="F100" i="1"/>
  <c r="M100" i="1"/>
  <c r="L100" i="1"/>
  <c r="D100" i="1"/>
  <c r="K100" i="1"/>
  <c r="C100" i="1"/>
  <c r="N63" i="1"/>
  <c r="F63" i="1"/>
  <c r="I63" i="1" s="1"/>
  <c r="L63" i="1"/>
  <c r="D63" i="1"/>
  <c r="K63" i="1"/>
  <c r="C63" i="1"/>
  <c r="P63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J102" i="1"/>
  <c r="C102" i="1"/>
  <c r="K102" i="1"/>
  <c r="D102" i="1"/>
  <c r="E102" i="1" s="1"/>
  <c r="L102" i="1"/>
  <c r="M102" i="1"/>
  <c r="F102" i="1"/>
  <c r="I102" i="1" s="1"/>
  <c r="N102" i="1"/>
  <c r="O102" i="1"/>
  <c r="H102" i="1"/>
  <c r="P102" i="1"/>
  <c r="I65" i="1" l="1"/>
  <c r="I17" i="1"/>
  <c r="I9" i="1"/>
  <c r="I77" i="1"/>
  <c r="E89" i="1"/>
  <c r="E35" i="1"/>
  <c r="E69" i="1"/>
  <c r="E79" i="1"/>
  <c r="E55" i="1"/>
  <c r="I47" i="1"/>
  <c r="I40" i="1"/>
  <c r="E30" i="1"/>
  <c r="E71" i="1"/>
  <c r="I93" i="1"/>
  <c r="I67" i="1"/>
  <c r="I87" i="1"/>
  <c r="I80" i="1"/>
  <c r="I59" i="1"/>
  <c r="E64" i="1"/>
  <c r="E100" i="1"/>
  <c r="E92" i="1"/>
  <c r="E76" i="1"/>
  <c r="E68" i="1"/>
  <c r="E97" i="1"/>
  <c r="E91" i="1"/>
  <c r="I58" i="1"/>
  <c r="I94" i="1"/>
  <c r="I86" i="1"/>
  <c r="I78" i="1"/>
  <c r="I70" i="1"/>
  <c r="I57" i="1"/>
  <c r="I49" i="1"/>
  <c r="I101" i="1"/>
  <c r="E41" i="1"/>
  <c r="I64" i="1"/>
  <c r="E56" i="1"/>
  <c r="E99" i="1"/>
  <c r="I83" i="1"/>
  <c r="I13" i="1"/>
  <c r="I44" i="1"/>
  <c r="E43" i="1"/>
  <c r="I95" i="1"/>
  <c r="I51" i="1"/>
  <c r="E84" i="1"/>
  <c r="I81" i="1"/>
  <c r="I75" i="1"/>
  <c r="E63" i="1"/>
  <c r="E98" i="1"/>
  <c r="E90" i="1"/>
  <c r="E82" i="1"/>
  <c r="E74" i="1"/>
  <c r="E66" i="1"/>
  <c r="E65" i="1"/>
  <c r="E45" i="1"/>
  <c r="E57" i="1"/>
  <c r="E49" i="1"/>
  <c r="I89" i="1"/>
  <c r="E47" i="1"/>
  <c r="I35" i="1"/>
  <c r="E77" i="1"/>
  <c r="I96" i="1"/>
  <c r="I73" i="1"/>
  <c r="I50" i="1"/>
  <c r="I100" i="1"/>
  <c r="I92" i="1"/>
  <c r="I84" i="1"/>
  <c r="I76" i="1"/>
  <c r="I68" i="1"/>
  <c r="I97" i="1"/>
  <c r="I91" i="1"/>
  <c r="E85" i="1"/>
  <c r="I69" i="1"/>
  <c r="E95" i="1"/>
  <c r="I79" i="1"/>
  <c r="E58" i="1"/>
  <c r="E50" i="1"/>
  <c r="E67" i="1"/>
  <c r="I11" i="1"/>
  <c r="E87" i="1"/>
  <c r="E40" i="1"/>
  <c r="I7" i="1"/>
  <c r="I71" i="1"/>
  <c r="E60" i="1"/>
  <c r="I99" i="1"/>
  <c r="E44" i="1"/>
  <c r="E36" i="1"/>
  <c r="I32" i="1"/>
  <c r="H25" i="4" l="1"/>
  <c r="H24" i="4"/>
  <c r="D15" i="4"/>
  <c r="G11" i="4"/>
  <c r="G10" i="4"/>
  <c r="G7" i="4"/>
  <c r="G8" i="4"/>
  <c r="G9" i="4"/>
  <c r="G6" i="4"/>
  <c r="E8" i="3"/>
  <c r="F4" i="3"/>
  <c r="C4" i="3"/>
  <c r="J4" i="3" s="1"/>
  <c r="H8" i="3" s="1"/>
  <c r="J4" i="2"/>
  <c r="Q25" i="2"/>
  <c r="J25" i="2"/>
  <c r="C24" i="2"/>
  <c r="C23" i="2"/>
  <c r="N13" i="2"/>
  <c r="M13" i="2"/>
  <c r="N12" i="2"/>
  <c r="J24" i="2" s="1"/>
  <c r="J23" i="2"/>
  <c r="N11" i="2"/>
  <c r="N10" i="2"/>
  <c r="Q24" i="2" s="1"/>
  <c r="M10" i="2"/>
  <c r="Q23" i="2" s="1"/>
  <c r="R3" i="2"/>
  <c r="S3" i="2" s="1"/>
  <c r="G13" i="2" s="1"/>
  <c r="E20" i="4" l="1"/>
  <c r="E19" i="4"/>
  <c r="E18" i="4"/>
  <c r="E17" i="4"/>
  <c r="E16" i="4"/>
  <c r="E15" i="4"/>
  <c r="R24" i="2"/>
  <c r="S24" i="2" s="1"/>
  <c r="T24" i="2" s="1"/>
  <c r="D24" i="2"/>
  <c r="K23" i="2"/>
  <c r="R23" i="2"/>
  <c r="R25" i="2"/>
  <c r="K24" i="2"/>
  <c r="D9" i="2"/>
  <c r="D10" i="2"/>
  <c r="G9" i="2"/>
  <c r="G10" i="2"/>
  <c r="L11" i="4" l="1"/>
  <c r="M11" i="4"/>
  <c r="L10" i="4"/>
  <c r="M10" i="4"/>
  <c r="L12" i="4"/>
  <c r="M12" i="4"/>
  <c r="L13" i="4"/>
  <c r="M13" i="4"/>
  <c r="L14" i="4"/>
  <c r="M14" i="4"/>
  <c r="M15" i="4"/>
  <c r="L15" i="4"/>
  <c r="S23" i="2"/>
  <c r="T23" i="2" s="1"/>
  <c r="K25" i="2"/>
  <c r="D23" i="2"/>
  <c r="U24" i="2"/>
  <c r="E35" i="2" s="1"/>
  <c r="G11" i="2"/>
  <c r="G12" i="2" s="1"/>
  <c r="D11" i="2"/>
  <c r="D14" i="2" s="1"/>
  <c r="U23" i="2" l="1"/>
  <c r="E34" i="2" s="1"/>
  <c r="C29" i="2"/>
  <c r="E23" i="2"/>
  <c r="F24" i="2" s="1"/>
  <c r="E24" i="2"/>
  <c r="J9" i="2"/>
  <c r="I9" i="2"/>
  <c r="G14" i="2"/>
  <c r="C31" i="2" s="1"/>
  <c r="G23" i="2"/>
  <c r="S25" i="2"/>
  <c r="T25" i="2" s="1"/>
  <c r="F34" i="2" s="1"/>
  <c r="U25" i="2"/>
  <c r="L24" i="2"/>
  <c r="M24" i="2" s="1"/>
  <c r="L25" i="2"/>
  <c r="M25" i="2" s="1"/>
  <c r="N23" i="2"/>
  <c r="L23" i="2"/>
  <c r="M23" i="2" s="1"/>
  <c r="E30" i="2" l="1"/>
  <c r="N24" i="2"/>
  <c r="E32" i="2" s="1"/>
  <c r="E36" i="2"/>
  <c r="E31" i="2"/>
  <c r="N25" i="2"/>
  <c r="E33" i="2" s="1"/>
  <c r="G24" i="2"/>
  <c r="C34" i="2"/>
  <c r="F23" i="2"/>
  <c r="F31" i="2" l="1"/>
  <c r="E29" i="2"/>
  <c r="F29" i="2"/>
</calcChain>
</file>

<file path=xl/sharedStrings.xml><?xml version="1.0" encoding="utf-8"?>
<sst xmlns="http://schemas.openxmlformats.org/spreadsheetml/2006/main" count="371" uniqueCount="231">
  <si>
    <t>运</t>
  </si>
  <si>
    <t>鱼鱼水发动率</t>
  </si>
  <si>
    <t>等级ci项</t>
  </si>
  <si>
    <t>等级（可变）</t>
  </si>
  <si>
    <t>火力</t>
  </si>
  <si>
    <t>雷装</t>
  </si>
  <si>
    <t>改修1</t>
  </si>
  <si>
    <t>改修2</t>
  </si>
  <si>
    <t>改修3</t>
  </si>
  <si>
    <t>改修4</t>
  </si>
  <si>
    <t>等级</t>
  </si>
  <si>
    <t>攻击力</t>
  </si>
  <si>
    <t>改修5</t>
  </si>
  <si>
    <t>旗舰</t>
  </si>
  <si>
    <t>灯</t>
  </si>
  <si>
    <t>照明</t>
  </si>
  <si>
    <t>见张</t>
  </si>
  <si>
    <t>总ci项</t>
  </si>
  <si>
    <t>发动率</t>
  </si>
  <si>
    <t>鱼鱼水</t>
  </si>
  <si>
    <t>主鱼电见</t>
  </si>
  <si>
    <t>鱼鱼鱼水</t>
  </si>
  <si>
    <t>单发</t>
  </si>
  <si>
    <t>双发</t>
  </si>
  <si>
    <t>鱼鱼</t>
  </si>
  <si>
    <t>不发</t>
  </si>
  <si>
    <t>主鱼电</t>
  </si>
  <si>
    <t>鱼见电</t>
  </si>
  <si>
    <t>主鱼</t>
  </si>
  <si>
    <t>ci项</t>
  </si>
  <si>
    <t>敌装甲</t>
  </si>
  <si>
    <t>阈值前攻击力</t>
  </si>
  <si>
    <t>倍卡乘算</t>
  </si>
  <si>
    <t>倍卡加算</t>
  </si>
  <si>
    <t>破甲率</t>
  </si>
  <si>
    <t>夜侦</t>
  </si>
  <si>
    <t>伤害下限</t>
  </si>
  <si>
    <t>伤害上限</t>
  </si>
  <si>
    <t xml:space="preserve">阈值后攻击力 </t>
  </si>
  <si>
    <t>攻击方式</t>
  </si>
  <si>
    <t>伤害计算</t>
  </si>
  <si>
    <t>D3鱼电</t>
  </si>
  <si>
    <t>D2鱼电</t>
  </si>
  <si>
    <t>全局变量</t>
  </si>
  <si>
    <t>双发ci率</t>
  </si>
  <si>
    <t>倍率速查</t>
  </si>
  <si>
    <t>无D炮</t>
  </si>
  <si>
    <t>D2</t>
  </si>
  <si>
    <t>D2+D2</t>
  </si>
  <si>
    <t>D3</t>
  </si>
  <si>
    <t>D3+D2</t>
  </si>
  <si>
    <t>鱼鱼水/鱼鱼</t>
  </si>
  <si>
    <t>鱼水桶</t>
  </si>
  <si>
    <t>伤害期望</t>
  </si>
  <si>
    <t>配装</t>
  </si>
  <si>
    <t>D3鱼见电</t>
  </si>
  <si>
    <t>D2鱼见电</t>
  </si>
  <si>
    <t>攻击力期望</t>
  </si>
  <si>
    <t>期望计算</t>
  </si>
  <si>
    <t>*擦弹伤害一律按0计算</t>
  </si>
  <si>
    <t>CI伤害期望</t>
  </si>
  <si>
    <t>攻击力暂存</t>
  </si>
  <si>
    <t>基础攻击力</t>
  </si>
  <si>
    <t>*请手动复制基础攻击力计算值</t>
  </si>
  <si>
    <t>*鱼鱼水配装</t>
  </si>
  <si>
    <t>*D3鱼电见配装</t>
  </si>
  <si>
    <t>*D2鱼电见配装</t>
  </si>
  <si>
    <t>说明</t>
  </si>
  <si>
    <t>单双发比率</t>
  </si>
  <si>
    <t>1:8</t>
  </si>
  <si>
    <t>1:2</t>
  </si>
  <si>
    <t>1:1</t>
  </si>
  <si>
    <t>配装范例</t>
  </si>
  <si>
    <t>机种</t>
  </si>
  <si>
    <t>种别倍率</t>
  </si>
  <si>
    <t>最終攻撃力 = [[基本攻撃力] × クリティカル補正 × 熟練度クリティカル補正] × 触接補正 × 陸攻補正 × 陸偵補正 × 陸攻特効 × 敵連合特効</t>
  </si>
  <si>
    <t>基本攻撃力 = 種別倍率 × {(雷装 or 爆装 + 改修強化値(基地) ) × √(搭載数補正 × 搭載数) + 25}</t>
  </si>
  <si>
    <t>基本攻击力</t>
  </si>
  <si>
    <t>雷装/爆装</t>
  </si>
  <si>
    <t>改修</t>
  </si>
  <si>
    <t>诱导弹补正</t>
  </si>
  <si>
    <t>跳弹补正</t>
  </si>
  <si>
    <t>搭载数补正</t>
  </si>
  <si>
    <t>搭载数</t>
  </si>
  <si>
    <t>最终攻击力</t>
  </si>
  <si>
    <t>暴击补正</t>
  </si>
  <si>
    <t>熟练度补正</t>
  </si>
  <si>
    <t>触接补正</t>
  </si>
  <si>
    <t>陆攻补正</t>
  </si>
  <si>
    <t>陆侦补正</t>
  </si>
  <si>
    <t>敌联合特效</t>
  </si>
  <si>
    <t xml:space="preserve">1.将面板火雷输入对应的火力及雷装单元格，将改修数输入对应单元格，分开计算鱼鱼水以及主鱼电见以确保期望计算中的准确性										
2.将计算后的基础攻击力复制并粘贴为数值存储在攻击力暂存表格内										
3.阈值前攻击力计算式为（火力+雷装+改修补正）*攻击倍率，超出360的部分开根号										
4.阈值后攻击力计算式为阈值前攻击力*倍卡乘算+倍卡加算										
5.伤害计算公式为阈值后攻击力-敌防御力。敌防御力计算为敌装甲*[0.7,1.3-0.6]，为线性区间。因此伤害计算有上下限					
6.伤害计算中擦弹部分显示为会出现擦弹的概率，擦弹率具体计算为100%-破甲率（等同于未破甲伤害区间/全伤害区间）								
7.期望计算当中攻击力期望为对应阈值后攻击力*发动率，包含不发率								
8.伤害期望基本计算为0.5*（伤害上限-伤害下限），任意数值擦弹时按0计算。伤害期望只计算伤害下限*各攻击方式单双发倍率的算术平均值										
9.ci伤害期望计算为基本伤害期望*单双发数*对应发动率的算术平均值										</t>
  </si>
  <si>
    <t>基本攻撃力 = [(火力 + 雷装 + [爆装 × 1.3] + 支援艦隊定数(-1)) × 1.5] + 55 ([]内は小数点以下切り捨て)</t>
  </si>
  <si>
    <t>基本攻撃力 = 火力 + 支援艦隊定数(+4)</t>
  </si>
  <si>
    <t>舰种</t>
  </si>
  <si>
    <t>爆装</t>
  </si>
  <si>
    <t>非空母系</t>
  </si>
  <si>
    <t>空母系</t>
  </si>
  <si>
    <t>阈值后攻击力</t>
  </si>
  <si>
    <t>编号</t>
  </si>
  <si>
    <t>航向</t>
  </si>
  <si>
    <t>航向系数</t>
  </si>
  <si>
    <t>命中</t>
  </si>
  <si>
    <t>装备命中</t>
  </si>
  <si>
    <t>命中項(砲撃支援) = {命中定数 + 2 * √(攻撃側Lv) + 1.5 * √(運) + 装備命中値} * 陣形補正 * 疲労キラ補正</t>
  </si>
  <si>
    <t>阵型补正</t>
  </si>
  <si>
    <t>闪补正</t>
  </si>
  <si>
    <t>命中项</t>
  </si>
  <si>
    <t>鱼鱼发动率</t>
    <phoneticPr fontId="2" type="noConversion"/>
  </si>
  <si>
    <t>鱼鱼水综合发动率</t>
    <phoneticPr fontId="2" type="noConversion"/>
  </si>
  <si>
    <t>主鱼电发动率</t>
    <phoneticPr fontId="2" type="noConversion"/>
  </si>
  <si>
    <t>鱼见电发动率</t>
    <phoneticPr fontId="2" type="noConversion"/>
  </si>
  <si>
    <t>主鱼发动率</t>
    <phoneticPr fontId="2" type="noConversion"/>
  </si>
  <si>
    <t>主鱼见电综合发动率</t>
    <phoneticPr fontId="2" type="noConversion"/>
  </si>
  <si>
    <t>旗舰</t>
    <phoneticPr fontId="2" type="noConversion"/>
  </si>
  <si>
    <t>照明弹</t>
    <phoneticPr fontId="2" type="noConversion"/>
  </si>
  <si>
    <t>探照灯</t>
    <phoneticPr fontId="2" type="noConversion"/>
  </si>
  <si>
    <t>旗舰+照明弹+探照灯</t>
    <phoneticPr fontId="2" type="noConversion"/>
  </si>
  <si>
    <t>配装</t>
    <phoneticPr fontId="2" type="noConversion"/>
  </si>
  <si>
    <t>鱼鱼水</t>
    <phoneticPr fontId="2" type="noConversion"/>
  </si>
  <si>
    <t>主鱼见电</t>
    <phoneticPr fontId="2" type="noConversion"/>
  </si>
  <si>
    <t>回避項(砲撃支援) = 基本回避項(キャップ後)</t>
  </si>
  <si>
    <t>基本回避項 = [陣形補正 * {素回避値 + 装備回避値 + √(2 * 運)}]</t>
  </si>
  <si>
    <t>敌舰数据</t>
    <phoneticPr fontId="2" type="noConversion"/>
  </si>
  <si>
    <t>装甲</t>
    <phoneticPr fontId="2" type="noConversion"/>
  </si>
  <si>
    <t>血量</t>
    <phoneticPr fontId="2" type="noConversion"/>
  </si>
  <si>
    <t>回避项</t>
    <phoneticPr fontId="2" type="noConversion"/>
  </si>
  <si>
    <t>*ID:1952 驱逐ナ级后期型Ⅱ的回避项为69</t>
    <phoneticPr fontId="2" type="noConversion"/>
  </si>
  <si>
    <t>支援伤害</t>
    <phoneticPr fontId="2" type="noConversion"/>
  </si>
  <si>
    <t>编号</t>
    <phoneticPr fontId="2" type="noConversion"/>
  </si>
  <si>
    <t>伤害上限</t>
    <phoneticPr fontId="2" type="noConversion"/>
  </si>
  <si>
    <t>伤害下限</t>
    <phoneticPr fontId="2" type="noConversion"/>
  </si>
  <si>
    <t>确杀攻击力</t>
  </si>
  <si>
    <t>反航</t>
  </si>
  <si>
    <t>大破攻击力</t>
  </si>
  <si>
    <t>命中率</t>
  </si>
  <si>
    <t>装备类型</t>
  </si>
  <si>
    <t>登陆艇</t>
  </si>
  <si>
    <t>补正类型</t>
  </si>
  <si>
    <t>装备数量</t>
  </si>
  <si>
    <t>通用补正</t>
  </si>
  <si>
    <t>炮台小鬼</t>
  </si>
  <si>
    <t>离岛栖姬</t>
  </si>
  <si>
    <t>港湾夏姬</t>
  </si>
  <si>
    <t>港湾栖姬 北方栖姬 飞行场姬 彼岸花栖姬 集积地栖姬 （软皮陆基）</t>
  </si>
  <si>
    <t xml:space="preserve">集积地栖姬 </t>
  </si>
  <si>
    <t>阈值前对陆乘算补正</t>
  </si>
  <si>
    <t>阈值后对陆乘算补正</t>
  </si>
  <si>
    <t>大发动艇</t>
  </si>
  <si>
    <t>特大发动艇</t>
  </si>
  <si>
    <t>特大发动艇+战车第11连队</t>
  </si>
  <si>
    <t>特大发动艇+一式炮战车</t>
  </si>
  <si>
    <t>大发动艇(Ⅱ号战车/北非式样)</t>
  </si>
  <si>
    <t>特大发动艇(Ⅲ号战车/北非式样)</t>
  </si>
  <si>
    <t>武装大发</t>
  </si>
  <si>
    <t>装甲艇(AB艇)</t>
  </si>
  <si>
    <t>M4A1DD</t>
  </si>
  <si>
    <t>改修补正</t>
  </si>
  <si>
    <t>&gt;1</t>
  </si>
  <si>
    <t>1</t>
  </si>
  <si>
    <t>≥1</t>
  </si>
  <si>
    <t>1.3*改修补正</t>
  </si>
  <si>
    <t>2.08*改修补正</t>
  </si>
  <si>
    <t>1+(登陆艇改修星数总和)/总登陆艇数/50</t>
  </si>
  <si>
    <t>登陆艇特殊补正</t>
  </si>
  <si>
    <t>装备</t>
  </si>
  <si>
    <t>数量</t>
  </si>
  <si>
    <t>乘算补正</t>
  </si>
  <si>
    <t>加算补正</t>
  </si>
  <si>
    <t>特大发动艇+战车第11连队 特大发动艇(Ⅲ号战车/北非式样) 特大发动艇+一式炮战车</t>
  </si>
  <si>
    <t>大发系套装补正</t>
  </si>
  <si>
    <t>A</t>
  </si>
  <si>
    <t>B</t>
  </si>
  <si>
    <t>C</t>
  </si>
  <si>
    <t>大发动艇(89式中战车&amp;陆战队)</t>
  </si>
  <si>
    <t>D</t>
  </si>
  <si>
    <t>特二式内火艇</t>
  </si>
  <si>
    <t>内火艇</t>
  </si>
  <si>
    <t>1+(内火艇改修星数总和)/总内火艇数/30</t>
  </si>
  <si>
    <t xml:space="preserve">大发动艇(89式中战车&amp;陆战队) </t>
  </si>
  <si>
    <t>阈值后攻击力 = 阈值 + √(阈值前攻击力 - 阈值)</t>
  </si>
  <si>
    <t>套装条件</t>
  </si>
  <si>
    <t>套装乘算</t>
  </si>
  <si>
    <t>套装加算</t>
  </si>
  <si>
    <t>A+B=1,                       (2A0B时无补正)               C+D≥1</t>
  </si>
  <si>
    <t>A≥1                                  B≥1                                       C=0                                           D=1</t>
  </si>
  <si>
    <t>A≥1                                  B≥1                                       C=1                                           D=1</t>
  </si>
  <si>
    <t>1.2*1.1=1.32</t>
  </si>
  <si>
    <t>10+2=12</t>
  </si>
  <si>
    <t>1.2*1.2=1.44</t>
  </si>
  <si>
    <t>10+3=13</t>
  </si>
  <si>
    <t>1.2*1.3=1.56</t>
  </si>
  <si>
    <t>10+5=15</t>
  </si>
  <si>
    <t>强化弹</t>
  </si>
  <si>
    <t>穿甲弹</t>
  </si>
  <si>
    <t>三式弹</t>
  </si>
  <si>
    <t>对地喷进炮</t>
  </si>
  <si>
    <t>Wurfgerät 42</t>
  </si>
  <si>
    <t>特殊对地装备</t>
  </si>
  <si>
    <t>反潜迫击炮</t>
  </si>
  <si>
    <t>水上机</t>
  </si>
  <si>
    <t>水爆&amp;水战</t>
  </si>
  <si>
    <t>舰载机</t>
  </si>
  <si>
    <t>舰爆</t>
  </si>
  <si>
    <t>阈值前对陆加算</t>
  </si>
  <si>
    <t>舰载型 四式20cm对地喷进炮</t>
  </si>
  <si>
    <t>舰载型 四式20cm对地喷进炮 集中配备</t>
  </si>
  <si>
    <t>二式12cm迫击炮改</t>
  </si>
  <si>
    <t>二式12cm迫击炮改 集中配备</t>
  </si>
  <si>
    <t>舰种补正</t>
  </si>
  <si>
    <t>对象</t>
  </si>
  <si>
    <t xml:space="preserve">A≥1                                     B≥1                                     C+D≥2                                         </t>
  </si>
  <si>
    <t>补正值</t>
  </si>
  <si>
    <t>轻巡洋舰/驱逐舰</t>
  </si>
  <si>
    <t>*1.4</t>
  </si>
  <si>
    <t>潜水舰</t>
  </si>
  <si>
    <t>所有陆基</t>
  </si>
  <si>
    <t>+30</t>
  </si>
  <si>
    <r>
      <t>阈值前攻击力 = (((((基本攻击力 × 舰种补正 + 舰种补正) × </t>
    </r>
    <r>
      <rPr>
        <sz val="11"/>
        <color theme="9" tint="0.39997558519241921"/>
        <rFont val="等线"/>
        <family val="2"/>
        <scheme val="minor"/>
      </rPr>
      <t>阈值前对陆乘算补正</t>
    </r>
    <r>
      <rPr>
        <sz val="11"/>
        <color theme="1"/>
        <rFont val="等线"/>
        <family val="2"/>
        <charset val="134"/>
        <scheme val="minor"/>
      </rPr>
      <t>                                                   × </t>
    </r>
    <r>
      <rPr>
        <sz val="11"/>
        <color rgb="FFFF0000"/>
        <rFont val="等线"/>
        <family val="2"/>
        <scheme val="minor"/>
      </rPr>
      <t>11连队补正 </t>
    </r>
    <r>
      <rPr>
        <sz val="11"/>
        <rFont val="等线"/>
        <family val="2"/>
        <scheme val="minor"/>
      </rPr>
      <t>+</t>
    </r>
    <r>
      <rPr>
        <sz val="11"/>
        <color rgb="FFFF0000"/>
        <rFont val="等线"/>
        <family val="2"/>
        <scheme val="minor"/>
      </rPr>
      <t> 11连队补正</t>
    </r>
    <r>
      <rPr>
        <sz val="11"/>
        <color theme="1"/>
        <rFont val="等线"/>
        <family val="2"/>
        <charset val="134"/>
        <scheme val="minor"/>
      </rPr>
      <t>) × </t>
    </r>
    <r>
      <rPr>
        <sz val="11"/>
        <color theme="5" tint="-0.249977111117893"/>
        <rFont val="等线"/>
        <family val="2"/>
        <scheme val="minor"/>
      </rPr>
      <t>M4A1补正</t>
    </r>
    <r>
      <rPr>
        <sz val="11"/>
        <color theme="1"/>
        <rFont val="等线"/>
        <family val="2"/>
        <charset val="134"/>
        <scheme val="minor"/>
      </rPr>
      <t> + </t>
    </r>
    <r>
      <rPr>
        <sz val="11"/>
        <color theme="5" tint="-0.249977111117893"/>
        <rFont val="等线"/>
        <family val="2"/>
        <scheme val="minor"/>
      </rPr>
      <t>M4A1补正</t>
    </r>
    <r>
      <rPr>
        <sz val="11"/>
        <color theme="1"/>
        <rFont val="等线"/>
        <family val="2"/>
        <charset val="134"/>
        <scheme val="minor"/>
      </rPr>
      <t>) × </t>
    </r>
    <r>
      <rPr>
        <sz val="11"/>
        <color theme="5" tint="0.39997558519241921"/>
        <rFont val="等线"/>
        <family val="2"/>
        <scheme val="minor"/>
      </rPr>
      <t>一式炮战车补正</t>
    </r>
    <r>
      <rPr>
        <sz val="11"/>
        <color theme="1"/>
        <rFont val="等线"/>
        <family val="2"/>
        <charset val="134"/>
        <scheme val="minor"/>
      </rPr>
      <t> + </t>
    </r>
    <r>
      <rPr>
        <sz val="11"/>
        <color theme="5" tint="0.39997558519241921"/>
        <rFont val="等线"/>
        <family val="2"/>
        <scheme val="minor"/>
      </rPr>
      <t>一式炮战车补正</t>
    </r>
    <r>
      <rPr>
        <sz val="11"/>
        <color theme="1"/>
        <rFont val="等线"/>
        <family val="2"/>
        <charset val="134"/>
        <scheme val="minor"/>
      </rPr>
      <t xml:space="preserve">) × 大发系套装补正 + 大发系套装补正 + 阈值前对陆加算补正)                                                                                                                                     × 其它阈值前补正 + 其它阈值前补正                                                                                                                                                                                             </t>
    </r>
  </si>
  <si>
    <t>大发系套装一览</t>
  </si>
  <si>
    <t>装备种类</t>
  </si>
  <si>
    <t>武装大发(仅昼战)</t>
  </si>
  <si>
    <t>装甲艇(AB艇)(仅昼战)</t>
  </si>
  <si>
    <t>阈值前补正</t>
  </si>
  <si>
    <t>阈值后补正</t>
  </si>
  <si>
    <t xml:space="preserve">登陆艇装备详情&amp;补正 </t>
  </si>
  <si>
    <t>D3+D3</t>
    <phoneticPr fontId="2" type="noConversion"/>
  </si>
  <si>
    <t>伤害计算</t>
    <phoneticPr fontId="2" type="noConversion"/>
  </si>
  <si>
    <t>敌装甲</t>
    <phoneticPr fontId="2" type="noConversion"/>
  </si>
  <si>
    <t>伤害</t>
    <phoneticPr fontId="2" type="noConversion"/>
  </si>
  <si>
    <t>重爆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</si>
</sst>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rgb="FF000000"/>
      <name val="Verdana"/>
      <family val="2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color theme="9" tint="0.39997558519241921"/>
      <name val="等线"/>
      <family val="2"/>
      <scheme val="minor"/>
    </font>
    <font>
      <sz val="11"/>
      <color theme="5" tint="0.39997558519241921"/>
      <name val="等线"/>
      <family val="2"/>
      <charset val="134"/>
      <scheme val="minor"/>
    </font>
    <font>
      <sz val="11"/>
      <color theme="5" tint="0.39997558519241921"/>
      <name val="等线"/>
      <family val="2"/>
      <scheme val="minor"/>
    </font>
    <font>
      <sz val="8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2" borderId="1" xfId="0" applyFill="1" applyBorder="1"/>
    <xf numFmtId="10" fontId="0" fillId="2" borderId="1" xfId="1" applyNumberFormat="1" applyFont="1" applyFill="1" applyBorder="1"/>
    <xf numFmtId="10" fontId="0" fillId="2" borderId="1" xfId="0" applyNumberFormat="1" applyFill="1" applyBorder="1"/>
    <xf numFmtId="10" fontId="0" fillId="3" borderId="1" xfId="1" applyNumberFormat="1" applyFont="1" applyFill="1" applyBorder="1"/>
    <xf numFmtId="10" fontId="0" fillId="3" borderId="1" xfId="0" applyNumberFormat="1" applyFill="1" applyBorder="1"/>
    <xf numFmtId="0" fontId="0" fillId="5" borderId="0" xfId="0" applyFill="1"/>
    <xf numFmtId="0" fontId="0" fillId="0" borderId="1" xfId="0" applyBorder="1"/>
    <xf numFmtId="10" fontId="0" fillId="0" borderId="0" xfId="1" applyNumberFormat="1" applyFont="1" applyBorder="1"/>
    <xf numFmtId="176" fontId="0" fillId="0" borderId="0" xfId="0" applyNumberFormat="1"/>
    <xf numFmtId="0" fontId="0" fillId="0" borderId="9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7" fontId="0" fillId="0" borderId="1" xfId="0" applyNumberFormat="1" applyBorder="1"/>
    <xf numFmtId="177" fontId="0" fillId="0" borderId="0" xfId="0" applyNumberForma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7" borderId="1" xfId="1" applyNumberFormat="1" applyFont="1" applyFill="1" applyBorder="1"/>
    <xf numFmtId="9" fontId="0" fillId="6" borderId="1" xfId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8" borderId="1" xfId="0" applyFill="1" applyBorder="1"/>
    <xf numFmtId="9" fontId="0" fillId="8" borderId="1" xfId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76" fontId="0" fillId="6" borderId="1" xfId="0" applyNumberFormat="1" applyFill="1" applyBorder="1"/>
    <xf numFmtId="176" fontId="0" fillId="7" borderId="1" xfId="0" applyNumberFormat="1" applyFill="1" applyBorder="1"/>
    <xf numFmtId="10" fontId="0" fillId="6" borderId="1" xfId="0" applyNumberFormat="1" applyFill="1" applyBorder="1"/>
    <xf numFmtId="10" fontId="0" fillId="7" borderId="1" xfId="0" applyNumberFormat="1" applyFill="1" applyBorder="1"/>
    <xf numFmtId="20" fontId="0" fillId="6" borderId="1" xfId="0" quotePrefix="1" applyNumberFormat="1" applyFill="1" applyBorder="1"/>
    <xf numFmtId="20" fontId="0" fillId="7" borderId="1" xfId="0" quotePrefix="1" applyNumberFormat="1" applyFill="1" applyBorder="1"/>
    <xf numFmtId="0" fontId="0" fillId="6" borderId="2" xfId="0" applyFill="1" applyBorder="1"/>
    <xf numFmtId="0" fontId="0" fillId="9" borderId="1" xfId="0" applyFill="1" applyBorder="1"/>
    <xf numFmtId="0" fontId="4" fillId="0" borderId="0" xfId="0" applyFont="1"/>
    <xf numFmtId="0" fontId="6" fillId="0" borderId="0" xfId="0" applyFont="1"/>
    <xf numFmtId="0" fontId="0" fillId="10" borderId="1" xfId="0" applyFill="1" applyBorder="1"/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10" fontId="0" fillId="8" borderId="1" xfId="1" applyNumberFormat="1" applyFont="1" applyFill="1" applyBorder="1"/>
    <xf numFmtId="10" fontId="0" fillId="4" borderId="1" xfId="1" applyNumberFormat="1" applyFont="1" applyFill="1" applyBorder="1"/>
    <xf numFmtId="10" fontId="0" fillId="11" borderId="1" xfId="1" applyNumberFormat="1" applyFont="1" applyFill="1" applyBorder="1"/>
    <xf numFmtId="10" fontId="0" fillId="12" borderId="1" xfId="1" applyNumberFormat="1" applyFont="1" applyFill="1" applyBorder="1"/>
    <xf numFmtId="0" fontId="5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39</xdr:row>
      <xdr:rowOff>0</xdr:rowOff>
    </xdr:from>
    <xdr:to>
      <xdr:col>10</xdr:col>
      <xdr:colOff>1078230</xdr:colOff>
      <xdr:row>47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0D580D-2052-4904-81DE-BC75B8A00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7067550"/>
          <a:ext cx="10355580" cy="14573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B6F-8A74-437F-A508-4B4E520A7C4C}">
  <dimension ref="A1:R102"/>
  <sheetViews>
    <sheetView zoomScale="85" zoomScaleNormal="85" workbookViewId="0">
      <selection activeCell="R34" sqref="R34"/>
    </sheetView>
  </sheetViews>
  <sheetFormatPr defaultRowHeight="14.25" x14ac:dyDescent="0.2"/>
  <cols>
    <col min="1" max="1" width="13" bestFit="1" customWidth="1"/>
    <col min="3" max="3" width="11" bestFit="1" customWidth="1"/>
    <col min="4" max="4" width="13" bestFit="1" customWidth="1"/>
    <col min="5" max="5" width="17.25" bestFit="1" customWidth="1"/>
    <col min="6" max="7" width="13" bestFit="1" customWidth="1"/>
    <col min="8" max="8" width="11" bestFit="1" customWidth="1"/>
    <col min="9" max="9" width="19.25" bestFit="1" customWidth="1"/>
    <col min="10" max="10" width="7.125" bestFit="1" customWidth="1"/>
    <col min="12" max="12" width="7.125" bestFit="1" customWidth="1"/>
    <col min="14" max="14" width="7.125" bestFit="1" customWidth="1"/>
    <col min="16" max="16" width="10" customWidth="1"/>
    <col min="17" max="17" width="11" customWidth="1"/>
  </cols>
  <sheetData>
    <row r="1" spans="1:18" x14ac:dyDescent="0.2">
      <c r="A1" s="6" t="s">
        <v>3</v>
      </c>
      <c r="B1" s="6">
        <v>99</v>
      </c>
      <c r="C1" s="70" t="s">
        <v>108</v>
      </c>
      <c r="D1" s="70" t="s">
        <v>1</v>
      </c>
      <c r="E1" s="70" t="s">
        <v>109</v>
      </c>
      <c r="F1" s="72" t="s">
        <v>110</v>
      </c>
      <c r="G1" s="72" t="s">
        <v>111</v>
      </c>
      <c r="H1" s="72" t="s">
        <v>112</v>
      </c>
      <c r="I1" s="72" t="s">
        <v>113</v>
      </c>
      <c r="J1" s="74" t="s">
        <v>114</v>
      </c>
      <c r="K1" s="74"/>
      <c r="L1" s="75" t="s">
        <v>115</v>
      </c>
      <c r="M1" s="75"/>
      <c r="N1" s="76" t="s">
        <v>116</v>
      </c>
      <c r="O1" s="76"/>
      <c r="P1" s="73" t="s">
        <v>117</v>
      </c>
      <c r="Q1" s="73"/>
      <c r="R1" t="s">
        <v>118</v>
      </c>
    </row>
    <row r="2" spans="1:18" x14ac:dyDescent="0.2">
      <c r="A2" t="s">
        <v>0</v>
      </c>
      <c r="B2" t="s">
        <v>29</v>
      </c>
      <c r="C2" s="71"/>
      <c r="D2" s="71"/>
      <c r="E2" s="71"/>
      <c r="F2" s="72"/>
      <c r="G2" s="72"/>
      <c r="H2" s="72"/>
      <c r="I2" s="72"/>
      <c r="J2" s="39" t="s">
        <v>119</v>
      </c>
      <c r="K2" s="39" t="s">
        <v>120</v>
      </c>
      <c r="L2" s="16" t="s">
        <v>119</v>
      </c>
      <c r="M2" s="16" t="s">
        <v>120</v>
      </c>
      <c r="N2" s="40" t="s">
        <v>119</v>
      </c>
      <c r="O2" s="40" t="s">
        <v>120</v>
      </c>
      <c r="P2" s="41" t="s">
        <v>119</v>
      </c>
      <c r="Q2" s="41" t="s">
        <v>120</v>
      </c>
      <c r="R2" s="42"/>
    </row>
    <row r="3" spans="1:18" x14ac:dyDescent="0.2">
      <c r="A3">
        <v>1</v>
      </c>
      <c r="B3">
        <f>INT(IF(A3&gt;50,15+50+SQRT(A3-50)+0.8*SQRT(B1)+9,15+A3+0.75*SQRT(B1)+9))</f>
        <v>32</v>
      </c>
      <c r="C3" s="2">
        <f>B3/122</f>
        <v>0.26229508196721313</v>
      </c>
      <c r="D3" s="2">
        <f>B3/125</f>
        <v>0.25600000000000001</v>
      </c>
      <c r="E3" s="3">
        <f>D3+(1-D3)*C3</f>
        <v>0.45114754098360654</v>
      </c>
      <c r="F3" s="4">
        <f>B3/115</f>
        <v>0.27826086956521739</v>
      </c>
      <c r="G3" s="4">
        <f>B3/140</f>
        <v>0.22857142857142856</v>
      </c>
      <c r="H3" s="4">
        <f>B3/115</f>
        <v>0.27826086956521739</v>
      </c>
      <c r="I3" s="5">
        <f>F3+(1-F3)*G3+(1-F3)*(1-G3)*H3</f>
        <v>0.59815716986227385</v>
      </c>
      <c r="J3" s="43">
        <f>(B3+15)/125+(1-(B3+15)/125)*(B3+15)/122</f>
        <v>0.61639344262295082</v>
      </c>
      <c r="K3" s="43">
        <f>(B3+15)/115+(1-(B3+15)/115)*(B3+15)/140+(1-(B3+15)/115)*(1-(B3+15)/140)*(B3+15)/115</f>
        <v>0.76773859033216307</v>
      </c>
      <c r="L3" s="44">
        <f>(B3+4)/125+(1-(B3+4)/125)*(B3+4)/122</f>
        <v>0.49809836065573765</v>
      </c>
      <c r="M3" s="44">
        <f>(B3+4)/115+(1-(B3+4)/115)*(B3+4)/140+(1-(B3+4)/115)*(1-(B3+4)/140)*(B3+4)/115</f>
        <v>0.64943883337834196</v>
      </c>
      <c r="N3" s="45">
        <f>(B3+7)/125+(1-(B3+7)/125)*(B3+7)/122</f>
        <v>0.53193442622950815</v>
      </c>
      <c r="O3" s="45">
        <f>(B3+7)/115+(1-(B3+7)/115)*(B3+7)/140+(1-(B3+7)/115)*(1-(B3+7)/140)*(B3+7)/115</f>
        <v>0.68491709424790714</v>
      </c>
      <c r="P3" s="46">
        <f>(B3+26)/125+(1-(B3+26)/125)*(B3+26)/122</f>
        <v>0.7188196721311475</v>
      </c>
      <c r="Q3" s="46">
        <f>(B3+26)/115+(1-(B3+26)/115)*(B3+26)/140+(1-(B3+26)/115)*(1-(B3+26)/140)*(B3+26)/115</f>
        <v>0.85610694031866053</v>
      </c>
    </row>
    <row r="4" spans="1:18" x14ac:dyDescent="0.2">
      <c r="A4">
        <v>2</v>
      </c>
      <c r="B4">
        <f>INT(IF(A4&gt;50,15+50+SQRT(A4-50)+0.8*SQRT(B1)+9,15+A4+0.75*SQRT(B1)+9))</f>
        <v>33</v>
      </c>
      <c r="C4" s="2">
        <f t="shared" ref="C4:C67" si="0">B4/122</f>
        <v>0.27049180327868855</v>
      </c>
      <c r="D4" s="2">
        <f t="shared" ref="D4:D67" si="1">B4/125</f>
        <v>0.26400000000000001</v>
      </c>
      <c r="E4" s="3">
        <f t="shared" ref="E4:E67" si="2">D4+(1-D4)*C4</f>
        <v>0.46308196721311479</v>
      </c>
      <c r="F4" s="4">
        <f t="shared" ref="F4:F67" si="3">B4/115</f>
        <v>0.28695652173913044</v>
      </c>
      <c r="G4" s="4">
        <f t="shared" ref="G4:G67" si="4">B4/140</f>
        <v>0.23571428571428571</v>
      </c>
      <c r="H4" s="4">
        <f t="shared" ref="H4:H67" si="5">B4/115</f>
        <v>0.28695652173913044</v>
      </c>
      <c r="I4" s="5">
        <f t="shared" ref="I4:I67" si="6">F4+(1-F4)*G4+(1-F4)*(1-G4)*H4</f>
        <v>0.61141344855522539</v>
      </c>
      <c r="J4" s="43">
        <f t="shared" ref="J4:J67" si="7">(B4+15)/125+(1-(B4+15)/125)*(B4+15)/122</f>
        <v>0.62636065573770494</v>
      </c>
      <c r="K4" s="43">
        <f t="shared" ref="K4:K67" si="8">(B4+15)/115+(1-(B4+15)/115)*(B4+15)/140+(1-(B4+15)/115)*(1-(B4+15)/140)*(B4+15)/115</f>
        <v>0.77694409937888198</v>
      </c>
      <c r="L4" s="44">
        <f t="shared" ref="L4:L67" si="9">(B4+4)/125+(1-(B4+4)/125)*(B4+4)/122</f>
        <v>0.50950819672131142</v>
      </c>
      <c r="M4" s="44">
        <f t="shared" ref="M4:M67" si="10">(B4+4)/115+(1-(B4+4)/115)*(B4+4)/140+(1-(B4+4)/115)*(1-(B4+4)/140)*(B4+4)/115</f>
        <v>0.66154361328652445</v>
      </c>
      <c r="N4" s="45">
        <f t="shared" ref="N4:N67" si="11">(B4+7)/125+(1-(B4+7)/125)*(B4+7)/122</f>
        <v>0.5429508196721311</v>
      </c>
      <c r="O4" s="45">
        <f t="shared" ref="O4:O67" si="12">(B4+7)/115+(1-(B4+7)/115)*(B4+7)/140+(1-(B4+7)/115)*(1-(B4+7)/140)*(B4+7)/115</f>
        <v>0.69619227653254123</v>
      </c>
      <c r="P4" s="46">
        <f t="shared" ref="P4:P67" si="13">(B4+26)/125+(1-(B4+26)/125)*(B4+26)/122</f>
        <v>0.72734426229508198</v>
      </c>
      <c r="Q4" s="46">
        <f t="shared" ref="Q4:Q67" si="14">(B4+26)/115+(1-(B4+26)/115)*(B4+26)/140+(1-(B4+26)/115)*(1-(B4+26)/140)*(B4+26)/115</f>
        <v>0.8628052930056711</v>
      </c>
    </row>
    <row r="5" spans="1:18" x14ac:dyDescent="0.2">
      <c r="A5">
        <v>3</v>
      </c>
      <c r="B5">
        <f>INT(IF(A5&gt;50,15+50+SQRT(A5-50)+0.8*SQRT(B1)+9,15+A5+0.75*SQRT(B1)+9))</f>
        <v>34</v>
      </c>
      <c r="C5" s="2">
        <f t="shared" si="0"/>
        <v>0.27868852459016391</v>
      </c>
      <c r="D5" s="2">
        <f t="shared" si="1"/>
        <v>0.27200000000000002</v>
      </c>
      <c r="E5" s="3">
        <f t="shared" si="2"/>
        <v>0.47488524590163933</v>
      </c>
      <c r="F5" s="4">
        <f t="shared" si="3"/>
        <v>0.29565217391304349</v>
      </c>
      <c r="G5" s="4">
        <f t="shared" si="4"/>
        <v>0.24285714285714285</v>
      </c>
      <c r="H5" s="4">
        <f t="shared" si="5"/>
        <v>0.29565217391304349</v>
      </c>
      <c r="I5" s="5">
        <f t="shared" si="6"/>
        <v>0.62437699162840943</v>
      </c>
      <c r="J5" s="43">
        <f t="shared" si="7"/>
        <v>0.63619672131147542</v>
      </c>
      <c r="K5" s="43">
        <f t="shared" si="8"/>
        <v>0.78590548204158783</v>
      </c>
      <c r="L5" s="44">
        <f t="shared" si="9"/>
        <v>0.52078688524590167</v>
      </c>
      <c r="M5" s="44">
        <f t="shared" si="10"/>
        <v>0.67336862003780718</v>
      </c>
      <c r="N5" s="45">
        <f t="shared" si="11"/>
        <v>0.55383606557377041</v>
      </c>
      <c r="O5" s="45">
        <f t="shared" si="12"/>
        <v>0.70719740750742643</v>
      </c>
      <c r="P5" s="46">
        <f t="shared" si="13"/>
        <v>0.73573770491803281</v>
      </c>
      <c r="Q5" s="46">
        <f t="shared" si="14"/>
        <v>0.86929516608155544</v>
      </c>
    </row>
    <row r="6" spans="1:18" x14ac:dyDescent="0.2">
      <c r="A6">
        <v>4</v>
      </c>
      <c r="B6">
        <f>INT(IF(A6&gt;50,15+50+SQRT(A6-50)+0.8*SQRT(B1)+9,15+A6+0.75*SQRT(B1)+9))</f>
        <v>35</v>
      </c>
      <c r="C6" s="2">
        <f t="shared" si="0"/>
        <v>0.28688524590163933</v>
      </c>
      <c r="D6" s="2">
        <f t="shared" si="1"/>
        <v>0.28000000000000003</v>
      </c>
      <c r="E6" s="3">
        <f t="shared" si="2"/>
        <v>0.48655737704918034</v>
      </c>
      <c r="F6" s="4">
        <f t="shared" si="3"/>
        <v>0.30434782608695654</v>
      </c>
      <c r="G6" s="4">
        <f t="shared" si="4"/>
        <v>0.25</v>
      </c>
      <c r="H6" s="4">
        <f t="shared" si="5"/>
        <v>0.30434782608695654</v>
      </c>
      <c r="I6" s="5">
        <f t="shared" si="6"/>
        <v>0.63705103969754262</v>
      </c>
      <c r="J6" s="43">
        <f t="shared" si="7"/>
        <v>0.64590163934426226</v>
      </c>
      <c r="K6" s="43">
        <f t="shared" si="8"/>
        <v>0.79462597893599796</v>
      </c>
      <c r="L6" s="44">
        <f t="shared" si="9"/>
        <v>0.53193442622950815</v>
      </c>
      <c r="M6" s="44">
        <f t="shared" si="10"/>
        <v>0.68491709424790714</v>
      </c>
      <c r="N6" s="45">
        <f t="shared" si="11"/>
        <v>0.56459016393442618</v>
      </c>
      <c r="O6" s="45">
        <f t="shared" si="12"/>
        <v>0.71793572778827985</v>
      </c>
      <c r="P6" s="46">
        <f t="shared" si="13"/>
        <v>0.74399999999999999</v>
      </c>
      <c r="Q6" s="46">
        <f t="shared" si="14"/>
        <v>0.87557980016203074</v>
      </c>
    </row>
    <row r="7" spans="1:18" x14ac:dyDescent="0.2">
      <c r="A7">
        <v>5</v>
      </c>
      <c r="B7">
        <f>INT(IF(A7&gt;50,15+50+SQRT(A7-50)+0.8*SQRT(B1)+9,15+A7+0.75*SQRT(B1)+9))</f>
        <v>36</v>
      </c>
      <c r="C7" s="2">
        <f t="shared" si="0"/>
        <v>0.29508196721311475</v>
      </c>
      <c r="D7" s="2">
        <f t="shared" si="1"/>
        <v>0.28799999999999998</v>
      </c>
      <c r="E7" s="3">
        <f t="shared" si="2"/>
        <v>0.49809836065573765</v>
      </c>
      <c r="F7" s="4">
        <f t="shared" si="3"/>
        <v>0.31304347826086959</v>
      </c>
      <c r="G7" s="4">
        <f t="shared" si="4"/>
        <v>0.25714285714285712</v>
      </c>
      <c r="H7" s="4">
        <f t="shared" si="5"/>
        <v>0.31304347826086959</v>
      </c>
      <c r="I7" s="5">
        <f t="shared" si="6"/>
        <v>0.64943883337834196</v>
      </c>
      <c r="J7" s="43">
        <f t="shared" si="7"/>
        <v>0.65547540983606556</v>
      </c>
      <c r="K7" s="43">
        <f t="shared" si="8"/>
        <v>0.80310883067782879</v>
      </c>
      <c r="L7" s="44">
        <f t="shared" si="9"/>
        <v>0.5429508196721311</v>
      </c>
      <c r="M7" s="44">
        <f t="shared" si="10"/>
        <v>0.69619227653254123</v>
      </c>
      <c r="N7" s="45">
        <f t="shared" si="11"/>
        <v>0.57521311475409831</v>
      </c>
      <c r="O7" s="45">
        <f t="shared" si="12"/>
        <v>0.72841047799081815</v>
      </c>
      <c r="P7" s="46">
        <f t="shared" si="13"/>
        <v>0.75213114754098354</v>
      </c>
      <c r="Q7" s="46">
        <f t="shared" si="14"/>
        <v>0.88166243586281401</v>
      </c>
    </row>
    <row r="8" spans="1:18" x14ac:dyDescent="0.2">
      <c r="A8">
        <v>6</v>
      </c>
      <c r="B8">
        <f>INT(IF(A8&gt;50,15+50+SQRT(A8-50)+0.8*SQRT(B1)+9,15+A8+0.75*SQRT(B1)+9))</f>
        <v>37</v>
      </c>
      <c r="C8" s="2">
        <f t="shared" si="0"/>
        <v>0.30327868852459017</v>
      </c>
      <c r="D8" s="2">
        <f t="shared" si="1"/>
        <v>0.29599999999999999</v>
      </c>
      <c r="E8" s="3">
        <f t="shared" si="2"/>
        <v>0.50950819672131142</v>
      </c>
      <c r="F8" s="4">
        <f t="shared" si="3"/>
        <v>0.32173913043478258</v>
      </c>
      <c r="G8" s="4">
        <f t="shared" si="4"/>
        <v>0.26428571428571429</v>
      </c>
      <c r="H8" s="4">
        <f t="shared" si="5"/>
        <v>0.32173913043478258</v>
      </c>
      <c r="I8" s="5">
        <f t="shared" si="6"/>
        <v>0.66154361328652445</v>
      </c>
      <c r="J8" s="43">
        <f t="shared" si="7"/>
        <v>0.66491803278688522</v>
      </c>
      <c r="K8" s="43">
        <f t="shared" si="8"/>
        <v>0.81135727788279766</v>
      </c>
      <c r="L8" s="44">
        <f t="shared" si="9"/>
        <v>0.55383606557377041</v>
      </c>
      <c r="M8" s="44">
        <f t="shared" si="10"/>
        <v>0.70719740750742643</v>
      </c>
      <c r="N8" s="45">
        <f t="shared" si="11"/>
        <v>0.5857049180327869</v>
      </c>
      <c r="O8" s="45">
        <f t="shared" si="12"/>
        <v>0.73862489873075887</v>
      </c>
      <c r="P8" s="46">
        <f t="shared" si="13"/>
        <v>0.76013114754098354</v>
      </c>
      <c r="Q8" s="46">
        <f t="shared" si="14"/>
        <v>0.8875463137996219</v>
      </c>
    </row>
    <row r="9" spans="1:18" x14ac:dyDescent="0.2">
      <c r="A9">
        <v>7</v>
      </c>
      <c r="B9">
        <f>INT(IF(A9&gt;50,15+50+SQRT(A9-50)+0.8*SQRT(B1)+9,15+A9+0.75*SQRT(B1)+9))</f>
        <v>38</v>
      </c>
      <c r="C9" s="2">
        <f t="shared" si="0"/>
        <v>0.31147540983606559</v>
      </c>
      <c r="D9" s="2">
        <f t="shared" si="1"/>
        <v>0.30399999999999999</v>
      </c>
      <c r="E9" s="3">
        <f t="shared" si="2"/>
        <v>0.52078688524590167</v>
      </c>
      <c r="F9" s="4">
        <f t="shared" si="3"/>
        <v>0.33043478260869563</v>
      </c>
      <c r="G9" s="4">
        <f t="shared" si="4"/>
        <v>0.27142857142857141</v>
      </c>
      <c r="H9" s="4">
        <f t="shared" si="5"/>
        <v>0.33043478260869563</v>
      </c>
      <c r="I9" s="5">
        <f t="shared" si="6"/>
        <v>0.67336862003780718</v>
      </c>
      <c r="J9" s="43">
        <f t="shared" si="7"/>
        <v>0.67422950819672134</v>
      </c>
      <c r="K9" s="43">
        <f t="shared" si="8"/>
        <v>0.81937456116662166</v>
      </c>
      <c r="L9" s="44">
        <f t="shared" si="9"/>
        <v>0.56459016393442618</v>
      </c>
      <c r="M9" s="44">
        <f t="shared" si="10"/>
        <v>0.71793572778827985</v>
      </c>
      <c r="N9" s="45">
        <f t="shared" si="11"/>
        <v>0.59606557377049185</v>
      </c>
      <c r="O9" s="45">
        <f t="shared" si="12"/>
        <v>0.74858223062381857</v>
      </c>
      <c r="P9" s="46">
        <f t="shared" si="13"/>
        <v>0.76800000000000002</v>
      </c>
      <c r="Q9" s="46">
        <f t="shared" si="14"/>
        <v>0.89323467458817185</v>
      </c>
    </row>
    <row r="10" spans="1:18" x14ac:dyDescent="0.2">
      <c r="A10">
        <v>8</v>
      </c>
      <c r="B10">
        <f>INT(IF(A10&gt;50,15+50+SQRT(A10-50)+0.8*SQRT(B1)+9,15+A10+0.75*SQRT(B1)+9))</f>
        <v>39</v>
      </c>
      <c r="C10" s="2">
        <f t="shared" si="0"/>
        <v>0.31967213114754101</v>
      </c>
      <c r="D10" s="2">
        <f t="shared" si="1"/>
        <v>0.312</v>
      </c>
      <c r="E10" s="3">
        <f t="shared" si="2"/>
        <v>0.53193442622950826</v>
      </c>
      <c r="F10" s="4">
        <f t="shared" si="3"/>
        <v>0.33913043478260868</v>
      </c>
      <c r="G10" s="4">
        <f t="shared" si="4"/>
        <v>0.27857142857142858</v>
      </c>
      <c r="H10" s="4">
        <f t="shared" si="5"/>
        <v>0.33913043478260868</v>
      </c>
      <c r="I10" s="5">
        <f t="shared" si="6"/>
        <v>0.68491709424790714</v>
      </c>
      <c r="J10" s="43">
        <f t="shared" si="7"/>
        <v>0.68340983606557382</v>
      </c>
      <c r="K10" s="43">
        <f t="shared" si="8"/>
        <v>0.82716392114501758</v>
      </c>
      <c r="L10" s="44">
        <f t="shared" si="9"/>
        <v>0.57521311475409831</v>
      </c>
      <c r="M10" s="44">
        <f t="shared" si="10"/>
        <v>0.72841047799081815</v>
      </c>
      <c r="N10" s="45">
        <f t="shared" si="11"/>
        <v>0.60629508196721305</v>
      </c>
      <c r="O10" s="45">
        <f t="shared" si="12"/>
        <v>0.75828571428571434</v>
      </c>
      <c r="P10" s="46">
        <f t="shared" si="13"/>
        <v>0.77573770491803273</v>
      </c>
      <c r="Q10" s="46">
        <f t="shared" si="14"/>
        <v>0.89873075884418041</v>
      </c>
    </row>
    <row r="11" spans="1:18" x14ac:dyDescent="0.2">
      <c r="A11">
        <v>9</v>
      </c>
      <c r="B11">
        <f>INT(IF(A11&gt;50,15+50+SQRT(A11-50)+0.8*SQRT(B1)+9,15+A11+0.75*SQRT(B1)+9))</f>
        <v>40</v>
      </c>
      <c r="C11" s="2">
        <f t="shared" si="0"/>
        <v>0.32786885245901637</v>
      </c>
      <c r="D11" s="2">
        <f t="shared" si="1"/>
        <v>0.32</v>
      </c>
      <c r="E11" s="3">
        <f t="shared" si="2"/>
        <v>0.5429508196721311</v>
      </c>
      <c r="F11" s="4">
        <f t="shared" si="3"/>
        <v>0.34782608695652173</v>
      </c>
      <c r="G11" s="4">
        <f t="shared" si="4"/>
        <v>0.2857142857142857</v>
      </c>
      <c r="H11" s="4">
        <f t="shared" si="5"/>
        <v>0.34782608695652173</v>
      </c>
      <c r="I11" s="5">
        <f t="shared" si="6"/>
        <v>0.69619227653254123</v>
      </c>
      <c r="J11" s="43">
        <f t="shared" si="7"/>
        <v>0.69245901639344265</v>
      </c>
      <c r="K11" s="43">
        <f t="shared" si="8"/>
        <v>0.8347285984337024</v>
      </c>
      <c r="L11" s="44">
        <f t="shared" si="9"/>
        <v>0.5857049180327869</v>
      </c>
      <c r="M11" s="44">
        <f t="shared" si="10"/>
        <v>0.73862489873075887</v>
      </c>
      <c r="N11" s="45">
        <f t="shared" si="11"/>
        <v>0.61639344262295082</v>
      </c>
      <c r="O11" s="45">
        <f t="shared" si="12"/>
        <v>0.76773859033216307</v>
      </c>
      <c r="P11" s="46">
        <f t="shared" si="13"/>
        <v>0.78334426229508192</v>
      </c>
      <c r="Q11" s="46">
        <f t="shared" si="14"/>
        <v>0.90403780718336479</v>
      </c>
    </row>
    <row r="12" spans="1:18" x14ac:dyDescent="0.2">
      <c r="A12">
        <v>10</v>
      </c>
      <c r="B12">
        <f>INT(IF(A12&gt;50,15+50+SQRT(A12-50)+0.8*SQRT(B1)+9,15+A12+0.75*SQRT(B1)+9))</f>
        <v>41</v>
      </c>
      <c r="C12" s="2">
        <f t="shared" si="0"/>
        <v>0.33606557377049179</v>
      </c>
      <c r="D12" s="2">
        <f t="shared" si="1"/>
        <v>0.32800000000000001</v>
      </c>
      <c r="E12" s="3">
        <f t="shared" si="2"/>
        <v>0.55383606557377041</v>
      </c>
      <c r="F12" s="4">
        <f t="shared" si="3"/>
        <v>0.35652173913043478</v>
      </c>
      <c r="G12" s="4">
        <f t="shared" si="4"/>
        <v>0.29285714285714287</v>
      </c>
      <c r="H12" s="4">
        <f t="shared" si="5"/>
        <v>0.35652173913043478</v>
      </c>
      <c r="I12" s="5">
        <f t="shared" si="6"/>
        <v>0.70719740750742643</v>
      </c>
      <c r="J12" s="43">
        <f t="shared" si="7"/>
        <v>0.70137704918032795</v>
      </c>
      <c r="K12" s="43">
        <f t="shared" si="8"/>
        <v>0.84207183364839322</v>
      </c>
      <c r="L12" s="44">
        <f t="shared" si="9"/>
        <v>0.59606557377049185</v>
      </c>
      <c r="M12" s="44">
        <f t="shared" si="10"/>
        <v>0.74858223062381857</v>
      </c>
      <c r="N12" s="45">
        <f t="shared" si="11"/>
        <v>0.62636065573770494</v>
      </c>
      <c r="O12" s="45">
        <f t="shared" si="12"/>
        <v>0.77694409937888198</v>
      </c>
      <c r="P12" s="46">
        <f t="shared" si="13"/>
        <v>0.79081967213114757</v>
      </c>
      <c r="Q12" s="46">
        <f t="shared" si="14"/>
        <v>0.90915906022144211</v>
      </c>
    </row>
    <row r="13" spans="1:18" x14ac:dyDescent="0.2">
      <c r="A13">
        <v>11</v>
      </c>
      <c r="B13">
        <f>INT(IF(A13&gt;50,15+50+SQRT(A13-50)+0.8*SQRT(B1)+9,15+A13+0.75*SQRT(B1)+9))</f>
        <v>42</v>
      </c>
      <c r="C13" s="2">
        <f t="shared" si="0"/>
        <v>0.34426229508196721</v>
      </c>
      <c r="D13" s="2">
        <f t="shared" si="1"/>
        <v>0.33600000000000002</v>
      </c>
      <c r="E13" s="3">
        <f t="shared" si="2"/>
        <v>0.56459016393442618</v>
      </c>
      <c r="F13" s="4">
        <f t="shared" si="3"/>
        <v>0.36521739130434783</v>
      </c>
      <c r="G13" s="4">
        <f t="shared" si="4"/>
        <v>0.3</v>
      </c>
      <c r="H13" s="4">
        <f t="shared" si="5"/>
        <v>0.36521739130434783</v>
      </c>
      <c r="I13" s="5">
        <f t="shared" si="6"/>
        <v>0.71793572778827974</v>
      </c>
      <c r="J13" s="43">
        <f t="shared" si="7"/>
        <v>0.7101639344262296</v>
      </c>
      <c r="K13" s="43">
        <f t="shared" si="8"/>
        <v>0.84919686740480693</v>
      </c>
      <c r="L13" s="44">
        <f t="shared" si="9"/>
        <v>0.60629508196721305</v>
      </c>
      <c r="M13" s="44">
        <f t="shared" si="10"/>
        <v>0.75828571428571434</v>
      </c>
      <c r="N13" s="45">
        <f t="shared" si="11"/>
        <v>0.63619672131147542</v>
      </c>
      <c r="O13" s="45">
        <f t="shared" si="12"/>
        <v>0.78590548204158783</v>
      </c>
      <c r="P13" s="46">
        <f t="shared" si="13"/>
        <v>0.79816393442622946</v>
      </c>
      <c r="Q13" s="46">
        <f t="shared" si="14"/>
        <v>0.91409775857412912</v>
      </c>
    </row>
    <row r="14" spans="1:18" x14ac:dyDescent="0.2">
      <c r="A14">
        <v>12</v>
      </c>
      <c r="B14">
        <f>INT(IF(A14&gt;50,15+50+SQRT(A14-50)+0.8*SQRT(B1)+9,15+A14+0.75*SQRT(B1)+9))</f>
        <v>43</v>
      </c>
      <c r="C14" s="2">
        <f t="shared" si="0"/>
        <v>0.35245901639344263</v>
      </c>
      <c r="D14" s="2">
        <f t="shared" si="1"/>
        <v>0.34399999999999997</v>
      </c>
      <c r="E14" s="3">
        <f t="shared" si="2"/>
        <v>0.57521311475409831</v>
      </c>
      <c r="F14" s="4">
        <f t="shared" si="3"/>
        <v>0.37391304347826088</v>
      </c>
      <c r="G14" s="4">
        <f t="shared" si="4"/>
        <v>0.30714285714285716</v>
      </c>
      <c r="H14" s="4">
        <f t="shared" si="5"/>
        <v>0.37391304347826088</v>
      </c>
      <c r="I14" s="5">
        <f t="shared" si="6"/>
        <v>0.72841047799081815</v>
      </c>
      <c r="J14" s="43">
        <f t="shared" si="7"/>
        <v>0.7188196721311475</v>
      </c>
      <c r="K14" s="43">
        <f t="shared" si="8"/>
        <v>0.85610694031866053</v>
      </c>
      <c r="L14" s="44">
        <f t="shared" si="9"/>
        <v>0.61639344262295082</v>
      </c>
      <c r="M14" s="44">
        <f t="shared" si="10"/>
        <v>0.76773859033216307</v>
      </c>
      <c r="N14" s="45">
        <f t="shared" si="11"/>
        <v>0.64590163934426226</v>
      </c>
      <c r="O14" s="45">
        <f t="shared" si="12"/>
        <v>0.79462597893599796</v>
      </c>
      <c r="P14" s="46">
        <f t="shared" si="13"/>
        <v>0.80537704918032782</v>
      </c>
      <c r="Q14" s="46">
        <f t="shared" si="14"/>
        <v>0.91885714285714282</v>
      </c>
    </row>
    <row r="15" spans="1:18" x14ac:dyDescent="0.2">
      <c r="A15">
        <v>13</v>
      </c>
      <c r="B15">
        <f>INT(IF(A15&gt;50,15+50+SQRT(A15-50)+0.8*SQRT(B1)+9,15+A15+0.75*SQRT(B1)+9))</f>
        <v>44</v>
      </c>
      <c r="C15" s="2">
        <f t="shared" si="0"/>
        <v>0.36065573770491804</v>
      </c>
      <c r="D15" s="2">
        <f t="shared" si="1"/>
        <v>0.35199999999999998</v>
      </c>
      <c r="E15" s="3">
        <f t="shared" si="2"/>
        <v>0.5857049180327869</v>
      </c>
      <c r="F15" s="4">
        <f t="shared" si="3"/>
        <v>0.38260869565217392</v>
      </c>
      <c r="G15" s="4">
        <f t="shared" si="4"/>
        <v>0.31428571428571428</v>
      </c>
      <c r="H15" s="4">
        <f t="shared" si="5"/>
        <v>0.38260869565217392</v>
      </c>
      <c r="I15" s="5">
        <f t="shared" si="6"/>
        <v>0.73862489873075887</v>
      </c>
      <c r="J15" s="43">
        <f t="shared" si="7"/>
        <v>0.72734426229508198</v>
      </c>
      <c r="K15" s="43">
        <f t="shared" si="8"/>
        <v>0.8628052930056711</v>
      </c>
      <c r="L15" s="44">
        <f t="shared" si="9"/>
        <v>0.62636065573770494</v>
      </c>
      <c r="M15" s="44">
        <f t="shared" si="10"/>
        <v>0.77694409937888198</v>
      </c>
      <c r="N15" s="45">
        <f t="shared" si="11"/>
        <v>0.65547540983606556</v>
      </c>
      <c r="O15" s="45">
        <f t="shared" si="12"/>
        <v>0.80310883067782879</v>
      </c>
      <c r="P15" s="46">
        <f t="shared" si="13"/>
        <v>0.81245901639344265</v>
      </c>
      <c r="Q15" s="46">
        <f t="shared" si="14"/>
        <v>0.92344045368620042</v>
      </c>
    </row>
    <row r="16" spans="1:18" x14ac:dyDescent="0.2">
      <c r="A16">
        <v>14</v>
      </c>
      <c r="B16">
        <f>INT(IF(A16&gt;50,15+50+SQRT(A16-50)+0.8*SQRT(B1)+9,15+A16+0.75*SQRT(B1)+9))</f>
        <v>45</v>
      </c>
      <c r="C16" s="2">
        <f t="shared" si="0"/>
        <v>0.36885245901639346</v>
      </c>
      <c r="D16" s="2">
        <f t="shared" si="1"/>
        <v>0.36</v>
      </c>
      <c r="E16" s="3">
        <f t="shared" si="2"/>
        <v>0.59606557377049185</v>
      </c>
      <c r="F16" s="4">
        <f t="shared" si="3"/>
        <v>0.39130434782608697</v>
      </c>
      <c r="G16" s="4">
        <f t="shared" si="4"/>
        <v>0.32142857142857145</v>
      </c>
      <c r="H16" s="4">
        <f t="shared" si="5"/>
        <v>0.39130434782608697</v>
      </c>
      <c r="I16" s="5">
        <f t="shared" si="6"/>
        <v>0.74858223062381857</v>
      </c>
      <c r="J16" s="43">
        <f t="shared" si="7"/>
        <v>0.73573770491803281</v>
      </c>
      <c r="K16" s="43">
        <f t="shared" si="8"/>
        <v>0.86929516608155544</v>
      </c>
      <c r="L16" s="44">
        <f t="shared" si="9"/>
        <v>0.63619672131147542</v>
      </c>
      <c r="M16" s="44">
        <f t="shared" si="10"/>
        <v>0.78590548204158783</v>
      </c>
      <c r="N16" s="45">
        <f t="shared" si="11"/>
        <v>0.66491803278688522</v>
      </c>
      <c r="O16" s="45">
        <f t="shared" si="12"/>
        <v>0.81135727788279766</v>
      </c>
      <c r="P16" s="46">
        <f t="shared" si="13"/>
        <v>0.81940983606557372</v>
      </c>
      <c r="Q16" s="46">
        <f t="shared" si="14"/>
        <v>0.9278509316770186</v>
      </c>
    </row>
    <row r="17" spans="1:17" x14ac:dyDescent="0.2">
      <c r="A17">
        <v>15</v>
      </c>
      <c r="B17">
        <f>INT(IF(A17&gt;50,15+50+SQRT(A17-50)+0.8*SQRT(B1)+9,15+A17+0.75*SQRT(B1)+9))</f>
        <v>46</v>
      </c>
      <c r="C17" s="2">
        <f t="shared" si="0"/>
        <v>0.37704918032786883</v>
      </c>
      <c r="D17" s="2">
        <f t="shared" si="1"/>
        <v>0.36799999999999999</v>
      </c>
      <c r="E17" s="3">
        <f t="shared" si="2"/>
        <v>0.60629508196721305</v>
      </c>
      <c r="F17" s="4">
        <f t="shared" si="3"/>
        <v>0.4</v>
      </c>
      <c r="G17" s="4">
        <f t="shared" si="4"/>
        <v>0.32857142857142857</v>
      </c>
      <c r="H17" s="4">
        <f t="shared" si="5"/>
        <v>0.4</v>
      </c>
      <c r="I17" s="5">
        <f t="shared" si="6"/>
        <v>0.75828571428571434</v>
      </c>
      <c r="J17" s="43">
        <f t="shared" si="7"/>
        <v>0.74399999999999999</v>
      </c>
      <c r="K17" s="43">
        <f t="shared" si="8"/>
        <v>0.87557980016203074</v>
      </c>
      <c r="L17" s="44">
        <f t="shared" si="9"/>
        <v>0.64590163934426226</v>
      </c>
      <c r="M17" s="44">
        <f t="shared" si="10"/>
        <v>0.79462597893599796</v>
      </c>
      <c r="N17" s="45">
        <f t="shared" si="11"/>
        <v>0.67422950819672134</v>
      </c>
      <c r="O17" s="45">
        <f t="shared" si="12"/>
        <v>0.81937456116662166</v>
      </c>
      <c r="P17" s="46">
        <f t="shared" si="13"/>
        <v>0.82622950819672125</v>
      </c>
      <c r="Q17" s="46">
        <f t="shared" si="14"/>
        <v>0.93209181744531466</v>
      </c>
    </row>
    <row r="18" spans="1:17" x14ac:dyDescent="0.2">
      <c r="A18">
        <v>16</v>
      </c>
      <c r="B18">
        <f>INT(IF(A18&gt;50,15+50+SQRT(A18-50)+0.8*SQRT(B1)+9,15+A18+0.75*SQRT(B1)+9))</f>
        <v>47</v>
      </c>
      <c r="C18" s="2">
        <f t="shared" si="0"/>
        <v>0.38524590163934425</v>
      </c>
      <c r="D18" s="2">
        <f t="shared" si="1"/>
        <v>0.376</v>
      </c>
      <c r="E18" s="3">
        <f t="shared" si="2"/>
        <v>0.61639344262295082</v>
      </c>
      <c r="F18" s="4">
        <f t="shared" si="3"/>
        <v>0.40869565217391307</v>
      </c>
      <c r="G18" s="4">
        <f t="shared" si="4"/>
        <v>0.33571428571428569</v>
      </c>
      <c r="H18" s="4">
        <f t="shared" si="5"/>
        <v>0.40869565217391307</v>
      </c>
      <c r="I18" s="5">
        <f t="shared" si="6"/>
        <v>0.76773859033216307</v>
      </c>
      <c r="J18" s="43">
        <f t="shared" si="7"/>
        <v>0.75213114754098354</v>
      </c>
      <c r="K18" s="43">
        <f t="shared" si="8"/>
        <v>0.88166243586281401</v>
      </c>
      <c r="L18" s="44">
        <f t="shared" si="9"/>
        <v>0.65547540983606556</v>
      </c>
      <c r="M18" s="44">
        <f t="shared" si="10"/>
        <v>0.80310883067782879</v>
      </c>
      <c r="N18" s="45">
        <f t="shared" si="11"/>
        <v>0.68340983606557382</v>
      </c>
      <c r="O18" s="45">
        <f t="shared" si="12"/>
        <v>0.82716392114501758</v>
      </c>
      <c r="P18" s="46">
        <f t="shared" si="13"/>
        <v>0.83291803278688525</v>
      </c>
      <c r="Q18" s="46">
        <f t="shared" si="14"/>
        <v>0.93616635160680539</v>
      </c>
    </row>
    <row r="19" spans="1:17" x14ac:dyDescent="0.2">
      <c r="A19">
        <v>17</v>
      </c>
      <c r="B19">
        <f>INT(IF(A19&gt;50,15+50+SQRT(A19-50)+0.8*SQRT(B1)+9,15+A19+0.75*SQRT(B1)+9))</f>
        <v>48</v>
      </c>
      <c r="C19" s="2">
        <f t="shared" si="0"/>
        <v>0.39344262295081966</v>
      </c>
      <c r="D19" s="2">
        <f t="shared" si="1"/>
        <v>0.38400000000000001</v>
      </c>
      <c r="E19" s="3">
        <f t="shared" si="2"/>
        <v>0.62636065573770494</v>
      </c>
      <c r="F19" s="4">
        <f t="shared" si="3"/>
        <v>0.41739130434782606</v>
      </c>
      <c r="G19" s="4">
        <f t="shared" si="4"/>
        <v>0.34285714285714286</v>
      </c>
      <c r="H19" s="4">
        <f t="shared" si="5"/>
        <v>0.41739130434782606</v>
      </c>
      <c r="I19" s="5">
        <f t="shared" si="6"/>
        <v>0.77694409937888187</v>
      </c>
      <c r="J19" s="43">
        <f t="shared" si="7"/>
        <v>0.76013114754098354</v>
      </c>
      <c r="K19" s="43">
        <f t="shared" si="8"/>
        <v>0.8875463137996219</v>
      </c>
      <c r="L19" s="44">
        <f t="shared" si="9"/>
        <v>0.66491803278688522</v>
      </c>
      <c r="M19" s="44">
        <f t="shared" si="10"/>
        <v>0.81135727788279766</v>
      </c>
      <c r="N19" s="45">
        <f t="shared" si="11"/>
        <v>0.69245901639344265</v>
      </c>
      <c r="O19" s="45">
        <f t="shared" si="12"/>
        <v>0.8347285984337024</v>
      </c>
      <c r="P19" s="46">
        <f t="shared" si="13"/>
        <v>0.83947540983606561</v>
      </c>
      <c r="Q19" s="46">
        <f t="shared" si="14"/>
        <v>0.94007777477720778</v>
      </c>
    </row>
    <row r="20" spans="1:17" x14ac:dyDescent="0.2">
      <c r="A20">
        <v>18</v>
      </c>
      <c r="B20">
        <f>INT(IF(A20&gt;50,15+50+SQRT(A20-50)+0.8*SQRT(B1)+9,15+A20+0.75*SQRT(B1)+9))</f>
        <v>49</v>
      </c>
      <c r="C20" s="2">
        <f t="shared" si="0"/>
        <v>0.40163934426229508</v>
      </c>
      <c r="D20" s="2">
        <f t="shared" si="1"/>
        <v>0.39200000000000002</v>
      </c>
      <c r="E20" s="3">
        <f t="shared" si="2"/>
        <v>0.63619672131147542</v>
      </c>
      <c r="F20" s="4">
        <f t="shared" si="3"/>
        <v>0.42608695652173911</v>
      </c>
      <c r="G20" s="4">
        <f t="shared" si="4"/>
        <v>0.35</v>
      </c>
      <c r="H20" s="4">
        <f t="shared" si="5"/>
        <v>0.42608695652173911</v>
      </c>
      <c r="I20" s="5">
        <f t="shared" si="6"/>
        <v>0.78590548204158783</v>
      </c>
      <c r="J20" s="43">
        <f t="shared" si="7"/>
        <v>0.76800000000000002</v>
      </c>
      <c r="K20" s="43">
        <f t="shared" si="8"/>
        <v>0.89323467458817185</v>
      </c>
      <c r="L20" s="44">
        <f t="shared" si="9"/>
        <v>0.67422950819672134</v>
      </c>
      <c r="M20" s="44">
        <f t="shared" si="10"/>
        <v>0.81937456116662166</v>
      </c>
      <c r="N20" s="45">
        <f t="shared" si="11"/>
        <v>0.70137704918032795</v>
      </c>
      <c r="O20" s="45">
        <f t="shared" si="12"/>
        <v>0.84207183364839322</v>
      </c>
      <c r="P20" s="46">
        <f t="shared" si="13"/>
        <v>0.84590163934426221</v>
      </c>
      <c r="Q20" s="46">
        <f t="shared" si="14"/>
        <v>0.9438293275722387</v>
      </c>
    </row>
    <row r="21" spans="1:17" x14ac:dyDescent="0.2">
      <c r="A21">
        <v>19</v>
      </c>
      <c r="B21">
        <f>INT(IF(A21&gt;50,15+50+SQRT(A21-50)+0.8*SQRT(B1)+9,15+A21+0.75*SQRT(B1)+9))</f>
        <v>50</v>
      </c>
      <c r="C21" s="2">
        <f t="shared" si="0"/>
        <v>0.4098360655737705</v>
      </c>
      <c r="D21" s="2">
        <f t="shared" si="1"/>
        <v>0.4</v>
      </c>
      <c r="E21" s="3">
        <f t="shared" si="2"/>
        <v>0.64590163934426226</v>
      </c>
      <c r="F21" s="4">
        <f t="shared" si="3"/>
        <v>0.43478260869565216</v>
      </c>
      <c r="G21" s="4">
        <f t="shared" si="4"/>
        <v>0.35714285714285715</v>
      </c>
      <c r="H21" s="4">
        <f t="shared" si="5"/>
        <v>0.43478260869565216</v>
      </c>
      <c r="I21" s="5">
        <f t="shared" si="6"/>
        <v>0.79462597893599785</v>
      </c>
      <c r="J21" s="43">
        <f t="shared" si="7"/>
        <v>0.77573770491803273</v>
      </c>
      <c r="K21" s="43">
        <f t="shared" si="8"/>
        <v>0.89873075884418041</v>
      </c>
      <c r="L21" s="44">
        <f t="shared" si="9"/>
        <v>0.68340983606557382</v>
      </c>
      <c r="M21" s="44">
        <f t="shared" si="10"/>
        <v>0.82716392114501758</v>
      </c>
      <c r="N21" s="45">
        <f t="shared" si="11"/>
        <v>0.7101639344262296</v>
      </c>
      <c r="O21" s="45">
        <f t="shared" si="12"/>
        <v>0.84919686740480693</v>
      </c>
      <c r="P21" s="46">
        <f t="shared" si="13"/>
        <v>0.85219672131147539</v>
      </c>
      <c r="Q21" s="46">
        <f t="shared" si="14"/>
        <v>0.94742425060761537</v>
      </c>
    </row>
    <row r="22" spans="1:17" x14ac:dyDescent="0.2">
      <c r="A22">
        <v>20</v>
      </c>
      <c r="B22">
        <f>INT(IF(A22&gt;50,15+50+SQRT(A22-50)+0.8*SQRT(B1)+9,15+A22+0.75*SQRT(B1)+9))</f>
        <v>51</v>
      </c>
      <c r="C22" s="2">
        <f t="shared" si="0"/>
        <v>0.41803278688524592</v>
      </c>
      <c r="D22" s="2">
        <f t="shared" si="1"/>
        <v>0.40799999999999997</v>
      </c>
      <c r="E22" s="3">
        <f t="shared" si="2"/>
        <v>0.65547540983606556</v>
      </c>
      <c r="F22" s="4">
        <f t="shared" si="3"/>
        <v>0.44347826086956521</v>
      </c>
      <c r="G22" s="4">
        <f t="shared" si="4"/>
        <v>0.36428571428571427</v>
      </c>
      <c r="H22" s="4">
        <f t="shared" si="5"/>
        <v>0.44347826086956521</v>
      </c>
      <c r="I22" s="5">
        <f t="shared" si="6"/>
        <v>0.80310883067782879</v>
      </c>
      <c r="J22" s="43">
        <f t="shared" si="7"/>
        <v>0.78334426229508192</v>
      </c>
      <c r="K22" s="43">
        <f t="shared" si="8"/>
        <v>0.90403780718336479</v>
      </c>
      <c r="L22" s="44">
        <f t="shared" si="9"/>
        <v>0.69245901639344265</v>
      </c>
      <c r="M22" s="44">
        <f t="shared" si="10"/>
        <v>0.8347285984337024</v>
      </c>
      <c r="N22" s="45">
        <f t="shared" si="11"/>
        <v>0.7188196721311475</v>
      </c>
      <c r="O22" s="45">
        <f t="shared" si="12"/>
        <v>0.85610694031866053</v>
      </c>
      <c r="P22" s="46">
        <f t="shared" si="13"/>
        <v>0.85836065573770493</v>
      </c>
      <c r="Q22" s="46">
        <f t="shared" si="14"/>
        <v>0.95086578449905479</v>
      </c>
    </row>
    <row r="23" spans="1:17" x14ac:dyDescent="0.2">
      <c r="A23">
        <v>21</v>
      </c>
      <c r="B23">
        <f>INT(IF(A23&gt;50,15+50+SQRT(A23-50)+0.8*SQRT(B1)+9,15+A23+0.75*SQRT(B1)+9))</f>
        <v>52</v>
      </c>
      <c r="C23" s="2">
        <f t="shared" si="0"/>
        <v>0.42622950819672129</v>
      </c>
      <c r="D23" s="2">
        <f t="shared" si="1"/>
        <v>0.41599999999999998</v>
      </c>
      <c r="E23" s="3">
        <f t="shared" si="2"/>
        <v>0.66491803278688522</v>
      </c>
      <c r="F23" s="4">
        <f t="shared" si="3"/>
        <v>0.45217391304347826</v>
      </c>
      <c r="G23" s="4">
        <f t="shared" si="4"/>
        <v>0.37142857142857144</v>
      </c>
      <c r="H23" s="4">
        <f t="shared" si="5"/>
        <v>0.45217391304347826</v>
      </c>
      <c r="I23" s="5">
        <f t="shared" si="6"/>
        <v>0.81135727788279766</v>
      </c>
      <c r="J23" s="43">
        <f t="shared" si="7"/>
        <v>0.79081967213114757</v>
      </c>
      <c r="K23" s="43">
        <f t="shared" si="8"/>
        <v>0.90915906022144211</v>
      </c>
      <c r="L23" s="44">
        <f t="shared" si="9"/>
        <v>0.70137704918032795</v>
      </c>
      <c r="M23" s="44">
        <f t="shared" si="10"/>
        <v>0.84207183364839322</v>
      </c>
      <c r="N23" s="45">
        <f t="shared" si="11"/>
        <v>0.72734426229508198</v>
      </c>
      <c r="O23" s="45">
        <f t="shared" si="12"/>
        <v>0.8628052930056711</v>
      </c>
      <c r="P23" s="46">
        <f t="shared" si="13"/>
        <v>0.86439344262295081</v>
      </c>
      <c r="Q23" s="46">
        <f t="shared" si="14"/>
        <v>0.95415716986227395</v>
      </c>
    </row>
    <row r="24" spans="1:17" x14ac:dyDescent="0.2">
      <c r="A24">
        <v>22</v>
      </c>
      <c r="B24">
        <f>INT(IF(A24&gt;50,15+50+SQRT(A24-50)+0.8*SQRT(B1)+9,15+A24+0.75*SQRT(B1)+9))</f>
        <v>53</v>
      </c>
      <c r="C24" s="2">
        <f t="shared" si="0"/>
        <v>0.4344262295081967</v>
      </c>
      <c r="D24" s="2">
        <f t="shared" si="1"/>
        <v>0.42399999999999999</v>
      </c>
      <c r="E24" s="3">
        <f t="shared" si="2"/>
        <v>0.67422950819672134</v>
      </c>
      <c r="F24" s="4">
        <f t="shared" si="3"/>
        <v>0.46086956521739131</v>
      </c>
      <c r="G24" s="4">
        <f t="shared" si="4"/>
        <v>0.37857142857142856</v>
      </c>
      <c r="H24" s="4">
        <f t="shared" si="5"/>
        <v>0.46086956521739131</v>
      </c>
      <c r="I24" s="5">
        <f t="shared" si="6"/>
        <v>0.81937456116662166</v>
      </c>
      <c r="J24" s="43">
        <f t="shared" si="7"/>
        <v>0.79816393442622946</v>
      </c>
      <c r="K24" s="43">
        <f t="shared" si="8"/>
        <v>0.91409775857412912</v>
      </c>
      <c r="L24" s="44">
        <f t="shared" si="9"/>
        <v>0.7101639344262296</v>
      </c>
      <c r="M24" s="44">
        <f t="shared" si="10"/>
        <v>0.84919686740480693</v>
      </c>
      <c r="N24" s="45">
        <f t="shared" si="11"/>
        <v>0.73573770491803281</v>
      </c>
      <c r="O24" s="45">
        <f t="shared" si="12"/>
        <v>0.86929516608155544</v>
      </c>
      <c r="P24" s="46">
        <f t="shared" si="13"/>
        <v>0.87029508196721306</v>
      </c>
      <c r="Q24" s="46">
        <f t="shared" si="14"/>
        <v>0.95730164731298939</v>
      </c>
    </row>
    <row r="25" spans="1:17" x14ac:dyDescent="0.2">
      <c r="A25">
        <v>23</v>
      </c>
      <c r="B25">
        <f>INT(IF(A25&gt;50,15+50+SQRT(A25-50)+0.8*SQRT(B1)+9,15+A25+0.75*SQRT(B1)+9))</f>
        <v>54</v>
      </c>
      <c r="C25" s="2">
        <f t="shared" si="0"/>
        <v>0.44262295081967212</v>
      </c>
      <c r="D25" s="2">
        <f t="shared" si="1"/>
        <v>0.432</v>
      </c>
      <c r="E25" s="3">
        <f t="shared" si="2"/>
        <v>0.68340983606557382</v>
      </c>
      <c r="F25" s="4">
        <f t="shared" si="3"/>
        <v>0.46956521739130436</v>
      </c>
      <c r="G25" s="4">
        <f t="shared" si="4"/>
        <v>0.38571428571428573</v>
      </c>
      <c r="H25" s="4">
        <f t="shared" si="5"/>
        <v>0.46956521739130436</v>
      </c>
      <c r="I25" s="5">
        <f t="shared" si="6"/>
        <v>0.82716392114501758</v>
      </c>
      <c r="J25" s="43">
        <f t="shared" si="7"/>
        <v>0.80537704918032782</v>
      </c>
      <c r="K25" s="43">
        <f t="shared" si="8"/>
        <v>0.91885714285714282</v>
      </c>
      <c r="L25" s="44">
        <f t="shared" si="9"/>
        <v>0.7188196721311475</v>
      </c>
      <c r="M25" s="44">
        <f t="shared" si="10"/>
        <v>0.85610694031866053</v>
      </c>
      <c r="N25" s="45">
        <f t="shared" si="11"/>
        <v>0.74399999999999999</v>
      </c>
      <c r="O25" s="45">
        <f t="shared" si="12"/>
        <v>0.87557980016203074</v>
      </c>
      <c r="P25" s="46">
        <f t="shared" si="13"/>
        <v>0.87606557377049177</v>
      </c>
      <c r="Q25" s="46">
        <f t="shared" si="14"/>
        <v>0.96030245746691867</v>
      </c>
    </row>
    <row r="26" spans="1:17" x14ac:dyDescent="0.2">
      <c r="A26">
        <v>24</v>
      </c>
      <c r="B26">
        <f>INT(IF(A26&gt;50,15+50+SQRT(A26-50)+0.8*SQRT(B1)+9,15+A26+0.75*SQRT(B1)+9))</f>
        <v>55</v>
      </c>
      <c r="C26" s="2">
        <f t="shared" si="0"/>
        <v>0.45081967213114754</v>
      </c>
      <c r="D26" s="2">
        <f t="shared" si="1"/>
        <v>0.44</v>
      </c>
      <c r="E26" s="3">
        <f t="shared" si="2"/>
        <v>0.69245901639344265</v>
      </c>
      <c r="F26" s="4">
        <f t="shared" si="3"/>
        <v>0.47826086956521741</v>
      </c>
      <c r="G26" s="4">
        <f t="shared" si="4"/>
        <v>0.39285714285714285</v>
      </c>
      <c r="H26" s="4">
        <f t="shared" si="5"/>
        <v>0.47826086956521741</v>
      </c>
      <c r="I26" s="5">
        <f t="shared" si="6"/>
        <v>0.8347285984337024</v>
      </c>
      <c r="J26" s="43">
        <f t="shared" si="7"/>
        <v>0.81245901639344265</v>
      </c>
      <c r="K26" s="43">
        <f t="shared" si="8"/>
        <v>0.92344045368620042</v>
      </c>
      <c r="L26" s="44">
        <f t="shared" si="9"/>
        <v>0.72734426229508198</v>
      </c>
      <c r="M26" s="44">
        <f t="shared" si="10"/>
        <v>0.8628052930056711</v>
      </c>
      <c r="N26" s="45">
        <f t="shared" si="11"/>
        <v>0.75213114754098354</v>
      </c>
      <c r="O26" s="45">
        <f t="shared" si="12"/>
        <v>0.88166243586281401</v>
      </c>
      <c r="P26" s="46">
        <f t="shared" si="13"/>
        <v>0.88170491803278694</v>
      </c>
      <c r="Q26" s="46">
        <f t="shared" si="14"/>
        <v>0.96316284093977855</v>
      </c>
    </row>
    <row r="27" spans="1:17" x14ac:dyDescent="0.2">
      <c r="A27">
        <v>25</v>
      </c>
      <c r="B27">
        <f>INT(IF(A27&gt;50,15+50+SQRT(A27-50)+0.8*SQRT(B1)+9,15+A27+0.75*SQRT(B1)+9))</f>
        <v>56</v>
      </c>
      <c r="C27" s="2">
        <f t="shared" si="0"/>
        <v>0.45901639344262296</v>
      </c>
      <c r="D27" s="2">
        <f t="shared" si="1"/>
        <v>0.44800000000000001</v>
      </c>
      <c r="E27" s="3">
        <f t="shared" si="2"/>
        <v>0.70137704918032795</v>
      </c>
      <c r="F27" s="4">
        <f t="shared" si="3"/>
        <v>0.48695652173913045</v>
      </c>
      <c r="G27" s="4">
        <f t="shared" si="4"/>
        <v>0.4</v>
      </c>
      <c r="H27" s="4">
        <f t="shared" si="5"/>
        <v>0.48695652173913045</v>
      </c>
      <c r="I27" s="5">
        <f t="shared" si="6"/>
        <v>0.84207183364839322</v>
      </c>
      <c r="J27" s="43">
        <f t="shared" si="7"/>
        <v>0.81940983606557372</v>
      </c>
      <c r="K27" s="43">
        <f t="shared" si="8"/>
        <v>0.9278509316770186</v>
      </c>
      <c r="L27" s="44">
        <f t="shared" si="9"/>
        <v>0.73573770491803281</v>
      </c>
      <c r="M27" s="44">
        <f t="shared" si="10"/>
        <v>0.86929516608155544</v>
      </c>
      <c r="N27" s="45">
        <f t="shared" si="11"/>
        <v>0.76013114754098354</v>
      </c>
      <c r="O27" s="45">
        <f t="shared" si="12"/>
        <v>0.8875463137996219</v>
      </c>
      <c r="P27" s="46">
        <f t="shared" si="13"/>
        <v>0.88721311475409836</v>
      </c>
      <c r="Q27" s="46">
        <f t="shared" si="14"/>
        <v>0.96588603834728604</v>
      </c>
    </row>
    <row r="28" spans="1:17" x14ac:dyDescent="0.2">
      <c r="A28">
        <v>26</v>
      </c>
      <c r="B28">
        <f>INT(IF(A28&gt;50,15+50+SQRT(A28-50)+0.8*SQRT(B1)+9,15+A28+0.75*SQRT(B1)+9))</f>
        <v>57</v>
      </c>
      <c r="C28" s="2">
        <f t="shared" si="0"/>
        <v>0.46721311475409838</v>
      </c>
      <c r="D28" s="2">
        <f t="shared" si="1"/>
        <v>0.45600000000000002</v>
      </c>
      <c r="E28" s="3">
        <f t="shared" si="2"/>
        <v>0.7101639344262296</v>
      </c>
      <c r="F28" s="4">
        <f t="shared" si="3"/>
        <v>0.4956521739130435</v>
      </c>
      <c r="G28" s="4">
        <f t="shared" si="4"/>
        <v>0.40714285714285714</v>
      </c>
      <c r="H28" s="4">
        <f t="shared" si="5"/>
        <v>0.4956521739130435</v>
      </c>
      <c r="I28" s="5">
        <f t="shared" si="6"/>
        <v>0.84919686740480693</v>
      </c>
      <c r="J28" s="43">
        <f t="shared" si="7"/>
        <v>0.82622950819672125</v>
      </c>
      <c r="K28" s="43">
        <f t="shared" si="8"/>
        <v>0.93209181744531466</v>
      </c>
      <c r="L28" s="44">
        <f t="shared" si="9"/>
        <v>0.74399999999999999</v>
      </c>
      <c r="M28" s="44">
        <f t="shared" si="10"/>
        <v>0.87557980016203074</v>
      </c>
      <c r="N28" s="45">
        <f t="shared" si="11"/>
        <v>0.76800000000000002</v>
      </c>
      <c r="O28" s="45">
        <f t="shared" si="12"/>
        <v>0.89323467458817185</v>
      </c>
      <c r="P28" s="46">
        <f t="shared" si="13"/>
        <v>0.89259016393442625</v>
      </c>
      <c r="Q28" s="46">
        <f t="shared" si="14"/>
        <v>0.968475290305158</v>
      </c>
    </row>
    <row r="29" spans="1:17" x14ac:dyDescent="0.2">
      <c r="A29">
        <v>27</v>
      </c>
      <c r="B29">
        <f>INT(IF(A29&gt;50,15+50+SQRT(A29-50)+0.8*SQRT(B1)+9,15+A29+0.75*SQRT(B1)+9))</f>
        <v>58</v>
      </c>
      <c r="C29" s="2">
        <f t="shared" si="0"/>
        <v>0.47540983606557374</v>
      </c>
      <c r="D29" s="2">
        <f t="shared" si="1"/>
        <v>0.46400000000000002</v>
      </c>
      <c r="E29" s="3">
        <f t="shared" si="2"/>
        <v>0.7188196721311475</v>
      </c>
      <c r="F29" s="4">
        <f t="shared" si="3"/>
        <v>0.5043478260869565</v>
      </c>
      <c r="G29" s="4">
        <f t="shared" si="4"/>
        <v>0.41428571428571431</v>
      </c>
      <c r="H29" s="4">
        <f t="shared" si="5"/>
        <v>0.5043478260869565</v>
      </c>
      <c r="I29" s="5">
        <f t="shared" si="6"/>
        <v>0.85610694031866053</v>
      </c>
      <c r="J29" s="43">
        <f t="shared" si="7"/>
        <v>0.83291803278688525</v>
      </c>
      <c r="K29" s="43">
        <f t="shared" si="8"/>
        <v>0.93616635160680539</v>
      </c>
      <c r="L29" s="44">
        <f t="shared" si="9"/>
        <v>0.75213114754098354</v>
      </c>
      <c r="M29" s="44">
        <f t="shared" si="10"/>
        <v>0.88166243586281401</v>
      </c>
      <c r="N29" s="45">
        <f t="shared" si="11"/>
        <v>0.77573770491803273</v>
      </c>
      <c r="O29" s="45">
        <f t="shared" si="12"/>
        <v>0.89873075884418041</v>
      </c>
      <c r="P29" s="46">
        <f t="shared" si="13"/>
        <v>0.89783606557377049</v>
      </c>
      <c r="Q29" s="46">
        <f t="shared" si="14"/>
        <v>0.97093383742911155</v>
      </c>
    </row>
    <row r="30" spans="1:17" x14ac:dyDescent="0.2">
      <c r="A30">
        <v>28</v>
      </c>
      <c r="B30">
        <f>INT(IF(A30&gt;50,15+50+SQRT(A30-50)+0.8*SQRT(B1)+9,15+A30+0.75*SQRT(B1)+9))</f>
        <v>59</v>
      </c>
      <c r="C30" s="2">
        <f t="shared" si="0"/>
        <v>0.48360655737704916</v>
      </c>
      <c r="D30" s="2">
        <f t="shared" si="1"/>
        <v>0.47199999999999998</v>
      </c>
      <c r="E30" s="3">
        <f t="shared" si="2"/>
        <v>0.72734426229508187</v>
      </c>
      <c r="F30" s="4">
        <f t="shared" si="3"/>
        <v>0.5130434782608696</v>
      </c>
      <c r="G30" s="4">
        <f t="shared" si="4"/>
        <v>0.42142857142857143</v>
      </c>
      <c r="H30" s="4">
        <f t="shared" si="5"/>
        <v>0.5130434782608696</v>
      </c>
      <c r="I30" s="5">
        <f t="shared" si="6"/>
        <v>0.8628052930056711</v>
      </c>
      <c r="J30" s="43">
        <f t="shared" si="7"/>
        <v>0.83947540983606561</v>
      </c>
      <c r="K30" s="43">
        <f t="shared" si="8"/>
        <v>0.94007777477720778</v>
      </c>
      <c r="L30" s="44">
        <f t="shared" si="9"/>
        <v>0.76013114754098354</v>
      </c>
      <c r="M30" s="44">
        <f t="shared" si="10"/>
        <v>0.8875463137996219</v>
      </c>
      <c r="N30" s="45">
        <f t="shared" si="11"/>
        <v>0.78334426229508192</v>
      </c>
      <c r="O30" s="45">
        <f t="shared" si="12"/>
        <v>0.90403780718336479</v>
      </c>
      <c r="P30" s="46">
        <f t="shared" si="13"/>
        <v>0.9029508196721312</v>
      </c>
      <c r="Q30" s="46">
        <f t="shared" si="14"/>
        <v>0.97326492033486356</v>
      </c>
    </row>
    <row r="31" spans="1:17" x14ac:dyDescent="0.2">
      <c r="A31">
        <v>29</v>
      </c>
      <c r="B31">
        <f>INT(IF(A31&gt;50,15+50+SQRT(A31-50)+0.8*SQRT(B1)+9,15+A31+0.75*SQRT(B1)+9))</f>
        <v>60</v>
      </c>
      <c r="C31" s="2">
        <f t="shared" si="0"/>
        <v>0.49180327868852458</v>
      </c>
      <c r="D31" s="2">
        <f t="shared" si="1"/>
        <v>0.48</v>
      </c>
      <c r="E31" s="3">
        <f t="shared" si="2"/>
        <v>0.7357377049180327</v>
      </c>
      <c r="F31" s="4">
        <f t="shared" si="3"/>
        <v>0.52173913043478259</v>
      </c>
      <c r="G31" s="4">
        <f t="shared" si="4"/>
        <v>0.42857142857142855</v>
      </c>
      <c r="H31" s="4">
        <f t="shared" si="5"/>
        <v>0.52173913043478259</v>
      </c>
      <c r="I31" s="5">
        <f t="shared" si="6"/>
        <v>0.86929516608155544</v>
      </c>
      <c r="J31" s="43">
        <f t="shared" si="7"/>
        <v>0.84590163934426221</v>
      </c>
      <c r="K31" s="43">
        <f t="shared" si="8"/>
        <v>0.9438293275722387</v>
      </c>
      <c r="L31" s="44">
        <f t="shared" si="9"/>
        <v>0.76800000000000002</v>
      </c>
      <c r="M31" s="44">
        <f t="shared" si="10"/>
        <v>0.89323467458817185</v>
      </c>
      <c r="N31" s="45">
        <f t="shared" si="11"/>
        <v>0.79081967213114757</v>
      </c>
      <c r="O31" s="45">
        <f t="shared" si="12"/>
        <v>0.90915906022144211</v>
      </c>
      <c r="P31" s="46">
        <f t="shared" si="13"/>
        <v>0.90793442622950815</v>
      </c>
      <c r="Q31" s="46">
        <f t="shared" si="14"/>
        <v>0.97547177963813125</v>
      </c>
    </row>
    <row r="32" spans="1:17" x14ac:dyDescent="0.2">
      <c r="A32">
        <v>30</v>
      </c>
      <c r="B32">
        <f>INT(IF(A32&gt;50,15+50+SQRT(A32-50)+0.8*SQRT(B1)+9,15+A32+0.75*SQRT(B1)+9))</f>
        <v>61</v>
      </c>
      <c r="C32" s="2">
        <f t="shared" si="0"/>
        <v>0.5</v>
      </c>
      <c r="D32" s="2">
        <f t="shared" si="1"/>
        <v>0.48799999999999999</v>
      </c>
      <c r="E32" s="3">
        <f t="shared" si="2"/>
        <v>0.74399999999999999</v>
      </c>
      <c r="F32" s="4">
        <f t="shared" si="3"/>
        <v>0.5304347826086957</v>
      </c>
      <c r="G32" s="4">
        <f t="shared" si="4"/>
        <v>0.43571428571428572</v>
      </c>
      <c r="H32" s="4">
        <f t="shared" si="5"/>
        <v>0.5304347826086957</v>
      </c>
      <c r="I32" s="5">
        <f t="shared" si="6"/>
        <v>0.87557980016203074</v>
      </c>
      <c r="J32" s="43">
        <f t="shared" si="7"/>
        <v>0.85219672131147539</v>
      </c>
      <c r="K32" s="43">
        <f t="shared" si="8"/>
        <v>0.94742425060761537</v>
      </c>
      <c r="L32" s="44">
        <f t="shared" si="9"/>
        <v>0.77573770491803273</v>
      </c>
      <c r="M32" s="44">
        <f t="shared" si="10"/>
        <v>0.89873075884418041</v>
      </c>
      <c r="N32" s="45">
        <f t="shared" si="11"/>
        <v>0.79816393442622946</v>
      </c>
      <c r="O32" s="45">
        <f t="shared" si="12"/>
        <v>0.91409775857412912</v>
      </c>
      <c r="P32" s="46">
        <f t="shared" si="13"/>
        <v>0.91278688524590157</v>
      </c>
      <c r="Q32" s="46">
        <f t="shared" si="14"/>
        <v>0.9775576559546314</v>
      </c>
    </row>
    <row r="33" spans="1:17" x14ac:dyDescent="0.2">
      <c r="A33">
        <v>31</v>
      </c>
      <c r="B33">
        <f>INT(IF(A33&gt;50,15+50+SQRT(A33-50)+0.8*SQRT(B1)+9,15+A33+0.75*SQRT(B1)+9))</f>
        <v>62</v>
      </c>
      <c r="C33" s="2">
        <f t="shared" si="0"/>
        <v>0.50819672131147542</v>
      </c>
      <c r="D33" s="2">
        <f t="shared" si="1"/>
        <v>0.496</v>
      </c>
      <c r="E33" s="3">
        <f t="shared" si="2"/>
        <v>0.75213114754098354</v>
      </c>
      <c r="F33" s="4">
        <f t="shared" si="3"/>
        <v>0.53913043478260869</v>
      </c>
      <c r="G33" s="4">
        <f t="shared" si="4"/>
        <v>0.44285714285714284</v>
      </c>
      <c r="H33" s="4">
        <f t="shared" si="5"/>
        <v>0.53913043478260869</v>
      </c>
      <c r="I33" s="5">
        <f t="shared" si="6"/>
        <v>0.8816624358628139</v>
      </c>
      <c r="J33" s="43">
        <f t="shared" si="7"/>
        <v>0.85836065573770493</v>
      </c>
      <c r="K33" s="43">
        <f t="shared" si="8"/>
        <v>0.95086578449905479</v>
      </c>
      <c r="L33" s="44">
        <f t="shared" si="9"/>
        <v>0.78334426229508192</v>
      </c>
      <c r="M33" s="44">
        <f t="shared" si="10"/>
        <v>0.90403780718336479</v>
      </c>
      <c r="N33" s="45">
        <f t="shared" si="11"/>
        <v>0.80537704918032782</v>
      </c>
      <c r="O33" s="45">
        <f t="shared" si="12"/>
        <v>0.91885714285714282</v>
      </c>
      <c r="P33" s="46">
        <f t="shared" si="13"/>
        <v>0.91750819672131145</v>
      </c>
      <c r="Q33" s="46">
        <f t="shared" si="14"/>
        <v>0.9795257899000811</v>
      </c>
    </row>
    <row r="34" spans="1:17" x14ac:dyDescent="0.2">
      <c r="A34">
        <v>32</v>
      </c>
      <c r="B34">
        <f>INT(IF(A34&gt;50,15+50+SQRT(A34-50)+0.8*SQRT(B1)+9,15+A34+0.75*SQRT(B1)+9))</f>
        <v>63</v>
      </c>
      <c r="C34" s="2">
        <f t="shared" si="0"/>
        <v>0.51639344262295084</v>
      </c>
      <c r="D34" s="2">
        <f t="shared" si="1"/>
        <v>0.504</v>
      </c>
      <c r="E34" s="3">
        <f t="shared" si="2"/>
        <v>0.76013114754098354</v>
      </c>
      <c r="F34" s="4">
        <f t="shared" si="3"/>
        <v>0.54782608695652169</v>
      </c>
      <c r="G34" s="4">
        <f t="shared" si="4"/>
        <v>0.45</v>
      </c>
      <c r="H34" s="4">
        <f t="shared" si="5"/>
        <v>0.54782608695652169</v>
      </c>
      <c r="I34" s="5">
        <f t="shared" si="6"/>
        <v>0.8875463137996219</v>
      </c>
      <c r="J34" s="43">
        <f t="shared" si="7"/>
        <v>0.86439344262295081</v>
      </c>
      <c r="K34" s="43">
        <f t="shared" si="8"/>
        <v>0.95415716986227395</v>
      </c>
      <c r="L34" s="44">
        <f t="shared" si="9"/>
        <v>0.79081967213114757</v>
      </c>
      <c r="M34" s="44">
        <f t="shared" si="10"/>
        <v>0.90915906022144211</v>
      </c>
      <c r="N34" s="45">
        <f t="shared" si="11"/>
        <v>0.81245901639344265</v>
      </c>
      <c r="O34" s="45">
        <f t="shared" si="12"/>
        <v>0.92344045368620042</v>
      </c>
      <c r="P34" s="46">
        <f t="shared" si="13"/>
        <v>0.92209836065573769</v>
      </c>
      <c r="Q34" s="46">
        <f t="shared" si="14"/>
        <v>0.98137942209019713</v>
      </c>
    </row>
    <row r="35" spans="1:17" x14ac:dyDescent="0.2">
      <c r="A35">
        <v>33</v>
      </c>
      <c r="B35">
        <f>INT(IF(A35&gt;50,15+50+SQRT(A35-50)+0.8*SQRT(B1)+9,15+A35+0.75*SQRT(B1)+9))</f>
        <v>64</v>
      </c>
      <c r="C35" s="2">
        <f t="shared" si="0"/>
        <v>0.52459016393442626</v>
      </c>
      <c r="D35" s="2">
        <f t="shared" si="1"/>
        <v>0.51200000000000001</v>
      </c>
      <c r="E35" s="3">
        <f t="shared" si="2"/>
        <v>0.76800000000000002</v>
      </c>
      <c r="F35" s="4">
        <f t="shared" si="3"/>
        <v>0.55652173913043479</v>
      </c>
      <c r="G35" s="4">
        <f t="shared" si="4"/>
        <v>0.45714285714285713</v>
      </c>
      <c r="H35" s="4">
        <f t="shared" si="5"/>
        <v>0.55652173913043479</v>
      </c>
      <c r="I35" s="5">
        <f t="shared" si="6"/>
        <v>0.89323467458817185</v>
      </c>
      <c r="J35" s="43">
        <f t="shared" si="7"/>
        <v>0.87029508196721306</v>
      </c>
      <c r="K35" s="43">
        <f t="shared" si="8"/>
        <v>0.95730164731298939</v>
      </c>
      <c r="L35" s="44">
        <f t="shared" si="9"/>
        <v>0.79816393442622946</v>
      </c>
      <c r="M35" s="44">
        <f t="shared" si="10"/>
        <v>0.91409775857412912</v>
      </c>
      <c r="N35" s="45">
        <f t="shared" si="11"/>
        <v>0.81940983606557372</v>
      </c>
      <c r="O35" s="45">
        <f t="shared" si="12"/>
        <v>0.9278509316770186</v>
      </c>
      <c r="P35" s="46">
        <f t="shared" si="13"/>
        <v>0.92655737704918029</v>
      </c>
      <c r="Q35" s="46">
        <f t="shared" si="14"/>
        <v>0.9831217931406967</v>
      </c>
    </row>
    <row r="36" spans="1:17" x14ac:dyDescent="0.2">
      <c r="A36">
        <v>34</v>
      </c>
      <c r="B36">
        <f>INT(IF(A36&gt;50,15+50+SQRT(A36-50)+0.8*SQRT(B1)+9,15+A36+0.75*SQRT(B1)+9))</f>
        <v>65</v>
      </c>
      <c r="C36" s="2">
        <f t="shared" si="0"/>
        <v>0.53278688524590168</v>
      </c>
      <c r="D36" s="2">
        <f t="shared" si="1"/>
        <v>0.52</v>
      </c>
      <c r="E36" s="3">
        <f t="shared" si="2"/>
        <v>0.77573770491803273</v>
      </c>
      <c r="F36" s="4">
        <f t="shared" si="3"/>
        <v>0.56521739130434778</v>
      </c>
      <c r="G36" s="4">
        <f t="shared" si="4"/>
        <v>0.4642857142857143</v>
      </c>
      <c r="H36" s="4">
        <f t="shared" si="5"/>
        <v>0.56521739130434778</v>
      </c>
      <c r="I36" s="5">
        <f t="shared" si="6"/>
        <v>0.89873075884418041</v>
      </c>
      <c r="J36" s="43">
        <f t="shared" si="7"/>
        <v>0.87606557377049177</v>
      </c>
      <c r="K36" s="43">
        <f t="shared" si="8"/>
        <v>0.96030245746691867</v>
      </c>
      <c r="L36" s="44">
        <f t="shared" si="9"/>
        <v>0.80537704918032782</v>
      </c>
      <c r="M36" s="44">
        <f t="shared" si="10"/>
        <v>0.91885714285714282</v>
      </c>
      <c r="N36" s="45">
        <f t="shared" si="11"/>
        <v>0.82622950819672125</v>
      </c>
      <c r="O36" s="45">
        <f t="shared" si="12"/>
        <v>0.93209181744531466</v>
      </c>
      <c r="P36" s="46">
        <f t="shared" si="13"/>
        <v>0.93088524590163935</v>
      </c>
      <c r="Q36" s="46">
        <f t="shared" si="14"/>
        <v>0.9847561436672968</v>
      </c>
    </row>
    <row r="37" spans="1:17" x14ac:dyDescent="0.2">
      <c r="A37">
        <v>35</v>
      </c>
      <c r="B37">
        <f>INT(IF(A37&gt;50,15+50+SQRT(A37-50)+0.8*SQRT(B1)+9,15+A37+0.75*SQRT(B1)+9))</f>
        <v>66</v>
      </c>
      <c r="C37" s="2">
        <f t="shared" si="0"/>
        <v>0.54098360655737709</v>
      </c>
      <c r="D37" s="2">
        <f t="shared" si="1"/>
        <v>0.52800000000000002</v>
      </c>
      <c r="E37" s="3">
        <f t="shared" si="2"/>
        <v>0.78334426229508203</v>
      </c>
      <c r="F37" s="4">
        <f t="shared" si="3"/>
        <v>0.57391304347826089</v>
      </c>
      <c r="G37" s="4">
        <f t="shared" si="4"/>
        <v>0.47142857142857142</v>
      </c>
      <c r="H37" s="4">
        <f t="shared" si="5"/>
        <v>0.57391304347826089</v>
      </c>
      <c r="I37" s="5">
        <f t="shared" si="6"/>
        <v>0.90403780718336479</v>
      </c>
      <c r="J37" s="43">
        <f t="shared" si="7"/>
        <v>0.88170491803278694</v>
      </c>
      <c r="K37" s="43">
        <f t="shared" si="8"/>
        <v>0.96316284093977855</v>
      </c>
      <c r="L37" s="44">
        <f t="shared" si="9"/>
        <v>0.81245901639344265</v>
      </c>
      <c r="M37" s="44">
        <f t="shared" si="10"/>
        <v>0.92344045368620042</v>
      </c>
      <c r="N37" s="45">
        <f t="shared" si="11"/>
        <v>0.83291803278688525</v>
      </c>
      <c r="O37" s="45">
        <f t="shared" si="12"/>
        <v>0.93616635160680539</v>
      </c>
      <c r="P37" s="46">
        <f t="shared" si="13"/>
        <v>0.93508196721311476</v>
      </c>
      <c r="Q37" s="46">
        <f t="shared" si="14"/>
        <v>0.98628571428571432</v>
      </c>
    </row>
    <row r="38" spans="1:17" x14ac:dyDescent="0.2">
      <c r="A38">
        <v>36</v>
      </c>
      <c r="B38">
        <f>INT(IF(A38&gt;50,15+50+SQRT(A38-50)+0.8*SQRT(B1)+9,15+A38+0.75*SQRT(B1)+9))</f>
        <v>67</v>
      </c>
      <c r="C38" s="2">
        <f t="shared" si="0"/>
        <v>0.54918032786885251</v>
      </c>
      <c r="D38" s="2">
        <f t="shared" si="1"/>
        <v>0.53600000000000003</v>
      </c>
      <c r="E38" s="3">
        <f t="shared" si="2"/>
        <v>0.79081967213114757</v>
      </c>
      <c r="F38" s="4">
        <f t="shared" si="3"/>
        <v>0.58260869565217388</v>
      </c>
      <c r="G38" s="4">
        <f t="shared" si="4"/>
        <v>0.47857142857142859</v>
      </c>
      <c r="H38" s="4">
        <f t="shared" si="5"/>
        <v>0.58260869565217388</v>
      </c>
      <c r="I38" s="5">
        <f t="shared" si="6"/>
        <v>0.90915906022144211</v>
      </c>
      <c r="J38" s="43">
        <f t="shared" si="7"/>
        <v>0.88721311475409836</v>
      </c>
      <c r="K38" s="43">
        <f t="shared" si="8"/>
        <v>0.96588603834728604</v>
      </c>
      <c r="L38" s="44">
        <f t="shared" si="9"/>
        <v>0.81940983606557372</v>
      </c>
      <c r="M38" s="44">
        <f t="shared" si="10"/>
        <v>0.9278509316770186</v>
      </c>
      <c r="N38" s="45">
        <f t="shared" si="11"/>
        <v>0.83947540983606561</v>
      </c>
      <c r="O38" s="45">
        <f t="shared" si="12"/>
        <v>0.94007777477720778</v>
      </c>
      <c r="P38" s="46">
        <f t="shared" si="13"/>
        <v>0.93914754098360653</v>
      </c>
      <c r="Q38" s="46">
        <f t="shared" si="14"/>
        <v>0.98771374561166625</v>
      </c>
    </row>
    <row r="39" spans="1:17" x14ac:dyDescent="0.2">
      <c r="A39">
        <v>37</v>
      </c>
      <c r="B39">
        <f>INT(IF(A39&gt;50,15+50+SQRT(A39-50)+0.8*SQRT(B1)+9,15+A39+0.75*SQRT(B1)+9))</f>
        <v>68</v>
      </c>
      <c r="C39" s="2">
        <f t="shared" si="0"/>
        <v>0.55737704918032782</v>
      </c>
      <c r="D39" s="2">
        <f t="shared" si="1"/>
        <v>0.54400000000000004</v>
      </c>
      <c r="E39" s="3">
        <f t="shared" si="2"/>
        <v>0.79816393442622946</v>
      </c>
      <c r="F39" s="4">
        <f t="shared" si="3"/>
        <v>0.59130434782608698</v>
      </c>
      <c r="G39" s="4">
        <f t="shared" si="4"/>
        <v>0.48571428571428571</v>
      </c>
      <c r="H39" s="4">
        <f t="shared" si="5"/>
        <v>0.59130434782608698</v>
      </c>
      <c r="I39" s="5">
        <f t="shared" si="6"/>
        <v>0.91409775857412912</v>
      </c>
      <c r="J39" s="43">
        <f t="shared" si="7"/>
        <v>0.89259016393442625</v>
      </c>
      <c r="K39" s="43">
        <f t="shared" si="8"/>
        <v>0.968475290305158</v>
      </c>
      <c r="L39" s="44">
        <f t="shared" si="9"/>
        <v>0.82622950819672125</v>
      </c>
      <c r="M39" s="44">
        <f t="shared" si="10"/>
        <v>0.93209181744531466</v>
      </c>
      <c r="N39" s="45">
        <f t="shared" si="11"/>
        <v>0.84590163934426221</v>
      </c>
      <c r="O39" s="45">
        <f t="shared" si="12"/>
        <v>0.9438293275722387</v>
      </c>
      <c r="P39" s="46">
        <f t="shared" si="13"/>
        <v>0.94308196721311477</v>
      </c>
      <c r="Q39" s="46">
        <f t="shared" si="14"/>
        <v>0.98904347826086958</v>
      </c>
    </row>
    <row r="40" spans="1:17" x14ac:dyDescent="0.2">
      <c r="A40">
        <v>38</v>
      </c>
      <c r="B40">
        <f>INT(IF(A40&gt;50,15+50+SQRT(A40-50)+0.8*SQRT(B1)+9,15+A40+0.75*SQRT(B1)+9))</f>
        <v>69</v>
      </c>
      <c r="C40" s="2">
        <f t="shared" si="0"/>
        <v>0.56557377049180324</v>
      </c>
      <c r="D40" s="2">
        <f t="shared" si="1"/>
        <v>0.55200000000000005</v>
      </c>
      <c r="E40" s="3">
        <f t="shared" si="2"/>
        <v>0.80537704918032782</v>
      </c>
      <c r="F40" s="4">
        <f t="shared" si="3"/>
        <v>0.6</v>
      </c>
      <c r="G40" s="4">
        <f t="shared" si="4"/>
        <v>0.49285714285714288</v>
      </c>
      <c r="H40" s="4">
        <f t="shared" si="5"/>
        <v>0.6</v>
      </c>
      <c r="I40" s="5">
        <f t="shared" si="6"/>
        <v>0.91885714285714282</v>
      </c>
      <c r="J40" s="43">
        <f t="shared" si="7"/>
        <v>0.89783606557377049</v>
      </c>
      <c r="K40" s="43">
        <f t="shared" si="8"/>
        <v>0.97093383742911155</v>
      </c>
      <c r="L40" s="44">
        <f t="shared" si="9"/>
        <v>0.83291803278688525</v>
      </c>
      <c r="M40" s="44">
        <f t="shared" si="10"/>
        <v>0.93616635160680539</v>
      </c>
      <c r="N40" s="45">
        <f t="shared" si="11"/>
        <v>0.85219672131147539</v>
      </c>
      <c r="O40" s="45">
        <f t="shared" si="12"/>
        <v>0.94742425060761537</v>
      </c>
      <c r="P40" s="46">
        <f t="shared" si="13"/>
        <v>0.94688524590163936</v>
      </c>
      <c r="Q40" s="46">
        <f t="shared" si="14"/>
        <v>0.9902781528490413</v>
      </c>
    </row>
    <row r="41" spans="1:17" x14ac:dyDescent="0.2">
      <c r="A41">
        <v>39</v>
      </c>
      <c r="B41">
        <f>INT(IF(A41&gt;50,15+50+SQRT(A41-50)+0.8*SQRT(B1)+9,15+A41+0.75*SQRT(B1)+9))</f>
        <v>70</v>
      </c>
      <c r="C41" s="2">
        <f t="shared" si="0"/>
        <v>0.57377049180327866</v>
      </c>
      <c r="D41" s="2">
        <f t="shared" si="1"/>
        <v>0.56000000000000005</v>
      </c>
      <c r="E41" s="3">
        <f t="shared" si="2"/>
        <v>0.81245901639344265</v>
      </c>
      <c r="F41" s="4">
        <f t="shared" si="3"/>
        <v>0.60869565217391308</v>
      </c>
      <c r="G41" s="4">
        <f t="shared" si="4"/>
        <v>0.5</v>
      </c>
      <c r="H41" s="4">
        <f t="shared" si="5"/>
        <v>0.60869565217391308</v>
      </c>
      <c r="I41" s="5">
        <f t="shared" si="6"/>
        <v>0.92344045368620042</v>
      </c>
      <c r="J41" s="43">
        <f t="shared" si="7"/>
        <v>0.9029508196721312</v>
      </c>
      <c r="K41" s="43">
        <f t="shared" si="8"/>
        <v>0.97326492033486356</v>
      </c>
      <c r="L41" s="44">
        <f t="shared" si="9"/>
        <v>0.83947540983606561</v>
      </c>
      <c r="M41" s="44">
        <f t="shared" si="10"/>
        <v>0.94007777477720778</v>
      </c>
      <c r="N41" s="45">
        <f t="shared" si="11"/>
        <v>0.85836065573770493</v>
      </c>
      <c r="O41" s="45">
        <f t="shared" si="12"/>
        <v>0.95086578449905479</v>
      </c>
      <c r="P41" s="46">
        <f t="shared" si="13"/>
        <v>0.95055737704918031</v>
      </c>
      <c r="Q41" s="46">
        <f t="shared" si="14"/>
        <v>0.99142100999189842</v>
      </c>
    </row>
    <row r="42" spans="1:17" x14ac:dyDescent="0.2">
      <c r="A42">
        <v>40</v>
      </c>
      <c r="B42">
        <f>INT(IF(A42&gt;50,15+50+SQRT(A42-50)+0.8*SQRT(B1)+9,15+A42+0.75*SQRT(B1)+9))</f>
        <v>71</v>
      </c>
      <c r="C42" s="2">
        <f t="shared" si="0"/>
        <v>0.58196721311475408</v>
      </c>
      <c r="D42" s="2">
        <f t="shared" si="1"/>
        <v>0.56799999999999995</v>
      </c>
      <c r="E42" s="3">
        <f t="shared" si="2"/>
        <v>0.81940983606557372</v>
      </c>
      <c r="F42" s="4">
        <f t="shared" si="3"/>
        <v>0.61739130434782608</v>
      </c>
      <c r="G42" s="4">
        <f t="shared" si="4"/>
        <v>0.50714285714285712</v>
      </c>
      <c r="H42" s="4">
        <f t="shared" si="5"/>
        <v>0.61739130434782608</v>
      </c>
      <c r="I42" s="5">
        <f t="shared" si="6"/>
        <v>0.9278509316770186</v>
      </c>
      <c r="J42" s="43">
        <f t="shared" si="7"/>
        <v>0.90793442622950815</v>
      </c>
      <c r="K42" s="43">
        <f t="shared" si="8"/>
        <v>0.97547177963813125</v>
      </c>
      <c r="L42" s="44">
        <f t="shared" si="9"/>
        <v>0.84590163934426221</v>
      </c>
      <c r="M42" s="44">
        <f t="shared" si="10"/>
        <v>0.9438293275722387</v>
      </c>
      <c r="N42" s="45">
        <f t="shared" si="11"/>
        <v>0.86439344262295081</v>
      </c>
      <c r="O42" s="45">
        <f t="shared" si="12"/>
        <v>0.95415716986227395</v>
      </c>
      <c r="P42" s="46">
        <f t="shared" si="13"/>
        <v>0.95409836065573772</v>
      </c>
      <c r="Q42" s="46">
        <f t="shared" si="14"/>
        <v>0.99247529030515802</v>
      </c>
    </row>
    <row r="43" spans="1:17" x14ac:dyDescent="0.2">
      <c r="A43">
        <v>41</v>
      </c>
      <c r="B43">
        <f>INT(IF(A43&gt;50,15+50+SQRT(A43-50)+0.8*SQRT(B1)+9,15+A43+0.75*SQRT(B1)+9))</f>
        <v>72</v>
      </c>
      <c r="C43" s="2">
        <f t="shared" si="0"/>
        <v>0.5901639344262295</v>
      </c>
      <c r="D43" s="2">
        <f t="shared" si="1"/>
        <v>0.57599999999999996</v>
      </c>
      <c r="E43" s="3">
        <f t="shared" si="2"/>
        <v>0.82622950819672125</v>
      </c>
      <c r="F43" s="4">
        <f t="shared" si="3"/>
        <v>0.62608695652173918</v>
      </c>
      <c r="G43" s="4">
        <f t="shared" si="4"/>
        <v>0.51428571428571423</v>
      </c>
      <c r="H43" s="4">
        <f t="shared" si="5"/>
        <v>0.62608695652173918</v>
      </c>
      <c r="I43" s="5">
        <f t="shared" si="6"/>
        <v>0.93209181744531466</v>
      </c>
      <c r="J43" s="43">
        <f t="shared" si="7"/>
        <v>0.91278688524590157</v>
      </c>
      <c r="K43" s="43">
        <f t="shared" si="8"/>
        <v>0.9775576559546314</v>
      </c>
      <c r="L43" s="44">
        <f t="shared" si="9"/>
        <v>0.85219672131147539</v>
      </c>
      <c r="M43" s="44">
        <f t="shared" si="10"/>
        <v>0.94742425060761537</v>
      </c>
      <c r="N43" s="45">
        <f t="shared" si="11"/>
        <v>0.87029508196721306</v>
      </c>
      <c r="O43" s="45">
        <f t="shared" si="12"/>
        <v>0.95730164731298939</v>
      </c>
      <c r="P43" s="46">
        <f t="shared" si="13"/>
        <v>0.95750819672131149</v>
      </c>
      <c r="Q43" s="46">
        <f t="shared" si="14"/>
        <v>0.99344423440453689</v>
      </c>
    </row>
    <row r="44" spans="1:17" x14ac:dyDescent="0.2">
      <c r="A44">
        <v>42</v>
      </c>
      <c r="B44">
        <f>INT(IF(A44&gt;50,15+50+SQRT(A44-50)+0.8*SQRT(B1)+9,15+A44+0.75*SQRT(B1)+9))</f>
        <v>73</v>
      </c>
      <c r="C44" s="2">
        <f t="shared" si="0"/>
        <v>0.59836065573770492</v>
      </c>
      <c r="D44" s="2">
        <f t="shared" si="1"/>
        <v>0.58399999999999996</v>
      </c>
      <c r="E44" s="3">
        <f t="shared" si="2"/>
        <v>0.83291803278688525</v>
      </c>
      <c r="F44" s="4">
        <f t="shared" si="3"/>
        <v>0.63478260869565217</v>
      </c>
      <c r="G44" s="4">
        <f t="shared" si="4"/>
        <v>0.52142857142857146</v>
      </c>
      <c r="H44" s="4">
        <f t="shared" si="5"/>
        <v>0.63478260869565217</v>
      </c>
      <c r="I44" s="5">
        <f t="shared" si="6"/>
        <v>0.93616635160680539</v>
      </c>
      <c r="J44" s="43">
        <f t="shared" si="7"/>
        <v>0.91750819672131145</v>
      </c>
      <c r="K44" s="43">
        <f t="shared" si="8"/>
        <v>0.9795257899000811</v>
      </c>
      <c r="L44" s="44">
        <f t="shared" si="9"/>
        <v>0.85836065573770493</v>
      </c>
      <c r="M44" s="44">
        <f t="shared" si="10"/>
        <v>0.95086578449905479</v>
      </c>
      <c r="N44" s="45">
        <f t="shared" si="11"/>
        <v>0.87606557377049177</v>
      </c>
      <c r="O44" s="45">
        <f t="shared" si="12"/>
        <v>0.96030245746691867</v>
      </c>
      <c r="P44" s="46">
        <f t="shared" si="13"/>
        <v>0.96078688524590161</v>
      </c>
      <c r="Q44" s="46">
        <f t="shared" si="14"/>
        <v>0.99433108290575212</v>
      </c>
    </row>
    <row r="45" spans="1:17" x14ac:dyDescent="0.2">
      <c r="A45">
        <v>43</v>
      </c>
      <c r="B45">
        <f>INT(IF(A45&gt;50,15+50+SQRT(A45-50)+0.8*SQRT(B1)+9,15+A45+0.75*SQRT(B1)+9))</f>
        <v>74</v>
      </c>
      <c r="C45" s="2">
        <f t="shared" si="0"/>
        <v>0.60655737704918034</v>
      </c>
      <c r="D45" s="2">
        <f t="shared" si="1"/>
        <v>0.59199999999999997</v>
      </c>
      <c r="E45" s="3">
        <f t="shared" si="2"/>
        <v>0.8394754098360655</v>
      </c>
      <c r="F45" s="4">
        <f t="shared" si="3"/>
        <v>0.64347826086956517</v>
      </c>
      <c r="G45" s="4">
        <f t="shared" si="4"/>
        <v>0.52857142857142858</v>
      </c>
      <c r="H45" s="4">
        <f t="shared" si="5"/>
        <v>0.64347826086956517</v>
      </c>
      <c r="I45" s="5">
        <f t="shared" si="6"/>
        <v>0.94007777477720766</v>
      </c>
      <c r="J45" s="43">
        <f t="shared" si="7"/>
        <v>0.92209836065573769</v>
      </c>
      <c r="K45" s="43">
        <f t="shared" si="8"/>
        <v>0.98137942209019713</v>
      </c>
      <c r="L45" s="44">
        <f t="shared" si="9"/>
        <v>0.86439344262295081</v>
      </c>
      <c r="M45" s="44">
        <f t="shared" si="10"/>
        <v>0.95415716986227395</v>
      </c>
      <c r="N45" s="45">
        <f t="shared" si="11"/>
        <v>0.88170491803278694</v>
      </c>
      <c r="O45" s="45">
        <f t="shared" si="12"/>
        <v>0.96316284093977855</v>
      </c>
      <c r="P45" s="46">
        <f t="shared" si="13"/>
        <v>0.9639344262295082</v>
      </c>
      <c r="Q45" s="46">
        <f t="shared" si="14"/>
        <v>0.99513907642452071</v>
      </c>
    </row>
    <row r="46" spans="1:17" x14ac:dyDescent="0.2">
      <c r="A46">
        <v>44</v>
      </c>
      <c r="B46">
        <f>INT(IF(A46&gt;50,15+50+SQRT(A46-50)+0.8*SQRT(B1)+9,15+A46+0.75*SQRT(B1)+9))</f>
        <v>75</v>
      </c>
      <c r="C46" s="2">
        <f t="shared" si="0"/>
        <v>0.61475409836065575</v>
      </c>
      <c r="D46" s="2">
        <f t="shared" si="1"/>
        <v>0.6</v>
      </c>
      <c r="E46" s="3">
        <f t="shared" si="2"/>
        <v>0.84590163934426232</v>
      </c>
      <c r="F46" s="4">
        <f t="shared" si="3"/>
        <v>0.65217391304347827</v>
      </c>
      <c r="G46" s="4">
        <f t="shared" si="4"/>
        <v>0.5357142857142857</v>
      </c>
      <c r="H46" s="4">
        <f t="shared" si="5"/>
        <v>0.65217391304347827</v>
      </c>
      <c r="I46" s="5">
        <f t="shared" si="6"/>
        <v>0.9438293275722387</v>
      </c>
      <c r="J46" s="43">
        <f t="shared" si="7"/>
        <v>0.92655737704918029</v>
      </c>
      <c r="K46" s="43">
        <f t="shared" si="8"/>
        <v>0.9831217931406967</v>
      </c>
      <c r="L46" s="44">
        <f t="shared" si="9"/>
        <v>0.87029508196721306</v>
      </c>
      <c r="M46" s="44">
        <f t="shared" si="10"/>
        <v>0.95730164731298939</v>
      </c>
      <c r="N46" s="45">
        <f t="shared" si="11"/>
        <v>0.88721311475409836</v>
      </c>
      <c r="O46" s="45">
        <f t="shared" si="12"/>
        <v>0.96588603834728604</v>
      </c>
      <c r="P46" s="46">
        <f t="shared" si="13"/>
        <v>0.96695081967213115</v>
      </c>
      <c r="Q46" s="46">
        <f t="shared" si="14"/>
        <v>0.99587145557655954</v>
      </c>
    </row>
    <row r="47" spans="1:17" x14ac:dyDescent="0.2">
      <c r="A47">
        <v>45</v>
      </c>
      <c r="B47">
        <f>INT(IF(A47&gt;50,15+50+SQRT(A47-50)+0.8*SQRT(B1)+9,15+A47+0.75*SQRT(B1)+9))</f>
        <v>76</v>
      </c>
      <c r="C47" s="2">
        <f t="shared" si="0"/>
        <v>0.62295081967213117</v>
      </c>
      <c r="D47" s="2">
        <f t="shared" si="1"/>
        <v>0.60799999999999998</v>
      </c>
      <c r="E47" s="3">
        <f t="shared" si="2"/>
        <v>0.85219672131147539</v>
      </c>
      <c r="F47" s="4">
        <f t="shared" si="3"/>
        <v>0.66086956521739126</v>
      </c>
      <c r="G47" s="4">
        <f t="shared" si="4"/>
        <v>0.54285714285714282</v>
      </c>
      <c r="H47" s="4">
        <f t="shared" si="5"/>
        <v>0.66086956521739126</v>
      </c>
      <c r="I47" s="5">
        <f t="shared" si="6"/>
        <v>0.94742425060761537</v>
      </c>
      <c r="J47" s="43">
        <f t="shared" si="7"/>
        <v>0.93088524590163935</v>
      </c>
      <c r="K47" s="43">
        <f t="shared" si="8"/>
        <v>0.9847561436672968</v>
      </c>
      <c r="L47" s="44">
        <f t="shared" si="9"/>
        <v>0.87606557377049177</v>
      </c>
      <c r="M47" s="44">
        <f t="shared" si="10"/>
        <v>0.96030245746691867</v>
      </c>
      <c r="N47" s="45">
        <f t="shared" si="11"/>
        <v>0.89259016393442625</v>
      </c>
      <c r="O47" s="45">
        <f t="shared" si="12"/>
        <v>0.968475290305158</v>
      </c>
      <c r="P47" s="46">
        <f t="shared" si="13"/>
        <v>0.96983606557377044</v>
      </c>
      <c r="Q47" s="46">
        <f t="shared" si="14"/>
        <v>0.99653146097758583</v>
      </c>
    </row>
    <row r="48" spans="1:17" x14ac:dyDescent="0.2">
      <c r="A48">
        <v>46</v>
      </c>
      <c r="B48">
        <f>INT(IF(A48&gt;50,15+50+SQRT(A48-50)+0.8*SQRT(B1)+9,15+A48+0.75*SQRT(B1)+9))</f>
        <v>77</v>
      </c>
      <c r="C48" s="2">
        <f t="shared" si="0"/>
        <v>0.63114754098360659</v>
      </c>
      <c r="D48" s="2">
        <f t="shared" si="1"/>
        <v>0.61599999999999999</v>
      </c>
      <c r="E48" s="3">
        <f t="shared" si="2"/>
        <v>0.85836065573770493</v>
      </c>
      <c r="F48" s="4">
        <f t="shared" si="3"/>
        <v>0.66956521739130437</v>
      </c>
      <c r="G48" s="4">
        <f t="shared" si="4"/>
        <v>0.55000000000000004</v>
      </c>
      <c r="H48" s="4">
        <f t="shared" si="5"/>
        <v>0.66956521739130437</v>
      </c>
      <c r="I48" s="5">
        <f t="shared" si="6"/>
        <v>0.95086578449905479</v>
      </c>
      <c r="J48" s="43">
        <f t="shared" si="7"/>
        <v>0.93508196721311476</v>
      </c>
      <c r="K48" s="43">
        <f t="shared" si="8"/>
        <v>0.98628571428571432</v>
      </c>
      <c r="L48" s="44">
        <f t="shared" si="9"/>
        <v>0.88170491803278694</v>
      </c>
      <c r="M48" s="44">
        <f t="shared" si="10"/>
        <v>0.96316284093977855</v>
      </c>
      <c r="N48" s="45">
        <f t="shared" si="11"/>
        <v>0.89783606557377049</v>
      </c>
      <c r="O48" s="45">
        <f t="shared" si="12"/>
        <v>0.97093383742911155</v>
      </c>
      <c r="P48" s="46">
        <f t="shared" si="13"/>
        <v>0.97259016393442621</v>
      </c>
      <c r="Q48" s="46">
        <f t="shared" si="14"/>
        <v>0.99712233324331623</v>
      </c>
    </row>
    <row r="49" spans="1:17" x14ac:dyDescent="0.2">
      <c r="A49">
        <v>47</v>
      </c>
      <c r="B49">
        <f>INT(IF(A49&gt;50,15+50+SQRT(A49-50)+0.8*SQRT(B1)+9,15+A49+0.75*SQRT(B1)+9))</f>
        <v>78</v>
      </c>
      <c r="C49" s="2">
        <f t="shared" si="0"/>
        <v>0.63934426229508201</v>
      </c>
      <c r="D49" s="2">
        <f t="shared" si="1"/>
        <v>0.624</v>
      </c>
      <c r="E49" s="3">
        <f t="shared" si="2"/>
        <v>0.86439344262295081</v>
      </c>
      <c r="F49" s="4">
        <f t="shared" si="3"/>
        <v>0.67826086956521736</v>
      </c>
      <c r="G49" s="4">
        <f t="shared" si="4"/>
        <v>0.55714285714285716</v>
      </c>
      <c r="H49" s="4">
        <f t="shared" si="5"/>
        <v>0.67826086956521736</v>
      </c>
      <c r="I49" s="5">
        <f t="shared" si="6"/>
        <v>0.95415716986227384</v>
      </c>
      <c r="J49" s="43">
        <f t="shared" si="7"/>
        <v>0.93914754098360653</v>
      </c>
      <c r="K49" s="43">
        <f t="shared" si="8"/>
        <v>0.98771374561166625</v>
      </c>
      <c r="L49" s="44">
        <f t="shared" si="9"/>
        <v>0.88721311475409836</v>
      </c>
      <c r="M49" s="44">
        <f t="shared" si="10"/>
        <v>0.96588603834728604</v>
      </c>
      <c r="N49" s="45">
        <f t="shared" si="11"/>
        <v>0.9029508196721312</v>
      </c>
      <c r="O49" s="45">
        <f t="shared" si="12"/>
        <v>0.97326492033486356</v>
      </c>
      <c r="P49" s="46">
        <f t="shared" si="13"/>
        <v>0.97521311475409833</v>
      </c>
      <c r="Q49" s="46">
        <f t="shared" si="14"/>
        <v>0.99764731298946796</v>
      </c>
    </row>
    <row r="50" spans="1:17" x14ac:dyDescent="0.2">
      <c r="A50">
        <v>48</v>
      </c>
      <c r="B50">
        <f>INT(IF(A50&gt;50,15+50+SQRT(A50-50)+0.8*SQRT(B1)+9,15+A50+0.75*SQRT(B1)+9))</f>
        <v>79</v>
      </c>
      <c r="C50" s="2">
        <f t="shared" si="0"/>
        <v>0.64754098360655743</v>
      </c>
      <c r="D50" s="2">
        <f t="shared" si="1"/>
        <v>0.63200000000000001</v>
      </c>
      <c r="E50" s="3">
        <f t="shared" si="2"/>
        <v>0.87029508196721317</v>
      </c>
      <c r="F50" s="4">
        <f t="shared" si="3"/>
        <v>0.68695652173913047</v>
      </c>
      <c r="G50" s="4">
        <f t="shared" si="4"/>
        <v>0.56428571428571428</v>
      </c>
      <c r="H50" s="4">
        <f t="shared" si="5"/>
        <v>0.68695652173913047</v>
      </c>
      <c r="I50" s="5">
        <f t="shared" si="6"/>
        <v>0.95730164731298939</v>
      </c>
      <c r="J50" s="43">
        <f t="shared" si="7"/>
        <v>0.94308196721311477</v>
      </c>
      <c r="K50" s="43">
        <f t="shared" si="8"/>
        <v>0.98904347826086958</v>
      </c>
      <c r="L50" s="44">
        <f t="shared" si="9"/>
        <v>0.89259016393442625</v>
      </c>
      <c r="M50" s="44">
        <f t="shared" si="10"/>
        <v>0.968475290305158</v>
      </c>
      <c r="N50" s="45">
        <f t="shared" si="11"/>
        <v>0.90793442622950815</v>
      </c>
      <c r="O50" s="45">
        <f t="shared" si="12"/>
        <v>0.97547177963813125</v>
      </c>
      <c r="P50" s="46">
        <f t="shared" si="13"/>
        <v>0.97770491803278692</v>
      </c>
      <c r="Q50" s="46">
        <f t="shared" si="14"/>
        <v>0.99810964083175802</v>
      </c>
    </row>
    <row r="51" spans="1:17" x14ac:dyDescent="0.2">
      <c r="A51">
        <v>49</v>
      </c>
      <c r="B51">
        <f>INT(IF(A51&gt;50,15+50+SQRT(A51-50)+0.8*SQRT(B1)+9,15+A51+0.75*SQRT(B1)+9))</f>
        <v>80</v>
      </c>
      <c r="C51" s="2">
        <f t="shared" si="0"/>
        <v>0.65573770491803274</v>
      </c>
      <c r="D51" s="2">
        <f t="shared" si="1"/>
        <v>0.64</v>
      </c>
      <c r="E51" s="3">
        <f t="shared" si="2"/>
        <v>0.87606557377049177</v>
      </c>
      <c r="F51" s="4">
        <f t="shared" si="3"/>
        <v>0.69565217391304346</v>
      </c>
      <c r="G51" s="4">
        <f t="shared" si="4"/>
        <v>0.5714285714285714</v>
      </c>
      <c r="H51" s="4">
        <f t="shared" si="5"/>
        <v>0.69565217391304346</v>
      </c>
      <c r="I51" s="5">
        <f t="shared" si="6"/>
        <v>0.96030245746691867</v>
      </c>
      <c r="J51" s="43">
        <f t="shared" si="7"/>
        <v>0.94688524590163936</v>
      </c>
      <c r="K51" s="43">
        <f t="shared" si="8"/>
        <v>0.9902781528490413</v>
      </c>
      <c r="L51" s="44">
        <f t="shared" si="9"/>
        <v>0.89783606557377049</v>
      </c>
      <c r="M51" s="44">
        <f t="shared" si="10"/>
        <v>0.97093383742911155</v>
      </c>
      <c r="N51" s="45">
        <f t="shared" si="11"/>
        <v>0.91278688524590157</v>
      </c>
      <c r="O51" s="45">
        <f t="shared" si="12"/>
        <v>0.9775576559546314</v>
      </c>
      <c r="P51" s="46">
        <f t="shared" si="13"/>
        <v>0.98006557377049175</v>
      </c>
      <c r="Q51" s="46">
        <f t="shared" si="14"/>
        <v>0.99851255738590328</v>
      </c>
    </row>
    <row r="52" spans="1:17" x14ac:dyDescent="0.2">
      <c r="A52">
        <v>50</v>
      </c>
      <c r="B52">
        <f>INT(IF(A52&gt;50,15+50+SQRT(A52-50)+0.8*SQRT(B1)+9,15+A52+0.75*SQRT(B1)+9))</f>
        <v>81</v>
      </c>
      <c r="C52" s="2">
        <f t="shared" si="0"/>
        <v>0.66393442622950816</v>
      </c>
      <c r="D52" s="2">
        <f t="shared" si="1"/>
        <v>0.64800000000000002</v>
      </c>
      <c r="E52" s="3">
        <f t="shared" si="2"/>
        <v>0.88170491803278694</v>
      </c>
      <c r="F52" s="4">
        <f t="shared" si="3"/>
        <v>0.70434782608695656</v>
      </c>
      <c r="G52" s="4">
        <f t="shared" si="4"/>
        <v>0.57857142857142863</v>
      </c>
      <c r="H52" s="4">
        <f t="shared" si="5"/>
        <v>0.70434782608695656</v>
      </c>
      <c r="I52" s="5">
        <f t="shared" si="6"/>
        <v>0.96316284093977855</v>
      </c>
      <c r="J52" s="43">
        <f t="shared" si="7"/>
        <v>0.95055737704918031</v>
      </c>
      <c r="K52" s="43">
        <f t="shared" si="8"/>
        <v>0.99142100999189842</v>
      </c>
      <c r="L52" s="44">
        <f t="shared" si="9"/>
        <v>0.9029508196721312</v>
      </c>
      <c r="M52" s="44">
        <f t="shared" si="10"/>
        <v>0.97326492033486356</v>
      </c>
      <c r="N52" s="45">
        <f t="shared" si="11"/>
        <v>0.91750819672131145</v>
      </c>
      <c r="O52" s="45">
        <f t="shared" si="12"/>
        <v>0.9795257899000811</v>
      </c>
      <c r="P52" s="46">
        <f t="shared" si="13"/>
        <v>0.98229508196721316</v>
      </c>
      <c r="Q52" s="46">
        <f t="shared" si="14"/>
        <v>0.99885930326762085</v>
      </c>
    </row>
    <row r="53" spans="1:17" x14ac:dyDescent="0.2">
      <c r="A53">
        <v>51</v>
      </c>
      <c r="B53">
        <f>INT(IF(A53&gt;50,15+50+SQRT(A53-50)+0.8*SQRT(B1)+9,15+A53+0.75*SQRT(B1)+9))</f>
        <v>82</v>
      </c>
      <c r="C53" s="2">
        <f t="shared" si="0"/>
        <v>0.67213114754098358</v>
      </c>
      <c r="D53" s="2">
        <f t="shared" si="1"/>
        <v>0.65600000000000003</v>
      </c>
      <c r="E53" s="3">
        <f t="shared" si="2"/>
        <v>0.88721311475409836</v>
      </c>
      <c r="F53" s="4">
        <f t="shared" si="3"/>
        <v>0.71304347826086956</v>
      </c>
      <c r="G53" s="4">
        <f t="shared" si="4"/>
        <v>0.58571428571428574</v>
      </c>
      <c r="H53" s="4">
        <f t="shared" si="5"/>
        <v>0.71304347826086956</v>
      </c>
      <c r="I53" s="5">
        <f t="shared" si="6"/>
        <v>0.96588603834728604</v>
      </c>
      <c r="J53" s="43">
        <f t="shared" si="7"/>
        <v>0.95409836065573772</v>
      </c>
      <c r="K53" s="43">
        <f t="shared" si="8"/>
        <v>0.99247529030515802</v>
      </c>
      <c r="L53" s="44">
        <f t="shared" si="9"/>
        <v>0.90793442622950815</v>
      </c>
      <c r="M53" s="44">
        <f t="shared" si="10"/>
        <v>0.97547177963813125</v>
      </c>
      <c r="N53" s="45">
        <f t="shared" si="11"/>
        <v>0.92209836065573769</v>
      </c>
      <c r="O53" s="45">
        <f t="shared" si="12"/>
        <v>0.98137942209019713</v>
      </c>
      <c r="P53" s="46">
        <f t="shared" si="13"/>
        <v>0.98439344262295081</v>
      </c>
      <c r="Q53" s="46">
        <f t="shared" si="14"/>
        <v>0.99915311909262761</v>
      </c>
    </row>
    <row r="54" spans="1:17" x14ac:dyDescent="0.2">
      <c r="A54">
        <v>52</v>
      </c>
      <c r="B54">
        <f>INT(IF(A54&gt;50,15+50+SQRT(A54-50)+0.8*SQRT(B1)+9,15+A54+0.75*SQRT(B1)+9))</f>
        <v>83</v>
      </c>
      <c r="C54" s="2">
        <f t="shared" si="0"/>
        <v>0.68032786885245899</v>
      </c>
      <c r="D54" s="2">
        <f t="shared" si="1"/>
        <v>0.66400000000000003</v>
      </c>
      <c r="E54" s="3">
        <f t="shared" si="2"/>
        <v>0.89259016393442625</v>
      </c>
      <c r="F54" s="4">
        <f t="shared" si="3"/>
        <v>0.72173913043478266</v>
      </c>
      <c r="G54" s="4">
        <f t="shared" si="4"/>
        <v>0.59285714285714286</v>
      </c>
      <c r="H54" s="4">
        <f t="shared" si="5"/>
        <v>0.72173913043478266</v>
      </c>
      <c r="I54" s="5">
        <f t="shared" si="6"/>
        <v>0.968475290305158</v>
      </c>
      <c r="J54" s="43">
        <f t="shared" si="7"/>
        <v>0.95750819672131149</v>
      </c>
      <c r="K54" s="43">
        <f t="shared" si="8"/>
        <v>0.99344423440453689</v>
      </c>
      <c r="L54" s="44">
        <f t="shared" si="9"/>
        <v>0.91278688524590157</v>
      </c>
      <c r="M54" s="44">
        <f t="shared" si="10"/>
        <v>0.9775576559546314</v>
      </c>
      <c r="N54" s="45">
        <f t="shared" si="11"/>
        <v>0.92655737704918029</v>
      </c>
      <c r="O54" s="45">
        <f t="shared" si="12"/>
        <v>0.9831217931406967</v>
      </c>
      <c r="P54" s="46">
        <f t="shared" si="13"/>
        <v>0.98636065573770493</v>
      </c>
      <c r="Q54" s="46">
        <f t="shared" si="14"/>
        <v>0.99939724547664055</v>
      </c>
    </row>
    <row r="55" spans="1:17" x14ac:dyDescent="0.2">
      <c r="A55">
        <v>53</v>
      </c>
      <c r="B55">
        <f>INT(IF(A55&gt;50,15+50+SQRT(A55-50)+0.8*SQRT(B1)+9,15+A55+0.75*SQRT(B1)+9))</f>
        <v>83</v>
      </c>
      <c r="C55" s="2">
        <f t="shared" si="0"/>
        <v>0.68032786885245899</v>
      </c>
      <c r="D55" s="2">
        <f t="shared" si="1"/>
        <v>0.66400000000000003</v>
      </c>
      <c r="E55" s="3">
        <f t="shared" si="2"/>
        <v>0.89259016393442625</v>
      </c>
      <c r="F55" s="4">
        <f t="shared" si="3"/>
        <v>0.72173913043478266</v>
      </c>
      <c r="G55" s="4">
        <f t="shared" si="4"/>
        <v>0.59285714285714286</v>
      </c>
      <c r="H55" s="4">
        <f t="shared" si="5"/>
        <v>0.72173913043478266</v>
      </c>
      <c r="I55" s="5">
        <f t="shared" si="6"/>
        <v>0.968475290305158</v>
      </c>
      <c r="J55" s="43">
        <f t="shared" si="7"/>
        <v>0.95750819672131149</v>
      </c>
      <c r="K55" s="43">
        <f t="shared" si="8"/>
        <v>0.99344423440453689</v>
      </c>
      <c r="L55" s="44">
        <f t="shared" si="9"/>
        <v>0.91278688524590157</v>
      </c>
      <c r="M55" s="44">
        <f t="shared" si="10"/>
        <v>0.9775576559546314</v>
      </c>
      <c r="N55" s="45">
        <f t="shared" si="11"/>
        <v>0.92655737704918029</v>
      </c>
      <c r="O55" s="45">
        <f t="shared" si="12"/>
        <v>0.9831217931406967</v>
      </c>
      <c r="P55" s="46">
        <f t="shared" si="13"/>
        <v>0.98636065573770493</v>
      </c>
      <c r="Q55" s="46">
        <f t="shared" si="14"/>
        <v>0.99939724547664055</v>
      </c>
    </row>
    <row r="56" spans="1:17" x14ac:dyDescent="0.2">
      <c r="A56">
        <v>54</v>
      </c>
      <c r="B56">
        <f>INT(IF(A56&gt;50,15+50+SQRT(A56-50)+0.8*SQRT(B1)+9,15+A56+0.75*SQRT(B1)+9))</f>
        <v>83</v>
      </c>
      <c r="C56" s="2">
        <f t="shared" si="0"/>
        <v>0.68032786885245899</v>
      </c>
      <c r="D56" s="2">
        <f t="shared" si="1"/>
        <v>0.66400000000000003</v>
      </c>
      <c r="E56" s="3">
        <f t="shared" si="2"/>
        <v>0.89259016393442625</v>
      </c>
      <c r="F56" s="4">
        <f t="shared" si="3"/>
        <v>0.72173913043478266</v>
      </c>
      <c r="G56" s="4">
        <f t="shared" si="4"/>
        <v>0.59285714285714286</v>
      </c>
      <c r="H56" s="4">
        <f t="shared" si="5"/>
        <v>0.72173913043478266</v>
      </c>
      <c r="I56" s="5">
        <f t="shared" si="6"/>
        <v>0.968475290305158</v>
      </c>
      <c r="J56" s="43">
        <f t="shared" si="7"/>
        <v>0.95750819672131149</v>
      </c>
      <c r="K56" s="43">
        <f t="shared" si="8"/>
        <v>0.99344423440453689</v>
      </c>
      <c r="L56" s="44">
        <f t="shared" si="9"/>
        <v>0.91278688524590157</v>
      </c>
      <c r="M56" s="44">
        <f t="shared" si="10"/>
        <v>0.9775576559546314</v>
      </c>
      <c r="N56" s="45">
        <f t="shared" si="11"/>
        <v>0.92655737704918029</v>
      </c>
      <c r="O56" s="45">
        <f t="shared" si="12"/>
        <v>0.9831217931406967</v>
      </c>
      <c r="P56" s="46">
        <f t="shared" si="13"/>
        <v>0.98636065573770493</v>
      </c>
      <c r="Q56" s="46">
        <f t="shared" si="14"/>
        <v>0.99939724547664055</v>
      </c>
    </row>
    <row r="57" spans="1:17" x14ac:dyDescent="0.2">
      <c r="A57">
        <v>55</v>
      </c>
      <c r="B57">
        <f>INT(IF(A57&gt;50,15+50+SQRT(A57-50)+0.8*SQRT(B1)+9,15+A57+0.75*SQRT(B1)+9))</f>
        <v>84</v>
      </c>
      <c r="C57" s="2">
        <f t="shared" si="0"/>
        <v>0.68852459016393441</v>
      </c>
      <c r="D57" s="2">
        <f t="shared" si="1"/>
        <v>0.67200000000000004</v>
      </c>
      <c r="E57" s="3">
        <f t="shared" si="2"/>
        <v>0.89783606557377049</v>
      </c>
      <c r="F57" s="4">
        <f t="shared" si="3"/>
        <v>0.73043478260869565</v>
      </c>
      <c r="G57" s="4">
        <f t="shared" si="4"/>
        <v>0.6</v>
      </c>
      <c r="H57" s="4">
        <f t="shared" si="5"/>
        <v>0.73043478260869565</v>
      </c>
      <c r="I57" s="5">
        <f t="shared" si="6"/>
        <v>0.97093383742911155</v>
      </c>
      <c r="J57" s="43">
        <f t="shared" si="7"/>
        <v>0.96078688524590161</v>
      </c>
      <c r="K57" s="43">
        <f t="shared" si="8"/>
        <v>0.99433108290575212</v>
      </c>
      <c r="L57" s="44">
        <f t="shared" si="9"/>
        <v>0.91750819672131145</v>
      </c>
      <c r="M57" s="44">
        <f t="shared" si="10"/>
        <v>0.9795257899000811</v>
      </c>
      <c r="N57" s="45">
        <f t="shared" si="11"/>
        <v>0.93088524590163935</v>
      </c>
      <c r="O57" s="45">
        <f t="shared" si="12"/>
        <v>0.9847561436672968</v>
      </c>
      <c r="P57" s="46">
        <f t="shared" si="13"/>
        <v>0.9881967213114754</v>
      </c>
      <c r="Q57" s="46">
        <f t="shared" si="14"/>
        <v>0.99959492303537678</v>
      </c>
    </row>
    <row r="58" spans="1:17" x14ac:dyDescent="0.2">
      <c r="A58">
        <v>56</v>
      </c>
      <c r="B58">
        <f>INT(IF(A58&gt;50,15+50+SQRT(A58-50)+0.8*SQRT(B1)+9,15+A58+0.75*SQRT(B1)+9))</f>
        <v>84</v>
      </c>
      <c r="C58" s="2">
        <f t="shared" si="0"/>
        <v>0.68852459016393441</v>
      </c>
      <c r="D58" s="2">
        <f t="shared" si="1"/>
        <v>0.67200000000000004</v>
      </c>
      <c r="E58" s="3">
        <f t="shared" si="2"/>
        <v>0.89783606557377049</v>
      </c>
      <c r="F58" s="4">
        <f t="shared" si="3"/>
        <v>0.73043478260869565</v>
      </c>
      <c r="G58" s="4">
        <f t="shared" si="4"/>
        <v>0.6</v>
      </c>
      <c r="H58" s="4">
        <f t="shared" si="5"/>
        <v>0.73043478260869565</v>
      </c>
      <c r="I58" s="5">
        <f t="shared" si="6"/>
        <v>0.97093383742911155</v>
      </c>
      <c r="J58" s="43">
        <f t="shared" si="7"/>
        <v>0.96078688524590161</v>
      </c>
      <c r="K58" s="43">
        <f t="shared" si="8"/>
        <v>0.99433108290575212</v>
      </c>
      <c r="L58" s="44">
        <f t="shared" si="9"/>
        <v>0.91750819672131145</v>
      </c>
      <c r="M58" s="44">
        <f t="shared" si="10"/>
        <v>0.9795257899000811</v>
      </c>
      <c r="N58" s="45">
        <f t="shared" si="11"/>
        <v>0.93088524590163935</v>
      </c>
      <c r="O58" s="45">
        <f t="shared" si="12"/>
        <v>0.9847561436672968</v>
      </c>
      <c r="P58" s="46">
        <f t="shared" si="13"/>
        <v>0.9881967213114754</v>
      </c>
      <c r="Q58" s="46">
        <f t="shared" si="14"/>
        <v>0.99959492303537678</v>
      </c>
    </row>
    <row r="59" spans="1:17" x14ac:dyDescent="0.2">
      <c r="A59">
        <v>57</v>
      </c>
      <c r="B59">
        <f>INT(IF(A59&gt;50,15+50+SQRT(A59-50)+0.8*SQRT(B1)+9,15+A59+0.75*SQRT(B1)+9))</f>
        <v>84</v>
      </c>
      <c r="C59" s="2">
        <f t="shared" si="0"/>
        <v>0.68852459016393441</v>
      </c>
      <c r="D59" s="2">
        <f t="shared" si="1"/>
        <v>0.67200000000000004</v>
      </c>
      <c r="E59" s="3">
        <f t="shared" si="2"/>
        <v>0.89783606557377049</v>
      </c>
      <c r="F59" s="4">
        <f t="shared" si="3"/>
        <v>0.73043478260869565</v>
      </c>
      <c r="G59" s="4">
        <f t="shared" si="4"/>
        <v>0.6</v>
      </c>
      <c r="H59" s="4">
        <f t="shared" si="5"/>
        <v>0.73043478260869565</v>
      </c>
      <c r="I59" s="5">
        <f t="shared" si="6"/>
        <v>0.97093383742911155</v>
      </c>
      <c r="J59" s="43">
        <f t="shared" si="7"/>
        <v>0.96078688524590161</v>
      </c>
      <c r="K59" s="43">
        <f t="shared" si="8"/>
        <v>0.99433108290575212</v>
      </c>
      <c r="L59" s="44">
        <f t="shared" si="9"/>
        <v>0.91750819672131145</v>
      </c>
      <c r="M59" s="44">
        <f t="shared" si="10"/>
        <v>0.9795257899000811</v>
      </c>
      <c r="N59" s="45">
        <f t="shared" si="11"/>
        <v>0.93088524590163935</v>
      </c>
      <c r="O59" s="45">
        <f t="shared" si="12"/>
        <v>0.9847561436672968</v>
      </c>
      <c r="P59" s="46">
        <f t="shared" si="13"/>
        <v>0.9881967213114754</v>
      </c>
      <c r="Q59" s="46">
        <f t="shared" si="14"/>
        <v>0.99959492303537678</v>
      </c>
    </row>
    <row r="60" spans="1:17" x14ac:dyDescent="0.2">
      <c r="A60">
        <v>58</v>
      </c>
      <c r="B60">
        <f>INT(IF(A60&gt;50,15+50+SQRT(A60-50)+0.8*SQRT(B1)+9,15+A60+0.75*SQRT(B1)+9))</f>
        <v>84</v>
      </c>
      <c r="C60" s="2">
        <f t="shared" si="0"/>
        <v>0.68852459016393441</v>
      </c>
      <c r="D60" s="2">
        <f t="shared" si="1"/>
        <v>0.67200000000000004</v>
      </c>
      <c r="E60" s="3">
        <f t="shared" si="2"/>
        <v>0.89783606557377049</v>
      </c>
      <c r="F60" s="4">
        <f t="shared" si="3"/>
        <v>0.73043478260869565</v>
      </c>
      <c r="G60" s="4">
        <f t="shared" si="4"/>
        <v>0.6</v>
      </c>
      <c r="H60" s="4">
        <f t="shared" si="5"/>
        <v>0.73043478260869565</v>
      </c>
      <c r="I60" s="5">
        <f t="shared" si="6"/>
        <v>0.97093383742911155</v>
      </c>
      <c r="J60" s="43">
        <f t="shared" si="7"/>
        <v>0.96078688524590161</v>
      </c>
      <c r="K60" s="43">
        <f t="shared" si="8"/>
        <v>0.99433108290575212</v>
      </c>
      <c r="L60" s="44">
        <f t="shared" si="9"/>
        <v>0.91750819672131145</v>
      </c>
      <c r="M60" s="44">
        <f t="shared" si="10"/>
        <v>0.9795257899000811</v>
      </c>
      <c r="N60" s="45">
        <f t="shared" si="11"/>
        <v>0.93088524590163935</v>
      </c>
      <c r="O60" s="45">
        <f t="shared" si="12"/>
        <v>0.9847561436672968</v>
      </c>
      <c r="P60" s="46">
        <f t="shared" si="13"/>
        <v>0.9881967213114754</v>
      </c>
      <c r="Q60" s="46">
        <f t="shared" si="14"/>
        <v>0.99959492303537678</v>
      </c>
    </row>
    <row r="61" spans="1:17" x14ac:dyDescent="0.2">
      <c r="A61">
        <v>59</v>
      </c>
      <c r="B61">
        <f>INT(IF(A61&gt;50,15+50+SQRT(A61-50)+0.8*SQRT(B1)+9,15+A61+0.75*SQRT(B1)+9))</f>
        <v>84</v>
      </c>
      <c r="C61" s="2">
        <f t="shared" si="0"/>
        <v>0.68852459016393441</v>
      </c>
      <c r="D61" s="2">
        <f t="shared" si="1"/>
        <v>0.67200000000000004</v>
      </c>
      <c r="E61" s="3">
        <f t="shared" si="2"/>
        <v>0.89783606557377049</v>
      </c>
      <c r="F61" s="4">
        <f t="shared" si="3"/>
        <v>0.73043478260869565</v>
      </c>
      <c r="G61" s="4">
        <f t="shared" si="4"/>
        <v>0.6</v>
      </c>
      <c r="H61" s="4">
        <f t="shared" si="5"/>
        <v>0.73043478260869565</v>
      </c>
      <c r="I61" s="5">
        <f t="shared" si="6"/>
        <v>0.97093383742911155</v>
      </c>
      <c r="J61" s="43">
        <f t="shared" si="7"/>
        <v>0.96078688524590161</v>
      </c>
      <c r="K61" s="43">
        <f t="shared" si="8"/>
        <v>0.99433108290575212</v>
      </c>
      <c r="L61" s="44">
        <f t="shared" si="9"/>
        <v>0.91750819672131145</v>
      </c>
      <c r="M61" s="44">
        <f t="shared" si="10"/>
        <v>0.9795257899000811</v>
      </c>
      <c r="N61" s="45">
        <f t="shared" si="11"/>
        <v>0.93088524590163935</v>
      </c>
      <c r="O61" s="45">
        <f t="shared" si="12"/>
        <v>0.9847561436672968</v>
      </c>
      <c r="P61" s="46">
        <f t="shared" si="13"/>
        <v>0.9881967213114754</v>
      </c>
      <c r="Q61" s="46">
        <f t="shared" si="14"/>
        <v>0.99959492303537678</v>
      </c>
    </row>
    <row r="62" spans="1:17" x14ac:dyDescent="0.2">
      <c r="A62">
        <v>60</v>
      </c>
      <c r="B62">
        <f>INT(IF(A62&gt;50,15+50+SQRT(A62-50)+0.8*SQRT(B1)+9,15+A62+0.75*SQRT(B1)+9))</f>
        <v>85</v>
      </c>
      <c r="C62" s="2">
        <f t="shared" si="0"/>
        <v>0.69672131147540983</v>
      </c>
      <c r="D62" s="2">
        <f t="shared" si="1"/>
        <v>0.68</v>
      </c>
      <c r="E62" s="3">
        <f t="shared" si="2"/>
        <v>0.9029508196721312</v>
      </c>
      <c r="F62" s="4">
        <f t="shared" si="3"/>
        <v>0.73913043478260865</v>
      </c>
      <c r="G62" s="4">
        <f t="shared" si="4"/>
        <v>0.6071428571428571</v>
      </c>
      <c r="H62" s="4">
        <f t="shared" si="5"/>
        <v>0.73913043478260865</v>
      </c>
      <c r="I62" s="5">
        <f t="shared" si="6"/>
        <v>0.97326492033486356</v>
      </c>
      <c r="J62" s="43">
        <f t="shared" si="7"/>
        <v>0.9639344262295082</v>
      </c>
      <c r="K62" s="43">
        <f t="shared" si="8"/>
        <v>0.99513907642452071</v>
      </c>
      <c r="L62" s="44">
        <f t="shared" si="9"/>
        <v>0.92209836065573769</v>
      </c>
      <c r="M62" s="44">
        <f t="shared" si="10"/>
        <v>0.98137942209019713</v>
      </c>
      <c r="N62" s="45">
        <f t="shared" si="11"/>
        <v>0.93508196721311476</v>
      </c>
      <c r="O62" s="45">
        <f t="shared" si="12"/>
        <v>0.98628571428571432</v>
      </c>
      <c r="P62" s="46">
        <f t="shared" si="13"/>
        <v>0.98990163934426234</v>
      </c>
      <c r="Q62" s="46">
        <f t="shared" si="14"/>
        <v>0.99974939238455307</v>
      </c>
    </row>
    <row r="63" spans="1:17" x14ac:dyDescent="0.2">
      <c r="A63">
        <v>61</v>
      </c>
      <c r="B63">
        <f>INT(IF(A63&gt;50,15+50+SQRT(A63-50)+0.8*SQRT(B1)+9,15+A63+0.75*SQRT(B1)+9))</f>
        <v>85</v>
      </c>
      <c r="C63" s="2">
        <f t="shared" si="0"/>
        <v>0.69672131147540983</v>
      </c>
      <c r="D63" s="2">
        <f t="shared" si="1"/>
        <v>0.68</v>
      </c>
      <c r="E63" s="3">
        <f t="shared" si="2"/>
        <v>0.9029508196721312</v>
      </c>
      <c r="F63" s="4">
        <f t="shared" si="3"/>
        <v>0.73913043478260865</v>
      </c>
      <c r="G63" s="4">
        <f t="shared" si="4"/>
        <v>0.6071428571428571</v>
      </c>
      <c r="H63" s="4">
        <f t="shared" si="5"/>
        <v>0.73913043478260865</v>
      </c>
      <c r="I63" s="5">
        <f t="shared" si="6"/>
        <v>0.97326492033486356</v>
      </c>
      <c r="J63" s="43">
        <f t="shared" si="7"/>
        <v>0.9639344262295082</v>
      </c>
      <c r="K63" s="43">
        <f t="shared" si="8"/>
        <v>0.99513907642452071</v>
      </c>
      <c r="L63" s="44">
        <f t="shared" si="9"/>
        <v>0.92209836065573769</v>
      </c>
      <c r="M63" s="44">
        <f t="shared" si="10"/>
        <v>0.98137942209019713</v>
      </c>
      <c r="N63" s="45">
        <f t="shared" si="11"/>
        <v>0.93508196721311476</v>
      </c>
      <c r="O63" s="45">
        <f t="shared" si="12"/>
        <v>0.98628571428571432</v>
      </c>
      <c r="P63" s="46">
        <f t="shared" si="13"/>
        <v>0.98990163934426234</v>
      </c>
      <c r="Q63" s="46">
        <f t="shared" si="14"/>
        <v>0.99974939238455307</v>
      </c>
    </row>
    <row r="64" spans="1:17" x14ac:dyDescent="0.2">
      <c r="A64">
        <v>62</v>
      </c>
      <c r="B64">
        <f>INT(IF(A64&gt;50,15+50+SQRT(A64-50)+0.8*SQRT(B1)+9,15+A64+0.75*SQRT(B1)+9))</f>
        <v>85</v>
      </c>
      <c r="C64" s="2">
        <f t="shared" si="0"/>
        <v>0.69672131147540983</v>
      </c>
      <c r="D64" s="2">
        <f t="shared" si="1"/>
        <v>0.68</v>
      </c>
      <c r="E64" s="3">
        <f t="shared" si="2"/>
        <v>0.9029508196721312</v>
      </c>
      <c r="F64" s="4">
        <f t="shared" si="3"/>
        <v>0.73913043478260865</v>
      </c>
      <c r="G64" s="4">
        <f t="shared" si="4"/>
        <v>0.6071428571428571</v>
      </c>
      <c r="H64" s="4">
        <f t="shared" si="5"/>
        <v>0.73913043478260865</v>
      </c>
      <c r="I64" s="5">
        <f t="shared" si="6"/>
        <v>0.97326492033486356</v>
      </c>
      <c r="J64" s="43">
        <f t="shared" si="7"/>
        <v>0.9639344262295082</v>
      </c>
      <c r="K64" s="43">
        <f t="shared" si="8"/>
        <v>0.99513907642452071</v>
      </c>
      <c r="L64" s="44">
        <f t="shared" si="9"/>
        <v>0.92209836065573769</v>
      </c>
      <c r="M64" s="44">
        <f t="shared" si="10"/>
        <v>0.98137942209019713</v>
      </c>
      <c r="N64" s="45">
        <f t="shared" si="11"/>
        <v>0.93508196721311476</v>
      </c>
      <c r="O64" s="45">
        <f t="shared" si="12"/>
        <v>0.98628571428571432</v>
      </c>
      <c r="P64" s="46">
        <f t="shared" si="13"/>
        <v>0.98990163934426234</v>
      </c>
      <c r="Q64" s="46">
        <f t="shared" si="14"/>
        <v>0.99974939238455307</v>
      </c>
    </row>
    <row r="65" spans="1:17" x14ac:dyDescent="0.2">
      <c r="A65">
        <v>63</v>
      </c>
      <c r="B65">
        <f>INT(IF(A65&gt;50,15+50+SQRT(A65-50)+0.8*SQRT(B1)+9,15+A65+0.75*SQRT(B1)+9))</f>
        <v>85</v>
      </c>
      <c r="C65" s="2">
        <f t="shared" si="0"/>
        <v>0.69672131147540983</v>
      </c>
      <c r="D65" s="2">
        <f t="shared" si="1"/>
        <v>0.68</v>
      </c>
      <c r="E65" s="3">
        <f t="shared" si="2"/>
        <v>0.9029508196721312</v>
      </c>
      <c r="F65" s="4">
        <f t="shared" si="3"/>
        <v>0.73913043478260865</v>
      </c>
      <c r="G65" s="4">
        <f t="shared" si="4"/>
        <v>0.6071428571428571</v>
      </c>
      <c r="H65" s="4">
        <f t="shared" si="5"/>
        <v>0.73913043478260865</v>
      </c>
      <c r="I65" s="5">
        <f t="shared" si="6"/>
        <v>0.97326492033486356</v>
      </c>
      <c r="J65" s="43">
        <f t="shared" si="7"/>
        <v>0.9639344262295082</v>
      </c>
      <c r="K65" s="43">
        <f t="shared" si="8"/>
        <v>0.99513907642452071</v>
      </c>
      <c r="L65" s="44">
        <f t="shared" si="9"/>
        <v>0.92209836065573769</v>
      </c>
      <c r="M65" s="44">
        <f t="shared" si="10"/>
        <v>0.98137942209019713</v>
      </c>
      <c r="N65" s="45">
        <f t="shared" si="11"/>
        <v>0.93508196721311476</v>
      </c>
      <c r="O65" s="45">
        <f t="shared" si="12"/>
        <v>0.98628571428571432</v>
      </c>
      <c r="P65" s="46">
        <f t="shared" si="13"/>
        <v>0.98990163934426234</v>
      </c>
      <c r="Q65" s="46">
        <f t="shared" si="14"/>
        <v>0.99974939238455307</v>
      </c>
    </row>
    <row r="66" spans="1:17" x14ac:dyDescent="0.2">
      <c r="A66">
        <v>64</v>
      </c>
      <c r="B66">
        <f>INT(IF(A66&gt;50,15+50+SQRT(A66-50)+0.8*SQRT(B1)+9,15+A66+0.75*SQRT(B1)+9))</f>
        <v>85</v>
      </c>
      <c r="C66" s="2">
        <f t="shared" si="0"/>
        <v>0.69672131147540983</v>
      </c>
      <c r="D66" s="2">
        <f t="shared" si="1"/>
        <v>0.68</v>
      </c>
      <c r="E66" s="3">
        <f t="shared" si="2"/>
        <v>0.9029508196721312</v>
      </c>
      <c r="F66" s="4">
        <f t="shared" si="3"/>
        <v>0.73913043478260865</v>
      </c>
      <c r="G66" s="4">
        <f t="shared" si="4"/>
        <v>0.6071428571428571</v>
      </c>
      <c r="H66" s="4">
        <f t="shared" si="5"/>
        <v>0.73913043478260865</v>
      </c>
      <c r="I66" s="5">
        <f t="shared" si="6"/>
        <v>0.97326492033486356</v>
      </c>
      <c r="J66" s="43">
        <f t="shared" si="7"/>
        <v>0.9639344262295082</v>
      </c>
      <c r="K66" s="43">
        <f t="shared" si="8"/>
        <v>0.99513907642452071</v>
      </c>
      <c r="L66" s="44">
        <f t="shared" si="9"/>
        <v>0.92209836065573769</v>
      </c>
      <c r="M66" s="44">
        <f t="shared" si="10"/>
        <v>0.98137942209019713</v>
      </c>
      <c r="N66" s="45">
        <f t="shared" si="11"/>
        <v>0.93508196721311476</v>
      </c>
      <c r="O66" s="45">
        <f t="shared" si="12"/>
        <v>0.98628571428571432</v>
      </c>
      <c r="P66" s="46">
        <f t="shared" si="13"/>
        <v>0.98990163934426234</v>
      </c>
      <c r="Q66" s="46">
        <f t="shared" si="14"/>
        <v>0.99974939238455307</v>
      </c>
    </row>
    <row r="67" spans="1:17" x14ac:dyDescent="0.2">
      <c r="A67">
        <v>65</v>
      </c>
      <c r="B67">
        <f>INT(IF(A67&gt;50,15+50+SQRT(A67-50)+0.8*SQRT(B1)+9,15+A67+0.75*SQRT(B1)+9))</f>
        <v>85</v>
      </c>
      <c r="C67" s="2">
        <f t="shared" si="0"/>
        <v>0.69672131147540983</v>
      </c>
      <c r="D67" s="2">
        <f t="shared" si="1"/>
        <v>0.68</v>
      </c>
      <c r="E67" s="3">
        <f t="shared" si="2"/>
        <v>0.9029508196721312</v>
      </c>
      <c r="F67" s="4">
        <f t="shared" si="3"/>
        <v>0.73913043478260865</v>
      </c>
      <c r="G67" s="4">
        <f t="shared" si="4"/>
        <v>0.6071428571428571</v>
      </c>
      <c r="H67" s="4">
        <f t="shared" si="5"/>
        <v>0.73913043478260865</v>
      </c>
      <c r="I67" s="5">
        <f t="shared" si="6"/>
        <v>0.97326492033486356</v>
      </c>
      <c r="J67" s="43">
        <f t="shared" si="7"/>
        <v>0.9639344262295082</v>
      </c>
      <c r="K67" s="43">
        <f t="shared" si="8"/>
        <v>0.99513907642452071</v>
      </c>
      <c r="L67" s="44">
        <f t="shared" si="9"/>
        <v>0.92209836065573769</v>
      </c>
      <c r="M67" s="44">
        <f t="shared" si="10"/>
        <v>0.98137942209019713</v>
      </c>
      <c r="N67" s="45">
        <f t="shared" si="11"/>
        <v>0.93508196721311476</v>
      </c>
      <c r="O67" s="45">
        <f t="shared" si="12"/>
        <v>0.98628571428571432</v>
      </c>
      <c r="P67" s="46">
        <f t="shared" si="13"/>
        <v>0.98990163934426234</v>
      </c>
      <c r="Q67" s="46">
        <f t="shared" si="14"/>
        <v>0.99974939238455307</v>
      </c>
    </row>
    <row r="68" spans="1:17" x14ac:dyDescent="0.2">
      <c r="A68">
        <v>66</v>
      </c>
      <c r="B68">
        <f>INT(IF(A68&gt;50,15+50+SQRT(A68-50)+0.8*SQRT(B1)+9,15+A68+0.75*SQRT(B1)+9))</f>
        <v>85</v>
      </c>
      <c r="C68" s="2">
        <f t="shared" ref="C68:C102" si="15">B68/122</f>
        <v>0.69672131147540983</v>
      </c>
      <c r="D68" s="2">
        <f t="shared" ref="D68:D102" si="16">B68/125</f>
        <v>0.68</v>
      </c>
      <c r="E68" s="3">
        <f t="shared" ref="E68:E102" si="17">D68+(1-D68)*C68</f>
        <v>0.9029508196721312</v>
      </c>
      <c r="F68" s="4">
        <f t="shared" ref="F68:F102" si="18">B68/115</f>
        <v>0.73913043478260865</v>
      </c>
      <c r="G68" s="4">
        <f t="shared" ref="G68:G102" si="19">B68/140</f>
        <v>0.6071428571428571</v>
      </c>
      <c r="H68" s="4">
        <f t="shared" ref="H68:H102" si="20">B68/115</f>
        <v>0.73913043478260865</v>
      </c>
      <c r="I68" s="5">
        <f t="shared" ref="I68:I102" si="21">F68+(1-F68)*G68+(1-F68)*(1-G68)*H68</f>
        <v>0.97326492033486356</v>
      </c>
      <c r="J68" s="43">
        <f t="shared" ref="J68:J102" si="22">(B68+15)/125+(1-(B68+15)/125)*(B68+15)/122</f>
        <v>0.9639344262295082</v>
      </c>
      <c r="K68" s="43">
        <f t="shared" ref="K68:K102" si="23">(B68+15)/115+(1-(B68+15)/115)*(B68+15)/140+(1-(B68+15)/115)*(1-(B68+15)/140)*(B68+15)/115</f>
        <v>0.99513907642452071</v>
      </c>
      <c r="L68" s="44">
        <f t="shared" ref="L68:L102" si="24">(B68+4)/125+(1-(B68+4)/125)*(B68+4)/122</f>
        <v>0.92209836065573769</v>
      </c>
      <c r="M68" s="44">
        <f t="shared" ref="M68:M102" si="25">(B68+4)/115+(1-(B68+4)/115)*(B68+4)/140+(1-(B68+4)/115)*(1-(B68+4)/140)*(B68+4)/115</f>
        <v>0.98137942209019713</v>
      </c>
      <c r="N68" s="45">
        <f t="shared" ref="N68:N102" si="26">(B68+7)/125+(1-(B68+7)/125)*(B68+7)/122</f>
        <v>0.93508196721311476</v>
      </c>
      <c r="O68" s="45">
        <f t="shared" ref="O68:O102" si="27">(B68+7)/115+(1-(B68+7)/115)*(B68+7)/140+(1-(B68+7)/115)*(1-(B68+7)/140)*(B68+7)/115</f>
        <v>0.98628571428571432</v>
      </c>
      <c r="P68" s="46">
        <f t="shared" ref="P68:P102" si="28">(B68+26)/125+(1-(B68+26)/125)*(B68+26)/122</f>
        <v>0.98990163934426234</v>
      </c>
      <c r="Q68" s="46">
        <f t="shared" ref="Q68:Q102" si="29">(B68+26)/115+(1-(B68+26)/115)*(B68+26)/140+(1-(B68+26)/115)*(1-(B68+26)/140)*(B68+26)/115</f>
        <v>0.99974939238455307</v>
      </c>
    </row>
    <row r="69" spans="1:17" x14ac:dyDescent="0.2">
      <c r="A69">
        <v>67</v>
      </c>
      <c r="B69">
        <f>INT(IF(A69&gt;50,15+50+SQRT(A69-50)+0.8*SQRT(B1)+9,15+A69+0.75*SQRT(B1)+9))</f>
        <v>86</v>
      </c>
      <c r="C69" s="2">
        <f t="shared" si="15"/>
        <v>0.70491803278688525</v>
      </c>
      <c r="D69" s="2">
        <f t="shared" si="16"/>
        <v>0.68799999999999994</v>
      </c>
      <c r="E69" s="3">
        <f t="shared" si="17"/>
        <v>0.90793442622950815</v>
      </c>
      <c r="F69" s="4">
        <f t="shared" si="18"/>
        <v>0.74782608695652175</v>
      </c>
      <c r="G69" s="4">
        <f t="shared" si="19"/>
        <v>0.61428571428571432</v>
      </c>
      <c r="H69" s="4">
        <f t="shared" si="20"/>
        <v>0.74782608695652175</v>
      </c>
      <c r="I69" s="5">
        <f t="shared" si="21"/>
        <v>0.97547177963813125</v>
      </c>
      <c r="J69" s="43">
        <f t="shared" si="22"/>
        <v>0.96695081967213115</v>
      </c>
      <c r="K69" s="43">
        <f t="shared" si="23"/>
        <v>0.99587145557655954</v>
      </c>
      <c r="L69" s="44">
        <f t="shared" si="24"/>
        <v>0.92655737704918029</v>
      </c>
      <c r="M69" s="44">
        <f t="shared" si="25"/>
        <v>0.9831217931406967</v>
      </c>
      <c r="N69" s="45">
        <f t="shared" si="26"/>
        <v>0.93914754098360653</v>
      </c>
      <c r="O69" s="45">
        <f t="shared" si="27"/>
        <v>0.98771374561166625</v>
      </c>
      <c r="P69" s="46">
        <f t="shared" si="28"/>
        <v>0.99147540983606564</v>
      </c>
      <c r="Q69" s="46">
        <f t="shared" si="29"/>
        <v>0.99986389413988652</v>
      </c>
    </row>
    <row r="70" spans="1:17" x14ac:dyDescent="0.2">
      <c r="A70">
        <v>68</v>
      </c>
      <c r="B70">
        <f>INT(IF(A70&gt;50,15+50+SQRT(A70-50)+0.8*SQRT(B1)+9,15+A70+0.75*SQRT(B1)+9))</f>
        <v>86</v>
      </c>
      <c r="C70" s="2">
        <f t="shared" si="15"/>
        <v>0.70491803278688525</v>
      </c>
      <c r="D70" s="2">
        <f t="shared" si="16"/>
        <v>0.68799999999999994</v>
      </c>
      <c r="E70" s="3">
        <f t="shared" si="17"/>
        <v>0.90793442622950815</v>
      </c>
      <c r="F70" s="4">
        <f t="shared" si="18"/>
        <v>0.74782608695652175</v>
      </c>
      <c r="G70" s="4">
        <f t="shared" si="19"/>
        <v>0.61428571428571432</v>
      </c>
      <c r="H70" s="4">
        <f t="shared" si="20"/>
        <v>0.74782608695652175</v>
      </c>
      <c r="I70" s="5">
        <f t="shared" si="21"/>
        <v>0.97547177963813125</v>
      </c>
      <c r="J70" s="43">
        <f t="shared" si="22"/>
        <v>0.96695081967213115</v>
      </c>
      <c r="K70" s="43">
        <f t="shared" si="23"/>
        <v>0.99587145557655954</v>
      </c>
      <c r="L70" s="44">
        <f t="shared" si="24"/>
        <v>0.92655737704918029</v>
      </c>
      <c r="M70" s="44">
        <f t="shared" si="25"/>
        <v>0.9831217931406967</v>
      </c>
      <c r="N70" s="45">
        <f t="shared" si="26"/>
        <v>0.93914754098360653</v>
      </c>
      <c r="O70" s="45">
        <f t="shared" si="27"/>
        <v>0.98771374561166625</v>
      </c>
      <c r="P70" s="46">
        <f t="shared" si="28"/>
        <v>0.99147540983606564</v>
      </c>
      <c r="Q70" s="46">
        <f t="shared" si="29"/>
        <v>0.99986389413988652</v>
      </c>
    </row>
    <row r="71" spans="1:17" x14ac:dyDescent="0.2">
      <c r="A71">
        <v>69</v>
      </c>
      <c r="B71">
        <f>INT(IF(A71&gt;50,15+50+SQRT(A71-50)+0.8*SQRT(B1)+9,15+A71+0.75*SQRT(B1)+9))</f>
        <v>86</v>
      </c>
      <c r="C71" s="2">
        <f t="shared" si="15"/>
        <v>0.70491803278688525</v>
      </c>
      <c r="D71" s="2">
        <f t="shared" si="16"/>
        <v>0.68799999999999994</v>
      </c>
      <c r="E71" s="3">
        <f t="shared" si="17"/>
        <v>0.90793442622950815</v>
      </c>
      <c r="F71" s="4">
        <f t="shared" si="18"/>
        <v>0.74782608695652175</v>
      </c>
      <c r="G71" s="4">
        <f t="shared" si="19"/>
        <v>0.61428571428571432</v>
      </c>
      <c r="H71" s="4">
        <f t="shared" si="20"/>
        <v>0.74782608695652175</v>
      </c>
      <c r="I71" s="5">
        <f t="shared" si="21"/>
        <v>0.97547177963813125</v>
      </c>
      <c r="J71" s="43">
        <f t="shared" si="22"/>
        <v>0.96695081967213115</v>
      </c>
      <c r="K71" s="43">
        <f t="shared" si="23"/>
        <v>0.99587145557655954</v>
      </c>
      <c r="L71" s="44">
        <f t="shared" si="24"/>
        <v>0.92655737704918029</v>
      </c>
      <c r="M71" s="44">
        <f t="shared" si="25"/>
        <v>0.9831217931406967</v>
      </c>
      <c r="N71" s="45">
        <f t="shared" si="26"/>
        <v>0.93914754098360653</v>
      </c>
      <c r="O71" s="45">
        <f t="shared" si="27"/>
        <v>0.98771374561166625</v>
      </c>
      <c r="P71" s="46">
        <f t="shared" si="28"/>
        <v>0.99147540983606564</v>
      </c>
      <c r="Q71" s="46">
        <f t="shared" si="29"/>
        <v>0.99986389413988652</v>
      </c>
    </row>
    <row r="72" spans="1:17" x14ac:dyDescent="0.2">
      <c r="A72">
        <v>70</v>
      </c>
      <c r="B72">
        <f>INT(IF(A72&gt;50,15+50+SQRT(A72-50)+0.8*SQRT(B1)+9,15+A72+0.75*SQRT(B1)+9))</f>
        <v>86</v>
      </c>
      <c r="C72" s="2">
        <f t="shared" si="15"/>
        <v>0.70491803278688525</v>
      </c>
      <c r="D72" s="2">
        <f t="shared" si="16"/>
        <v>0.68799999999999994</v>
      </c>
      <c r="E72" s="3">
        <f t="shared" si="17"/>
        <v>0.90793442622950815</v>
      </c>
      <c r="F72" s="4">
        <f t="shared" si="18"/>
        <v>0.74782608695652175</v>
      </c>
      <c r="G72" s="4">
        <f t="shared" si="19"/>
        <v>0.61428571428571432</v>
      </c>
      <c r="H72" s="4">
        <f t="shared" si="20"/>
        <v>0.74782608695652175</v>
      </c>
      <c r="I72" s="5">
        <f t="shared" si="21"/>
        <v>0.97547177963813125</v>
      </c>
      <c r="J72" s="43">
        <f t="shared" si="22"/>
        <v>0.96695081967213115</v>
      </c>
      <c r="K72" s="43">
        <f t="shared" si="23"/>
        <v>0.99587145557655954</v>
      </c>
      <c r="L72" s="44">
        <f t="shared" si="24"/>
        <v>0.92655737704918029</v>
      </c>
      <c r="M72" s="44">
        <f t="shared" si="25"/>
        <v>0.9831217931406967</v>
      </c>
      <c r="N72" s="45">
        <f t="shared" si="26"/>
        <v>0.93914754098360653</v>
      </c>
      <c r="O72" s="45">
        <f t="shared" si="27"/>
        <v>0.98771374561166625</v>
      </c>
      <c r="P72" s="46">
        <f t="shared" si="28"/>
        <v>0.99147540983606564</v>
      </c>
      <c r="Q72" s="46">
        <f t="shared" si="29"/>
        <v>0.99986389413988652</v>
      </c>
    </row>
    <row r="73" spans="1:17" x14ac:dyDescent="0.2">
      <c r="A73">
        <v>71</v>
      </c>
      <c r="B73">
        <f>INT(IF(A73&gt;50,15+50+SQRT(A73-50)+0.8*SQRT(B1)+9,15+A73+0.75*SQRT(B1)+9))</f>
        <v>86</v>
      </c>
      <c r="C73" s="2">
        <f t="shared" si="15"/>
        <v>0.70491803278688525</v>
      </c>
      <c r="D73" s="2">
        <f t="shared" si="16"/>
        <v>0.68799999999999994</v>
      </c>
      <c r="E73" s="3">
        <f t="shared" si="17"/>
        <v>0.90793442622950815</v>
      </c>
      <c r="F73" s="4">
        <f t="shared" si="18"/>
        <v>0.74782608695652175</v>
      </c>
      <c r="G73" s="4">
        <f t="shared" si="19"/>
        <v>0.61428571428571432</v>
      </c>
      <c r="H73" s="4">
        <f t="shared" si="20"/>
        <v>0.74782608695652175</v>
      </c>
      <c r="I73" s="5">
        <f t="shared" si="21"/>
        <v>0.97547177963813125</v>
      </c>
      <c r="J73" s="43">
        <f t="shared" si="22"/>
        <v>0.96695081967213115</v>
      </c>
      <c r="K73" s="43">
        <f t="shared" si="23"/>
        <v>0.99587145557655954</v>
      </c>
      <c r="L73" s="44">
        <f t="shared" si="24"/>
        <v>0.92655737704918029</v>
      </c>
      <c r="M73" s="44">
        <f t="shared" si="25"/>
        <v>0.9831217931406967</v>
      </c>
      <c r="N73" s="45">
        <f t="shared" si="26"/>
        <v>0.93914754098360653</v>
      </c>
      <c r="O73" s="45">
        <f t="shared" si="27"/>
        <v>0.98771374561166625</v>
      </c>
      <c r="P73" s="46">
        <f t="shared" si="28"/>
        <v>0.99147540983606564</v>
      </c>
      <c r="Q73" s="46">
        <f t="shared" si="29"/>
        <v>0.99986389413988652</v>
      </c>
    </row>
    <row r="74" spans="1:17" x14ac:dyDescent="0.2">
      <c r="A74">
        <v>72</v>
      </c>
      <c r="B74">
        <f>INT(IF(A74&gt;50,15+50+SQRT(A74-50)+0.8*SQRT(B1)+9,15+A74+0.75*SQRT(B1)+9))</f>
        <v>86</v>
      </c>
      <c r="C74" s="2">
        <f t="shared" si="15"/>
        <v>0.70491803278688525</v>
      </c>
      <c r="D74" s="2">
        <f t="shared" si="16"/>
        <v>0.68799999999999994</v>
      </c>
      <c r="E74" s="3">
        <f t="shared" si="17"/>
        <v>0.90793442622950815</v>
      </c>
      <c r="F74" s="4">
        <f t="shared" si="18"/>
        <v>0.74782608695652175</v>
      </c>
      <c r="G74" s="4">
        <f t="shared" si="19"/>
        <v>0.61428571428571432</v>
      </c>
      <c r="H74" s="4">
        <f t="shared" si="20"/>
        <v>0.74782608695652175</v>
      </c>
      <c r="I74" s="5">
        <f t="shared" si="21"/>
        <v>0.97547177963813125</v>
      </c>
      <c r="J74" s="43">
        <f t="shared" si="22"/>
        <v>0.96695081967213115</v>
      </c>
      <c r="K74" s="43">
        <f t="shared" si="23"/>
        <v>0.99587145557655954</v>
      </c>
      <c r="L74" s="44">
        <f t="shared" si="24"/>
        <v>0.92655737704918029</v>
      </c>
      <c r="M74" s="44">
        <f t="shared" si="25"/>
        <v>0.9831217931406967</v>
      </c>
      <c r="N74" s="45">
        <f t="shared" si="26"/>
        <v>0.93914754098360653</v>
      </c>
      <c r="O74" s="45">
        <f t="shared" si="27"/>
        <v>0.98771374561166625</v>
      </c>
      <c r="P74" s="46">
        <f t="shared" si="28"/>
        <v>0.99147540983606564</v>
      </c>
      <c r="Q74" s="46">
        <f t="shared" si="29"/>
        <v>0.99986389413988652</v>
      </c>
    </row>
    <row r="75" spans="1:17" x14ac:dyDescent="0.2">
      <c r="A75">
        <v>73</v>
      </c>
      <c r="B75">
        <f>INT(IF(A75&gt;50,15+50+SQRT(A75-50)+0.8*SQRT(B1)+9,15+A75+0.75*SQRT(B1)+9))</f>
        <v>86</v>
      </c>
      <c r="C75" s="2">
        <f t="shared" si="15"/>
        <v>0.70491803278688525</v>
      </c>
      <c r="D75" s="2">
        <f t="shared" si="16"/>
        <v>0.68799999999999994</v>
      </c>
      <c r="E75" s="3">
        <f t="shared" si="17"/>
        <v>0.90793442622950815</v>
      </c>
      <c r="F75" s="4">
        <f t="shared" si="18"/>
        <v>0.74782608695652175</v>
      </c>
      <c r="G75" s="4">
        <f t="shared" si="19"/>
        <v>0.61428571428571432</v>
      </c>
      <c r="H75" s="4">
        <f t="shared" si="20"/>
        <v>0.74782608695652175</v>
      </c>
      <c r="I75" s="5">
        <f t="shared" si="21"/>
        <v>0.97547177963813125</v>
      </c>
      <c r="J75" s="43">
        <f t="shared" si="22"/>
        <v>0.96695081967213115</v>
      </c>
      <c r="K75" s="43">
        <f t="shared" si="23"/>
        <v>0.99587145557655954</v>
      </c>
      <c r="L75" s="44">
        <f t="shared" si="24"/>
        <v>0.92655737704918029</v>
      </c>
      <c r="M75" s="44">
        <f t="shared" si="25"/>
        <v>0.9831217931406967</v>
      </c>
      <c r="N75" s="45">
        <f t="shared" si="26"/>
        <v>0.93914754098360653</v>
      </c>
      <c r="O75" s="45">
        <f t="shared" si="27"/>
        <v>0.98771374561166625</v>
      </c>
      <c r="P75" s="46">
        <f t="shared" si="28"/>
        <v>0.99147540983606564</v>
      </c>
      <c r="Q75" s="46">
        <f t="shared" si="29"/>
        <v>0.99986389413988652</v>
      </c>
    </row>
    <row r="76" spans="1:17" x14ac:dyDescent="0.2">
      <c r="A76">
        <v>74</v>
      </c>
      <c r="B76">
        <f>INT(IF(A76&gt;50,15+50+SQRT(A76-50)+0.8*SQRT(B1)+9,15+A76+0.75*SQRT(B1)+9))</f>
        <v>86</v>
      </c>
      <c r="C76" s="2">
        <f t="shared" si="15"/>
        <v>0.70491803278688525</v>
      </c>
      <c r="D76" s="2">
        <f t="shared" si="16"/>
        <v>0.68799999999999994</v>
      </c>
      <c r="E76" s="3">
        <f t="shared" si="17"/>
        <v>0.90793442622950815</v>
      </c>
      <c r="F76" s="4">
        <f t="shared" si="18"/>
        <v>0.74782608695652175</v>
      </c>
      <c r="G76" s="4">
        <f t="shared" si="19"/>
        <v>0.61428571428571432</v>
      </c>
      <c r="H76" s="4">
        <f t="shared" si="20"/>
        <v>0.74782608695652175</v>
      </c>
      <c r="I76" s="5">
        <f t="shared" si="21"/>
        <v>0.97547177963813125</v>
      </c>
      <c r="J76" s="43">
        <f t="shared" si="22"/>
        <v>0.96695081967213115</v>
      </c>
      <c r="K76" s="43">
        <f t="shared" si="23"/>
        <v>0.99587145557655954</v>
      </c>
      <c r="L76" s="44">
        <f t="shared" si="24"/>
        <v>0.92655737704918029</v>
      </c>
      <c r="M76" s="44">
        <f t="shared" si="25"/>
        <v>0.9831217931406967</v>
      </c>
      <c r="N76" s="45">
        <f t="shared" si="26"/>
        <v>0.93914754098360653</v>
      </c>
      <c r="O76" s="45">
        <f t="shared" si="27"/>
        <v>0.98771374561166625</v>
      </c>
      <c r="P76" s="46">
        <f t="shared" si="28"/>
        <v>0.99147540983606564</v>
      </c>
      <c r="Q76" s="46">
        <f t="shared" si="29"/>
        <v>0.99986389413988652</v>
      </c>
    </row>
    <row r="77" spans="1:17" x14ac:dyDescent="0.2">
      <c r="A77">
        <v>75</v>
      </c>
      <c r="B77">
        <f>INT(IF(A77&gt;50,15+50+SQRT(A77-50)+0.8*SQRT(B1)+9,15+A77+0.75*SQRT(B1)+9))</f>
        <v>86</v>
      </c>
      <c r="C77" s="2">
        <f t="shared" si="15"/>
        <v>0.70491803278688525</v>
      </c>
      <c r="D77" s="2">
        <f t="shared" si="16"/>
        <v>0.68799999999999994</v>
      </c>
      <c r="E77" s="3">
        <f t="shared" si="17"/>
        <v>0.90793442622950815</v>
      </c>
      <c r="F77" s="4">
        <f t="shared" si="18"/>
        <v>0.74782608695652175</v>
      </c>
      <c r="G77" s="4">
        <f t="shared" si="19"/>
        <v>0.61428571428571432</v>
      </c>
      <c r="H77" s="4">
        <f t="shared" si="20"/>
        <v>0.74782608695652175</v>
      </c>
      <c r="I77" s="5">
        <f t="shared" si="21"/>
        <v>0.97547177963813125</v>
      </c>
      <c r="J77" s="43">
        <f t="shared" si="22"/>
        <v>0.96695081967213115</v>
      </c>
      <c r="K77" s="43">
        <f t="shared" si="23"/>
        <v>0.99587145557655954</v>
      </c>
      <c r="L77" s="44">
        <f t="shared" si="24"/>
        <v>0.92655737704918029</v>
      </c>
      <c r="M77" s="44">
        <f t="shared" si="25"/>
        <v>0.9831217931406967</v>
      </c>
      <c r="N77" s="45">
        <f t="shared" si="26"/>
        <v>0.93914754098360653</v>
      </c>
      <c r="O77" s="45">
        <f t="shared" si="27"/>
        <v>0.98771374561166625</v>
      </c>
      <c r="P77" s="46">
        <f t="shared" si="28"/>
        <v>0.99147540983606564</v>
      </c>
      <c r="Q77" s="46">
        <f t="shared" si="29"/>
        <v>0.99986389413988652</v>
      </c>
    </row>
    <row r="78" spans="1:17" x14ac:dyDescent="0.2">
      <c r="A78">
        <v>76</v>
      </c>
      <c r="B78">
        <f>INT(IF(A78&gt;50,15+50+SQRT(A78-50)+0.8*SQRT(B1)+9,15+A78+0.75*SQRT(B1)+9))</f>
        <v>87</v>
      </c>
      <c r="C78" s="2">
        <f t="shared" si="15"/>
        <v>0.71311475409836067</v>
      </c>
      <c r="D78" s="2">
        <f t="shared" si="16"/>
        <v>0.69599999999999995</v>
      </c>
      <c r="E78" s="3">
        <f t="shared" si="17"/>
        <v>0.91278688524590157</v>
      </c>
      <c r="F78" s="4">
        <f t="shared" si="18"/>
        <v>0.75652173913043474</v>
      </c>
      <c r="G78" s="4">
        <f t="shared" si="19"/>
        <v>0.62142857142857144</v>
      </c>
      <c r="H78" s="4">
        <f t="shared" si="20"/>
        <v>0.75652173913043474</v>
      </c>
      <c r="I78" s="5">
        <f t="shared" si="21"/>
        <v>0.9775576559546314</v>
      </c>
      <c r="J78" s="43">
        <f t="shared" si="22"/>
        <v>0.96983606557377044</v>
      </c>
      <c r="K78" s="43">
        <f t="shared" si="23"/>
        <v>0.99653146097758583</v>
      </c>
      <c r="L78" s="44">
        <f t="shared" si="24"/>
        <v>0.93088524590163935</v>
      </c>
      <c r="M78" s="44">
        <f t="shared" si="25"/>
        <v>0.9847561436672968</v>
      </c>
      <c r="N78" s="45">
        <f t="shared" si="26"/>
        <v>0.94308196721311477</v>
      </c>
      <c r="O78" s="45">
        <f t="shared" si="27"/>
        <v>0.98904347826086958</v>
      </c>
      <c r="P78" s="46">
        <f t="shared" si="28"/>
        <v>0.99291803278688529</v>
      </c>
      <c r="Q78" s="46">
        <f t="shared" si="29"/>
        <v>0.99994166891709424</v>
      </c>
    </row>
    <row r="79" spans="1:17" x14ac:dyDescent="0.2">
      <c r="A79">
        <v>77</v>
      </c>
      <c r="B79">
        <f>INT(IF(A79&gt;50,15+50+SQRT(A79-50)+0.8*SQRT(B1)+9,15+A79+0.75*SQRT(B1)+9))</f>
        <v>87</v>
      </c>
      <c r="C79" s="2">
        <f t="shared" si="15"/>
        <v>0.71311475409836067</v>
      </c>
      <c r="D79" s="2">
        <f t="shared" si="16"/>
        <v>0.69599999999999995</v>
      </c>
      <c r="E79" s="3">
        <f t="shared" si="17"/>
        <v>0.91278688524590157</v>
      </c>
      <c r="F79" s="4">
        <f t="shared" si="18"/>
        <v>0.75652173913043474</v>
      </c>
      <c r="G79" s="4">
        <f t="shared" si="19"/>
        <v>0.62142857142857144</v>
      </c>
      <c r="H79" s="4">
        <f t="shared" si="20"/>
        <v>0.75652173913043474</v>
      </c>
      <c r="I79" s="5">
        <f t="shared" si="21"/>
        <v>0.9775576559546314</v>
      </c>
      <c r="J79" s="43">
        <f t="shared" si="22"/>
        <v>0.96983606557377044</v>
      </c>
      <c r="K79" s="43">
        <f t="shared" si="23"/>
        <v>0.99653146097758583</v>
      </c>
      <c r="L79" s="44">
        <f t="shared" si="24"/>
        <v>0.93088524590163935</v>
      </c>
      <c r="M79" s="44">
        <f t="shared" si="25"/>
        <v>0.9847561436672968</v>
      </c>
      <c r="N79" s="45">
        <f t="shared" si="26"/>
        <v>0.94308196721311477</v>
      </c>
      <c r="O79" s="45">
        <f t="shared" si="27"/>
        <v>0.98904347826086958</v>
      </c>
      <c r="P79" s="46">
        <f t="shared" si="28"/>
        <v>0.99291803278688529</v>
      </c>
      <c r="Q79" s="46">
        <f t="shared" si="29"/>
        <v>0.99994166891709424</v>
      </c>
    </row>
    <row r="80" spans="1:17" x14ac:dyDescent="0.2">
      <c r="A80">
        <v>78</v>
      </c>
      <c r="B80">
        <f>INT(IF(A80&gt;50,15+50+SQRT(A80-50)+0.8*SQRT(B1)+9,15+A80+0.75*SQRT(B1)+9))</f>
        <v>87</v>
      </c>
      <c r="C80" s="2">
        <f t="shared" si="15"/>
        <v>0.71311475409836067</v>
      </c>
      <c r="D80" s="2">
        <f t="shared" si="16"/>
        <v>0.69599999999999995</v>
      </c>
      <c r="E80" s="3">
        <f t="shared" si="17"/>
        <v>0.91278688524590157</v>
      </c>
      <c r="F80" s="4">
        <f t="shared" si="18"/>
        <v>0.75652173913043474</v>
      </c>
      <c r="G80" s="4">
        <f t="shared" si="19"/>
        <v>0.62142857142857144</v>
      </c>
      <c r="H80" s="4">
        <f t="shared" si="20"/>
        <v>0.75652173913043474</v>
      </c>
      <c r="I80" s="5">
        <f t="shared" si="21"/>
        <v>0.9775576559546314</v>
      </c>
      <c r="J80" s="43">
        <f t="shared" si="22"/>
        <v>0.96983606557377044</v>
      </c>
      <c r="K80" s="43">
        <f t="shared" si="23"/>
        <v>0.99653146097758583</v>
      </c>
      <c r="L80" s="44">
        <f t="shared" si="24"/>
        <v>0.93088524590163935</v>
      </c>
      <c r="M80" s="44">
        <f t="shared" si="25"/>
        <v>0.9847561436672968</v>
      </c>
      <c r="N80" s="45">
        <f t="shared" si="26"/>
        <v>0.94308196721311477</v>
      </c>
      <c r="O80" s="45">
        <f t="shared" si="27"/>
        <v>0.98904347826086958</v>
      </c>
      <c r="P80" s="46">
        <f t="shared" si="28"/>
        <v>0.99291803278688529</v>
      </c>
      <c r="Q80" s="46">
        <f t="shared" si="29"/>
        <v>0.99994166891709424</v>
      </c>
    </row>
    <row r="81" spans="1:17" x14ac:dyDescent="0.2">
      <c r="A81">
        <v>79</v>
      </c>
      <c r="B81">
        <f>INT(IF(A81&gt;50,15+50+SQRT(A81-50)+0.8*SQRT(B1)+9,15+A81+0.75*SQRT(B1)+9))</f>
        <v>87</v>
      </c>
      <c r="C81" s="2">
        <f t="shared" si="15"/>
        <v>0.71311475409836067</v>
      </c>
      <c r="D81" s="2">
        <f t="shared" si="16"/>
        <v>0.69599999999999995</v>
      </c>
      <c r="E81" s="3">
        <f t="shared" si="17"/>
        <v>0.91278688524590157</v>
      </c>
      <c r="F81" s="4">
        <f t="shared" si="18"/>
        <v>0.75652173913043474</v>
      </c>
      <c r="G81" s="4">
        <f t="shared" si="19"/>
        <v>0.62142857142857144</v>
      </c>
      <c r="H81" s="4">
        <f t="shared" si="20"/>
        <v>0.75652173913043474</v>
      </c>
      <c r="I81" s="5">
        <f t="shared" si="21"/>
        <v>0.9775576559546314</v>
      </c>
      <c r="J81" s="43">
        <f t="shared" si="22"/>
        <v>0.96983606557377044</v>
      </c>
      <c r="K81" s="43">
        <f t="shared" si="23"/>
        <v>0.99653146097758583</v>
      </c>
      <c r="L81" s="44">
        <f t="shared" si="24"/>
        <v>0.93088524590163935</v>
      </c>
      <c r="M81" s="44">
        <f t="shared" si="25"/>
        <v>0.9847561436672968</v>
      </c>
      <c r="N81" s="45">
        <f t="shared" si="26"/>
        <v>0.94308196721311477</v>
      </c>
      <c r="O81" s="45">
        <f t="shared" si="27"/>
        <v>0.98904347826086958</v>
      </c>
      <c r="P81" s="46">
        <f t="shared" si="28"/>
        <v>0.99291803278688529</v>
      </c>
      <c r="Q81" s="46">
        <f t="shared" si="29"/>
        <v>0.99994166891709424</v>
      </c>
    </row>
    <row r="82" spans="1:17" x14ac:dyDescent="0.2">
      <c r="A82">
        <v>80</v>
      </c>
      <c r="B82">
        <f>INT(IF(A82&gt;50,15+50+SQRT(A82-50)+0.8*SQRT(B1)+9,15+A82+0.75*SQRT(B1)+9))</f>
        <v>87</v>
      </c>
      <c r="C82" s="2">
        <f t="shared" si="15"/>
        <v>0.71311475409836067</v>
      </c>
      <c r="D82" s="2">
        <f t="shared" si="16"/>
        <v>0.69599999999999995</v>
      </c>
      <c r="E82" s="3">
        <f t="shared" si="17"/>
        <v>0.91278688524590157</v>
      </c>
      <c r="F82" s="4">
        <f t="shared" si="18"/>
        <v>0.75652173913043474</v>
      </c>
      <c r="G82" s="4">
        <f t="shared" si="19"/>
        <v>0.62142857142857144</v>
      </c>
      <c r="H82" s="4">
        <f t="shared" si="20"/>
        <v>0.75652173913043474</v>
      </c>
      <c r="I82" s="5">
        <f t="shared" si="21"/>
        <v>0.9775576559546314</v>
      </c>
      <c r="J82" s="43">
        <f t="shared" si="22"/>
        <v>0.96983606557377044</v>
      </c>
      <c r="K82" s="43">
        <f t="shared" si="23"/>
        <v>0.99653146097758583</v>
      </c>
      <c r="L82" s="44">
        <f t="shared" si="24"/>
        <v>0.93088524590163935</v>
      </c>
      <c r="M82" s="44">
        <f t="shared" si="25"/>
        <v>0.9847561436672968</v>
      </c>
      <c r="N82" s="45">
        <f t="shared" si="26"/>
        <v>0.94308196721311477</v>
      </c>
      <c r="O82" s="45">
        <f t="shared" si="27"/>
        <v>0.98904347826086958</v>
      </c>
      <c r="P82" s="46">
        <f t="shared" si="28"/>
        <v>0.99291803278688529</v>
      </c>
      <c r="Q82" s="46">
        <f t="shared" si="29"/>
        <v>0.99994166891709424</v>
      </c>
    </row>
    <row r="83" spans="1:17" x14ac:dyDescent="0.2">
      <c r="A83">
        <v>81</v>
      </c>
      <c r="B83">
        <f>INT(IF(A83&gt;50,15+50+SQRT(A83-50)+0.8*SQRT(B1)+9,15+A83+0.75*SQRT(B1)+9))</f>
        <v>87</v>
      </c>
      <c r="C83" s="2">
        <f t="shared" si="15"/>
        <v>0.71311475409836067</v>
      </c>
      <c r="D83" s="2">
        <f t="shared" si="16"/>
        <v>0.69599999999999995</v>
      </c>
      <c r="E83" s="3">
        <f t="shared" si="17"/>
        <v>0.91278688524590157</v>
      </c>
      <c r="F83" s="4">
        <f t="shared" si="18"/>
        <v>0.75652173913043474</v>
      </c>
      <c r="G83" s="4">
        <f t="shared" si="19"/>
        <v>0.62142857142857144</v>
      </c>
      <c r="H83" s="4">
        <f t="shared" si="20"/>
        <v>0.75652173913043474</v>
      </c>
      <c r="I83" s="5">
        <f t="shared" si="21"/>
        <v>0.9775576559546314</v>
      </c>
      <c r="J83" s="43">
        <f t="shared" si="22"/>
        <v>0.96983606557377044</v>
      </c>
      <c r="K83" s="43">
        <f t="shared" si="23"/>
        <v>0.99653146097758583</v>
      </c>
      <c r="L83" s="44">
        <f t="shared" si="24"/>
        <v>0.93088524590163935</v>
      </c>
      <c r="M83" s="44">
        <f t="shared" si="25"/>
        <v>0.9847561436672968</v>
      </c>
      <c r="N83" s="45">
        <f t="shared" si="26"/>
        <v>0.94308196721311477</v>
      </c>
      <c r="O83" s="45">
        <f t="shared" si="27"/>
        <v>0.98904347826086958</v>
      </c>
      <c r="P83" s="46">
        <f t="shared" si="28"/>
        <v>0.99291803278688529</v>
      </c>
      <c r="Q83" s="46">
        <f t="shared" si="29"/>
        <v>0.99994166891709424</v>
      </c>
    </row>
    <row r="84" spans="1:17" x14ac:dyDescent="0.2">
      <c r="A84">
        <v>82</v>
      </c>
      <c r="B84">
        <f>INT(IF(A84&gt;50,15+50+SQRT(A84-50)+0.8*SQRT(B1)+9,15+A84+0.75*SQRT(B1)+9))</f>
        <v>87</v>
      </c>
      <c r="C84" s="2">
        <f t="shared" si="15"/>
        <v>0.71311475409836067</v>
      </c>
      <c r="D84" s="2">
        <f t="shared" si="16"/>
        <v>0.69599999999999995</v>
      </c>
      <c r="E84" s="3">
        <f t="shared" si="17"/>
        <v>0.91278688524590157</v>
      </c>
      <c r="F84" s="4">
        <f t="shared" si="18"/>
        <v>0.75652173913043474</v>
      </c>
      <c r="G84" s="4">
        <f t="shared" si="19"/>
        <v>0.62142857142857144</v>
      </c>
      <c r="H84" s="4">
        <f t="shared" si="20"/>
        <v>0.75652173913043474</v>
      </c>
      <c r="I84" s="5">
        <f t="shared" si="21"/>
        <v>0.9775576559546314</v>
      </c>
      <c r="J84" s="43">
        <f t="shared" si="22"/>
        <v>0.96983606557377044</v>
      </c>
      <c r="K84" s="43">
        <f t="shared" si="23"/>
        <v>0.99653146097758583</v>
      </c>
      <c r="L84" s="44">
        <f t="shared" si="24"/>
        <v>0.93088524590163935</v>
      </c>
      <c r="M84" s="44">
        <f t="shared" si="25"/>
        <v>0.9847561436672968</v>
      </c>
      <c r="N84" s="45">
        <f t="shared" si="26"/>
        <v>0.94308196721311477</v>
      </c>
      <c r="O84" s="45">
        <f t="shared" si="27"/>
        <v>0.98904347826086958</v>
      </c>
      <c r="P84" s="46">
        <f t="shared" si="28"/>
        <v>0.99291803278688529</v>
      </c>
      <c r="Q84" s="46">
        <f t="shared" si="29"/>
        <v>0.99994166891709424</v>
      </c>
    </row>
    <row r="85" spans="1:17" x14ac:dyDescent="0.2">
      <c r="A85">
        <v>83</v>
      </c>
      <c r="B85">
        <f>INT(IF(A85&gt;50,15+50+SQRT(A85-50)+0.8*SQRT(B1)+9,15+A85+0.75*SQRT(B1)+9))</f>
        <v>87</v>
      </c>
      <c r="C85" s="2">
        <f t="shared" si="15"/>
        <v>0.71311475409836067</v>
      </c>
      <c r="D85" s="2">
        <f t="shared" si="16"/>
        <v>0.69599999999999995</v>
      </c>
      <c r="E85" s="3">
        <f t="shared" si="17"/>
        <v>0.91278688524590157</v>
      </c>
      <c r="F85" s="4">
        <f t="shared" si="18"/>
        <v>0.75652173913043474</v>
      </c>
      <c r="G85" s="4">
        <f t="shared" si="19"/>
        <v>0.62142857142857144</v>
      </c>
      <c r="H85" s="4">
        <f t="shared" si="20"/>
        <v>0.75652173913043474</v>
      </c>
      <c r="I85" s="5">
        <f t="shared" si="21"/>
        <v>0.9775576559546314</v>
      </c>
      <c r="J85" s="43">
        <f t="shared" si="22"/>
        <v>0.96983606557377044</v>
      </c>
      <c r="K85" s="43">
        <f t="shared" si="23"/>
        <v>0.99653146097758583</v>
      </c>
      <c r="L85" s="44">
        <f t="shared" si="24"/>
        <v>0.93088524590163935</v>
      </c>
      <c r="M85" s="44">
        <f t="shared" si="25"/>
        <v>0.9847561436672968</v>
      </c>
      <c r="N85" s="45">
        <f t="shared" si="26"/>
        <v>0.94308196721311477</v>
      </c>
      <c r="O85" s="45">
        <f t="shared" si="27"/>
        <v>0.98904347826086958</v>
      </c>
      <c r="P85" s="46">
        <f t="shared" si="28"/>
        <v>0.99291803278688529</v>
      </c>
      <c r="Q85" s="46">
        <f t="shared" si="29"/>
        <v>0.99994166891709424</v>
      </c>
    </row>
    <row r="86" spans="1:17" x14ac:dyDescent="0.2">
      <c r="A86">
        <v>84</v>
      </c>
      <c r="B86">
        <f>INT(IF(A86&gt;50,15+50+SQRT(A86-50)+0.8*SQRT(B1)+9,15+A86+0.75*SQRT(B1)+9))</f>
        <v>87</v>
      </c>
      <c r="C86" s="2">
        <f t="shared" si="15"/>
        <v>0.71311475409836067</v>
      </c>
      <c r="D86" s="2">
        <f t="shared" si="16"/>
        <v>0.69599999999999995</v>
      </c>
      <c r="E86" s="3">
        <f t="shared" si="17"/>
        <v>0.91278688524590157</v>
      </c>
      <c r="F86" s="4">
        <f t="shared" si="18"/>
        <v>0.75652173913043474</v>
      </c>
      <c r="G86" s="4">
        <f t="shared" si="19"/>
        <v>0.62142857142857144</v>
      </c>
      <c r="H86" s="4">
        <f t="shared" si="20"/>
        <v>0.75652173913043474</v>
      </c>
      <c r="I86" s="5">
        <f t="shared" si="21"/>
        <v>0.9775576559546314</v>
      </c>
      <c r="J86" s="43">
        <f t="shared" si="22"/>
        <v>0.96983606557377044</v>
      </c>
      <c r="K86" s="43">
        <f t="shared" si="23"/>
        <v>0.99653146097758583</v>
      </c>
      <c r="L86" s="44">
        <f t="shared" si="24"/>
        <v>0.93088524590163935</v>
      </c>
      <c r="M86" s="44">
        <f t="shared" si="25"/>
        <v>0.9847561436672968</v>
      </c>
      <c r="N86" s="45">
        <f t="shared" si="26"/>
        <v>0.94308196721311477</v>
      </c>
      <c r="O86" s="45">
        <f t="shared" si="27"/>
        <v>0.98904347826086958</v>
      </c>
      <c r="P86" s="46">
        <f t="shared" si="28"/>
        <v>0.99291803278688529</v>
      </c>
      <c r="Q86" s="46">
        <f t="shared" si="29"/>
        <v>0.99994166891709424</v>
      </c>
    </row>
    <row r="87" spans="1:17" x14ac:dyDescent="0.2">
      <c r="A87">
        <v>85</v>
      </c>
      <c r="B87">
        <f>INT(IF(A87&gt;50,15+50+SQRT(A87-50)+0.8*SQRT(B1)+9,15+A87+0.75*SQRT(B1)+9))</f>
        <v>87</v>
      </c>
      <c r="C87" s="2">
        <f t="shared" si="15"/>
        <v>0.71311475409836067</v>
      </c>
      <c r="D87" s="2">
        <f t="shared" si="16"/>
        <v>0.69599999999999995</v>
      </c>
      <c r="E87" s="3">
        <f t="shared" si="17"/>
        <v>0.91278688524590157</v>
      </c>
      <c r="F87" s="4">
        <f t="shared" si="18"/>
        <v>0.75652173913043474</v>
      </c>
      <c r="G87" s="4">
        <f t="shared" si="19"/>
        <v>0.62142857142857144</v>
      </c>
      <c r="H87" s="4">
        <f t="shared" si="20"/>
        <v>0.75652173913043474</v>
      </c>
      <c r="I87" s="5">
        <f t="shared" si="21"/>
        <v>0.9775576559546314</v>
      </c>
      <c r="J87" s="43">
        <f t="shared" si="22"/>
        <v>0.96983606557377044</v>
      </c>
      <c r="K87" s="43">
        <f t="shared" si="23"/>
        <v>0.99653146097758583</v>
      </c>
      <c r="L87" s="44">
        <f t="shared" si="24"/>
        <v>0.93088524590163935</v>
      </c>
      <c r="M87" s="44">
        <f t="shared" si="25"/>
        <v>0.9847561436672968</v>
      </c>
      <c r="N87" s="45">
        <f t="shared" si="26"/>
        <v>0.94308196721311477</v>
      </c>
      <c r="O87" s="45">
        <f t="shared" si="27"/>
        <v>0.98904347826086958</v>
      </c>
      <c r="P87" s="46">
        <f t="shared" si="28"/>
        <v>0.99291803278688529</v>
      </c>
      <c r="Q87" s="46">
        <f t="shared" si="29"/>
        <v>0.99994166891709424</v>
      </c>
    </row>
    <row r="88" spans="1:17" x14ac:dyDescent="0.2">
      <c r="A88">
        <v>86</v>
      </c>
      <c r="B88">
        <f>INT(IF(A88&gt;50,15+50+SQRT(A88-50)+0.8*SQRT(B1)+9,15+A88+0.75*SQRT(B1)+9))</f>
        <v>87</v>
      </c>
      <c r="C88" s="2">
        <f t="shared" si="15"/>
        <v>0.71311475409836067</v>
      </c>
      <c r="D88" s="2">
        <f t="shared" si="16"/>
        <v>0.69599999999999995</v>
      </c>
      <c r="E88" s="3">
        <f t="shared" si="17"/>
        <v>0.91278688524590157</v>
      </c>
      <c r="F88" s="4">
        <f t="shared" si="18"/>
        <v>0.75652173913043474</v>
      </c>
      <c r="G88" s="4">
        <f t="shared" si="19"/>
        <v>0.62142857142857144</v>
      </c>
      <c r="H88" s="4">
        <f t="shared" si="20"/>
        <v>0.75652173913043474</v>
      </c>
      <c r="I88" s="5">
        <f t="shared" si="21"/>
        <v>0.9775576559546314</v>
      </c>
      <c r="J88" s="43">
        <f t="shared" si="22"/>
        <v>0.96983606557377044</v>
      </c>
      <c r="K88" s="43">
        <f t="shared" si="23"/>
        <v>0.99653146097758583</v>
      </c>
      <c r="L88" s="44">
        <f t="shared" si="24"/>
        <v>0.93088524590163935</v>
      </c>
      <c r="M88" s="44">
        <f t="shared" si="25"/>
        <v>0.9847561436672968</v>
      </c>
      <c r="N88" s="45">
        <f t="shared" si="26"/>
        <v>0.94308196721311477</v>
      </c>
      <c r="O88" s="45">
        <f t="shared" si="27"/>
        <v>0.98904347826086958</v>
      </c>
      <c r="P88" s="46">
        <f t="shared" si="28"/>
        <v>0.99291803278688529</v>
      </c>
      <c r="Q88" s="46">
        <f t="shared" si="29"/>
        <v>0.99994166891709424</v>
      </c>
    </row>
    <row r="89" spans="1:17" x14ac:dyDescent="0.2">
      <c r="A89">
        <v>87</v>
      </c>
      <c r="B89">
        <f>INT(IF(A89&gt;50,15+50+SQRT(A89-50)+0.8*SQRT(B1)+9,15+A89+0.75*SQRT(B1)+9))</f>
        <v>88</v>
      </c>
      <c r="C89" s="2">
        <f t="shared" si="15"/>
        <v>0.72131147540983609</v>
      </c>
      <c r="D89" s="2">
        <f t="shared" si="16"/>
        <v>0.70399999999999996</v>
      </c>
      <c r="E89" s="3">
        <f t="shared" si="17"/>
        <v>0.91750819672131145</v>
      </c>
      <c r="F89" s="4">
        <f t="shared" si="18"/>
        <v>0.76521739130434785</v>
      </c>
      <c r="G89" s="4">
        <f t="shared" si="19"/>
        <v>0.62857142857142856</v>
      </c>
      <c r="H89" s="4">
        <f t="shared" si="20"/>
        <v>0.76521739130434785</v>
      </c>
      <c r="I89" s="5">
        <f t="shared" si="21"/>
        <v>0.9795257899000811</v>
      </c>
      <c r="J89" s="43">
        <f t="shared" si="22"/>
        <v>0.97259016393442621</v>
      </c>
      <c r="K89" s="43">
        <f t="shared" si="23"/>
        <v>0.99712233324331623</v>
      </c>
      <c r="L89" s="44">
        <f t="shared" si="24"/>
        <v>0.93508196721311476</v>
      </c>
      <c r="M89" s="44">
        <f t="shared" si="25"/>
        <v>0.98628571428571432</v>
      </c>
      <c r="N89" s="45">
        <f t="shared" si="26"/>
        <v>0.94688524590163936</v>
      </c>
      <c r="O89" s="45">
        <f t="shared" si="27"/>
        <v>0.9902781528490413</v>
      </c>
      <c r="P89" s="46">
        <f t="shared" si="28"/>
        <v>0.99422950819672129</v>
      </c>
      <c r="Q89" s="46">
        <f t="shared" si="29"/>
        <v>0.99998595733189299</v>
      </c>
    </row>
    <row r="90" spans="1:17" x14ac:dyDescent="0.2">
      <c r="A90">
        <v>88</v>
      </c>
      <c r="B90">
        <f>INT(IF(A90&gt;50,15+50+SQRT(A90-50)+0.8*SQRT(B1)+9,15+A90+0.75*SQRT(B1)+9))</f>
        <v>88</v>
      </c>
      <c r="C90" s="2">
        <f t="shared" si="15"/>
        <v>0.72131147540983609</v>
      </c>
      <c r="D90" s="2">
        <f t="shared" si="16"/>
        <v>0.70399999999999996</v>
      </c>
      <c r="E90" s="3">
        <f t="shared" si="17"/>
        <v>0.91750819672131145</v>
      </c>
      <c r="F90" s="4">
        <f t="shared" si="18"/>
        <v>0.76521739130434785</v>
      </c>
      <c r="G90" s="4">
        <f t="shared" si="19"/>
        <v>0.62857142857142856</v>
      </c>
      <c r="H90" s="4">
        <f t="shared" si="20"/>
        <v>0.76521739130434785</v>
      </c>
      <c r="I90" s="5">
        <f t="shared" si="21"/>
        <v>0.9795257899000811</v>
      </c>
      <c r="J90" s="43">
        <f t="shared" si="22"/>
        <v>0.97259016393442621</v>
      </c>
      <c r="K90" s="43">
        <f t="shared" si="23"/>
        <v>0.99712233324331623</v>
      </c>
      <c r="L90" s="44">
        <f t="shared" si="24"/>
        <v>0.93508196721311476</v>
      </c>
      <c r="M90" s="44">
        <f t="shared" si="25"/>
        <v>0.98628571428571432</v>
      </c>
      <c r="N90" s="45">
        <f t="shared" si="26"/>
        <v>0.94688524590163936</v>
      </c>
      <c r="O90" s="45">
        <f t="shared" si="27"/>
        <v>0.9902781528490413</v>
      </c>
      <c r="P90" s="46">
        <f t="shared" si="28"/>
        <v>0.99422950819672129</v>
      </c>
      <c r="Q90" s="46">
        <f t="shared" si="29"/>
        <v>0.99998595733189299</v>
      </c>
    </row>
    <row r="91" spans="1:17" x14ac:dyDescent="0.2">
      <c r="A91">
        <v>89</v>
      </c>
      <c r="B91">
        <f>INT(IF(A91&gt;50,15+50+SQRT(A91-50)+0.8*SQRT(B1)+9,15+A91+0.75*SQRT(B1)+9))</f>
        <v>88</v>
      </c>
      <c r="C91" s="2">
        <f t="shared" si="15"/>
        <v>0.72131147540983609</v>
      </c>
      <c r="D91" s="2">
        <f t="shared" si="16"/>
        <v>0.70399999999999996</v>
      </c>
      <c r="E91" s="3">
        <f t="shared" si="17"/>
        <v>0.91750819672131145</v>
      </c>
      <c r="F91" s="4">
        <f t="shared" si="18"/>
        <v>0.76521739130434785</v>
      </c>
      <c r="G91" s="4">
        <f t="shared" si="19"/>
        <v>0.62857142857142856</v>
      </c>
      <c r="H91" s="4">
        <f t="shared" si="20"/>
        <v>0.76521739130434785</v>
      </c>
      <c r="I91" s="5">
        <f t="shared" si="21"/>
        <v>0.9795257899000811</v>
      </c>
      <c r="J91" s="43">
        <f t="shared" si="22"/>
        <v>0.97259016393442621</v>
      </c>
      <c r="K91" s="43">
        <f t="shared" si="23"/>
        <v>0.99712233324331623</v>
      </c>
      <c r="L91" s="44">
        <f t="shared" si="24"/>
        <v>0.93508196721311476</v>
      </c>
      <c r="M91" s="44">
        <f t="shared" si="25"/>
        <v>0.98628571428571432</v>
      </c>
      <c r="N91" s="45">
        <f t="shared" si="26"/>
        <v>0.94688524590163936</v>
      </c>
      <c r="O91" s="45">
        <f t="shared" si="27"/>
        <v>0.9902781528490413</v>
      </c>
      <c r="P91" s="46">
        <f t="shared" si="28"/>
        <v>0.99422950819672129</v>
      </c>
      <c r="Q91" s="46">
        <f t="shared" si="29"/>
        <v>0.99998595733189299</v>
      </c>
    </row>
    <row r="92" spans="1:17" x14ac:dyDescent="0.2">
      <c r="A92">
        <v>90</v>
      </c>
      <c r="B92">
        <f>INT(IF(A92&gt;50,15+50+SQRT(A92-50)+0.8*SQRT(B1)+9,15+A92+0.75*SQRT(B1)+9))</f>
        <v>88</v>
      </c>
      <c r="C92" s="2">
        <f t="shared" si="15"/>
        <v>0.72131147540983609</v>
      </c>
      <c r="D92" s="2">
        <f t="shared" si="16"/>
        <v>0.70399999999999996</v>
      </c>
      <c r="E92" s="3">
        <f t="shared" si="17"/>
        <v>0.91750819672131145</v>
      </c>
      <c r="F92" s="4">
        <f t="shared" si="18"/>
        <v>0.76521739130434785</v>
      </c>
      <c r="G92" s="4">
        <f t="shared" si="19"/>
        <v>0.62857142857142856</v>
      </c>
      <c r="H92" s="4">
        <f t="shared" si="20"/>
        <v>0.76521739130434785</v>
      </c>
      <c r="I92" s="5">
        <f t="shared" si="21"/>
        <v>0.9795257899000811</v>
      </c>
      <c r="J92" s="43">
        <f t="shared" si="22"/>
        <v>0.97259016393442621</v>
      </c>
      <c r="K92" s="43">
        <f t="shared" si="23"/>
        <v>0.99712233324331623</v>
      </c>
      <c r="L92" s="44">
        <f t="shared" si="24"/>
        <v>0.93508196721311476</v>
      </c>
      <c r="M92" s="44">
        <f t="shared" si="25"/>
        <v>0.98628571428571432</v>
      </c>
      <c r="N92" s="45">
        <f t="shared" si="26"/>
        <v>0.94688524590163936</v>
      </c>
      <c r="O92" s="45">
        <f t="shared" si="27"/>
        <v>0.9902781528490413</v>
      </c>
      <c r="P92" s="46">
        <f t="shared" si="28"/>
        <v>0.99422950819672129</v>
      </c>
      <c r="Q92" s="46">
        <f t="shared" si="29"/>
        <v>0.99998595733189299</v>
      </c>
    </row>
    <row r="93" spans="1:17" x14ac:dyDescent="0.2">
      <c r="A93">
        <v>91</v>
      </c>
      <c r="B93">
        <f>INT(IF(A93&gt;50,15+50+SQRT(A93-50)+0.8*SQRT(B1)+9,15+A93+0.75*SQRT(B1)+9))</f>
        <v>88</v>
      </c>
      <c r="C93" s="2">
        <f t="shared" si="15"/>
        <v>0.72131147540983609</v>
      </c>
      <c r="D93" s="2">
        <f t="shared" si="16"/>
        <v>0.70399999999999996</v>
      </c>
      <c r="E93" s="3">
        <f t="shared" si="17"/>
        <v>0.91750819672131145</v>
      </c>
      <c r="F93" s="4">
        <f t="shared" si="18"/>
        <v>0.76521739130434785</v>
      </c>
      <c r="G93" s="4">
        <f t="shared" si="19"/>
        <v>0.62857142857142856</v>
      </c>
      <c r="H93" s="4">
        <f t="shared" si="20"/>
        <v>0.76521739130434785</v>
      </c>
      <c r="I93" s="5">
        <f t="shared" si="21"/>
        <v>0.9795257899000811</v>
      </c>
      <c r="J93" s="43">
        <f t="shared" si="22"/>
        <v>0.97259016393442621</v>
      </c>
      <c r="K93" s="43">
        <f t="shared" si="23"/>
        <v>0.99712233324331623</v>
      </c>
      <c r="L93" s="44">
        <f t="shared" si="24"/>
        <v>0.93508196721311476</v>
      </c>
      <c r="M93" s="44">
        <f t="shared" si="25"/>
        <v>0.98628571428571432</v>
      </c>
      <c r="N93" s="45">
        <f t="shared" si="26"/>
        <v>0.94688524590163936</v>
      </c>
      <c r="O93" s="45">
        <f t="shared" si="27"/>
        <v>0.9902781528490413</v>
      </c>
      <c r="P93" s="46">
        <f t="shared" si="28"/>
        <v>0.99422950819672129</v>
      </c>
      <c r="Q93" s="46">
        <f t="shared" si="29"/>
        <v>0.99998595733189299</v>
      </c>
    </row>
    <row r="94" spans="1:17" x14ac:dyDescent="0.2">
      <c r="A94">
        <v>92</v>
      </c>
      <c r="B94">
        <f>INT(IF(A94&gt;50,15+50+SQRT(A94-50)+0.8*SQRT(B1)+9,15+A94+0.75*SQRT(B1)+9))</f>
        <v>88</v>
      </c>
      <c r="C94" s="2">
        <f t="shared" si="15"/>
        <v>0.72131147540983609</v>
      </c>
      <c r="D94" s="2">
        <f t="shared" si="16"/>
        <v>0.70399999999999996</v>
      </c>
      <c r="E94" s="3">
        <f t="shared" si="17"/>
        <v>0.91750819672131145</v>
      </c>
      <c r="F94" s="4">
        <f t="shared" si="18"/>
        <v>0.76521739130434785</v>
      </c>
      <c r="G94" s="4">
        <f t="shared" si="19"/>
        <v>0.62857142857142856</v>
      </c>
      <c r="H94" s="4">
        <f t="shared" si="20"/>
        <v>0.76521739130434785</v>
      </c>
      <c r="I94" s="5">
        <f t="shared" si="21"/>
        <v>0.9795257899000811</v>
      </c>
      <c r="J94" s="43">
        <f t="shared" si="22"/>
        <v>0.97259016393442621</v>
      </c>
      <c r="K94" s="43">
        <f t="shared" si="23"/>
        <v>0.99712233324331623</v>
      </c>
      <c r="L94" s="44">
        <f t="shared" si="24"/>
        <v>0.93508196721311476</v>
      </c>
      <c r="M94" s="44">
        <f t="shared" si="25"/>
        <v>0.98628571428571432</v>
      </c>
      <c r="N94" s="45">
        <f t="shared" si="26"/>
        <v>0.94688524590163936</v>
      </c>
      <c r="O94" s="45">
        <f t="shared" si="27"/>
        <v>0.9902781528490413</v>
      </c>
      <c r="P94" s="46">
        <f t="shared" si="28"/>
        <v>0.99422950819672129</v>
      </c>
      <c r="Q94" s="46">
        <f t="shared" si="29"/>
        <v>0.99998595733189299</v>
      </c>
    </row>
    <row r="95" spans="1:17" x14ac:dyDescent="0.2">
      <c r="A95">
        <v>93</v>
      </c>
      <c r="B95">
        <f>INT(IF(A95&gt;50,15+50+SQRT(A95-50)+0.8*SQRT(B1)+9,15+A95+0.75*SQRT(B1)+9))</f>
        <v>88</v>
      </c>
      <c r="C95" s="2">
        <f t="shared" si="15"/>
        <v>0.72131147540983609</v>
      </c>
      <c r="D95" s="2">
        <f t="shared" si="16"/>
        <v>0.70399999999999996</v>
      </c>
      <c r="E95" s="3">
        <f t="shared" si="17"/>
        <v>0.91750819672131145</v>
      </c>
      <c r="F95" s="4">
        <f t="shared" si="18"/>
        <v>0.76521739130434785</v>
      </c>
      <c r="G95" s="4">
        <f t="shared" si="19"/>
        <v>0.62857142857142856</v>
      </c>
      <c r="H95" s="4">
        <f t="shared" si="20"/>
        <v>0.76521739130434785</v>
      </c>
      <c r="I95" s="5">
        <f t="shared" si="21"/>
        <v>0.9795257899000811</v>
      </c>
      <c r="J95" s="43">
        <f t="shared" si="22"/>
        <v>0.97259016393442621</v>
      </c>
      <c r="K95" s="43">
        <f t="shared" si="23"/>
        <v>0.99712233324331623</v>
      </c>
      <c r="L95" s="44">
        <f t="shared" si="24"/>
        <v>0.93508196721311476</v>
      </c>
      <c r="M95" s="44">
        <f t="shared" si="25"/>
        <v>0.98628571428571432</v>
      </c>
      <c r="N95" s="45">
        <f t="shared" si="26"/>
        <v>0.94688524590163936</v>
      </c>
      <c r="O95" s="45">
        <f t="shared" si="27"/>
        <v>0.9902781528490413</v>
      </c>
      <c r="P95" s="46">
        <f t="shared" si="28"/>
        <v>0.99422950819672129</v>
      </c>
      <c r="Q95" s="46">
        <f t="shared" si="29"/>
        <v>0.99998595733189299</v>
      </c>
    </row>
    <row r="96" spans="1:17" x14ac:dyDescent="0.2">
      <c r="A96">
        <v>94</v>
      </c>
      <c r="B96">
        <f>INT(IF(A96&gt;50,15+50+SQRT(A96-50)+0.8*SQRT(B1)+9,15+A96+0.75*SQRT(B1)+9))</f>
        <v>88</v>
      </c>
      <c r="C96" s="2">
        <f t="shared" si="15"/>
        <v>0.72131147540983609</v>
      </c>
      <c r="D96" s="2">
        <f t="shared" si="16"/>
        <v>0.70399999999999996</v>
      </c>
      <c r="E96" s="3">
        <f t="shared" si="17"/>
        <v>0.91750819672131145</v>
      </c>
      <c r="F96" s="4">
        <f t="shared" si="18"/>
        <v>0.76521739130434785</v>
      </c>
      <c r="G96" s="4">
        <f t="shared" si="19"/>
        <v>0.62857142857142856</v>
      </c>
      <c r="H96" s="4">
        <f t="shared" si="20"/>
        <v>0.76521739130434785</v>
      </c>
      <c r="I96" s="5">
        <f t="shared" si="21"/>
        <v>0.9795257899000811</v>
      </c>
      <c r="J96" s="43">
        <f t="shared" si="22"/>
        <v>0.97259016393442621</v>
      </c>
      <c r="K96" s="43">
        <f t="shared" si="23"/>
        <v>0.99712233324331623</v>
      </c>
      <c r="L96" s="44">
        <f t="shared" si="24"/>
        <v>0.93508196721311476</v>
      </c>
      <c r="M96" s="44">
        <f t="shared" si="25"/>
        <v>0.98628571428571432</v>
      </c>
      <c r="N96" s="45">
        <f t="shared" si="26"/>
        <v>0.94688524590163936</v>
      </c>
      <c r="O96" s="45">
        <f t="shared" si="27"/>
        <v>0.9902781528490413</v>
      </c>
      <c r="P96" s="46">
        <f t="shared" si="28"/>
        <v>0.99422950819672129</v>
      </c>
      <c r="Q96" s="46">
        <f t="shared" si="29"/>
        <v>0.99998595733189299</v>
      </c>
    </row>
    <row r="97" spans="1:17" x14ac:dyDescent="0.2">
      <c r="A97">
        <v>95</v>
      </c>
      <c r="B97">
        <f>INT(IF(A97&gt;50,15+50+SQRT(A97-50)+0.8*SQRT(B1)+9,15+A97+0.75*SQRT(B1)+9))</f>
        <v>88</v>
      </c>
      <c r="C97" s="2">
        <f t="shared" si="15"/>
        <v>0.72131147540983609</v>
      </c>
      <c r="D97" s="2">
        <f t="shared" si="16"/>
        <v>0.70399999999999996</v>
      </c>
      <c r="E97" s="3">
        <f t="shared" si="17"/>
        <v>0.91750819672131145</v>
      </c>
      <c r="F97" s="4">
        <f t="shared" si="18"/>
        <v>0.76521739130434785</v>
      </c>
      <c r="G97" s="4">
        <f t="shared" si="19"/>
        <v>0.62857142857142856</v>
      </c>
      <c r="H97" s="4">
        <f t="shared" si="20"/>
        <v>0.76521739130434785</v>
      </c>
      <c r="I97" s="5">
        <f t="shared" si="21"/>
        <v>0.9795257899000811</v>
      </c>
      <c r="J97" s="43">
        <f t="shared" si="22"/>
        <v>0.97259016393442621</v>
      </c>
      <c r="K97" s="43">
        <f t="shared" si="23"/>
        <v>0.99712233324331623</v>
      </c>
      <c r="L97" s="44">
        <f t="shared" si="24"/>
        <v>0.93508196721311476</v>
      </c>
      <c r="M97" s="44">
        <f t="shared" si="25"/>
        <v>0.98628571428571432</v>
      </c>
      <c r="N97" s="45">
        <f t="shared" si="26"/>
        <v>0.94688524590163936</v>
      </c>
      <c r="O97" s="45">
        <f t="shared" si="27"/>
        <v>0.9902781528490413</v>
      </c>
      <c r="P97" s="46">
        <f t="shared" si="28"/>
        <v>0.99422950819672129</v>
      </c>
      <c r="Q97" s="46">
        <f t="shared" si="29"/>
        <v>0.99998595733189299</v>
      </c>
    </row>
    <row r="98" spans="1:17" x14ac:dyDescent="0.2">
      <c r="A98">
        <v>96</v>
      </c>
      <c r="B98">
        <f>INT(IF(A98&gt;50,15+50+SQRT(A98-50)+0.8*SQRT(B1)+9,15+A98+0.75*SQRT(B1)+9))</f>
        <v>88</v>
      </c>
      <c r="C98" s="2">
        <f t="shared" si="15"/>
        <v>0.72131147540983609</v>
      </c>
      <c r="D98" s="2">
        <f t="shared" si="16"/>
        <v>0.70399999999999996</v>
      </c>
      <c r="E98" s="3">
        <f t="shared" si="17"/>
        <v>0.91750819672131145</v>
      </c>
      <c r="F98" s="4">
        <f t="shared" si="18"/>
        <v>0.76521739130434785</v>
      </c>
      <c r="G98" s="4">
        <f t="shared" si="19"/>
        <v>0.62857142857142856</v>
      </c>
      <c r="H98" s="4">
        <f t="shared" si="20"/>
        <v>0.76521739130434785</v>
      </c>
      <c r="I98" s="5">
        <f t="shared" si="21"/>
        <v>0.9795257899000811</v>
      </c>
      <c r="J98" s="43">
        <f t="shared" si="22"/>
        <v>0.97259016393442621</v>
      </c>
      <c r="K98" s="43">
        <f t="shared" si="23"/>
        <v>0.99712233324331623</v>
      </c>
      <c r="L98" s="44">
        <f t="shared" si="24"/>
        <v>0.93508196721311476</v>
      </c>
      <c r="M98" s="44">
        <f t="shared" si="25"/>
        <v>0.98628571428571432</v>
      </c>
      <c r="N98" s="45">
        <f t="shared" si="26"/>
        <v>0.94688524590163936</v>
      </c>
      <c r="O98" s="45">
        <f t="shared" si="27"/>
        <v>0.9902781528490413</v>
      </c>
      <c r="P98" s="46">
        <f t="shared" si="28"/>
        <v>0.99422950819672129</v>
      </c>
      <c r="Q98" s="46">
        <f t="shared" si="29"/>
        <v>0.99998595733189299</v>
      </c>
    </row>
    <row r="99" spans="1:17" x14ac:dyDescent="0.2">
      <c r="A99">
        <v>97</v>
      </c>
      <c r="B99">
        <f>INT(IF(A99&gt;50,15+50+SQRT(A99-50)+0.8*SQRT(B1)+9,15+A99+0.75*SQRT(B1)+9))</f>
        <v>88</v>
      </c>
      <c r="C99" s="2">
        <f t="shared" si="15"/>
        <v>0.72131147540983609</v>
      </c>
      <c r="D99" s="2">
        <f t="shared" si="16"/>
        <v>0.70399999999999996</v>
      </c>
      <c r="E99" s="3">
        <f t="shared" si="17"/>
        <v>0.91750819672131145</v>
      </c>
      <c r="F99" s="4">
        <f t="shared" si="18"/>
        <v>0.76521739130434785</v>
      </c>
      <c r="G99" s="4">
        <f t="shared" si="19"/>
        <v>0.62857142857142856</v>
      </c>
      <c r="H99" s="4">
        <f t="shared" si="20"/>
        <v>0.76521739130434785</v>
      </c>
      <c r="I99" s="5">
        <f t="shared" si="21"/>
        <v>0.9795257899000811</v>
      </c>
      <c r="J99" s="43">
        <f t="shared" si="22"/>
        <v>0.97259016393442621</v>
      </c>
      <c r="K99" s="43">
        <f t="shared" si="23"/>
        <v>0.99712233324331623</v>
      </c>
      <c r="L99" s="44">
        <f t="shared" si="24"/>
        <v>0.93508196721311476</v>
      </c>
      <c r="M99" s="44">
        <f t="shared" si="25"/>
        <v>0.98628571428571432</v>
      </c>
      <c r="N99" s="45">
        <f t="shared" si="26"/>
        <v>0.94688524590163936</v>
      </c>
      <c r="O99" s="45">
        <f t="shared" si="27"/>
        <v>0.9902781528490413</v>
      </c>
      <c r="P99" s="46">
        <f t="shared" si="28"/>
        <v>0.99422950819672129</v>
      </c>
      <c r="Q99" s="46">
        <f t="shared" si="29"/>
        <v>0.99998595733189299</v>
      </c>
    </row>
    <row r="100" spans="1:17" x14ac:dyDescent="0.2">
      <c r="A100">
        <v>98</v>
      </c>
      <c r="B100">
        <f>INT(IF(A100&gt;50,15+50+SQRT(A100-50)+0.8*SQRT(B1)+9,15+A100+0.75*SQRT(B1)+9))</f>
        <v>88</v>
      </c>
      <c r="C100" s="2">
        <f t="shared" si="15"/>
        <v>0.72131147540983609</v>
      </c>
      <c r="D100" s="2">
        <f t="shared" si="16"/>
        <v>0.70399999999999996</v>
      </c>
      <c r="E100" s="3">
        <f t="shared" si="17"/>
        <v>0.91750819672131145</v>
      </c>
      <c r="F100" s="4">
        <f t="shared" si="18"/>
        <v>0.76521739130434785</v>
      </c>
      <c r="G100" s="4">
        <f t="shared" si="19"/>
        <v>0.62857142857142856</v>
      </c>
      <c r="H100" s="4">
        <f t="shared" si="20"/>
        <v>0.76521739130434785</v>
      </c>
      <c r="I100" s="5">
        <f t="shared" si="21"/>
        <v>0.9795257899000811</v>
      </c>
      <c r="J100" s="43">
        <f t="shared" si="22"/>
        <v>0.97259016393442621</v>
      </c>
      <c r="K100" s="43">
        <f t="shared" si="23"/>
        <v>0.99712233324331623</v>
      </c>
      <c r="L100" s="44">
        <f t="shared" si="24"/>
        <v>0.93508196721311476</v>
      </c>
      <c r="M100" s="44">
        <f t="shared" si="25"/>
        <v>0.98628571428571432</v>
      </c>
      <c r="N100" s="45">
        <f t="shared" si="26"/>
        <v>0.94688524590163936</v>
      </c>
      <c r="O100" s="45">
        <f t="shared" si="27"/>
        <v>0.9902781528490413</v>
      </c>
      <c r="P100" s="46">
        <f t="shared" si="28"/>
        <v>0.99422950819672129</v>
      </c>
      <c r="Q100" s="46">
        <f t="shared" si="29"/>
        <v>0.99998595733189299</v>
      </c>
    </row>
    <row r="101" spans="1:17" x14ac:dyDescent="0.2">
      <c r="A101">
        <v>99</v>
      </c>
      <c r="B101">
        <f>INT(IF(A101&gt;50,15+50+SQRT(A101-50)+0.8*SQRT(B1)+9,15+A101+0.75*SQRT(B1)+9))</f>
        <v>88</v>
      </c>
      <c r="C101" s="2">
        <f t="shared" si="15"/>
        <v>0.72131147540983609</v>
      </c>
      <c r="D101" s="2">
        <f t="shared" si="16"/>
        <v>0.70399999999999996</v>
      </c>
      <c r="E101" s="3">
        <f t="shared" si="17"/>
        <v>0.91750819672131145</v>
      </c>
      <c r="F101" s="4">
        <f t="shared" si="18"/>
        <v>0.76521739130434785</v>
      </c>
      <c r="G101" s="4">
        <f t="shared" si="19"/>
        <v>0.62857142857142856</v>
      </c>
      <c r="H101" s="4">
        <f t="shared" si="20"/>
        <v>0.76521739130434785</v>
      </c>
      <c r="I101" s="5">
        <f t="shared" si="21"/>
        <v>0.9795257899000811</v>
      </c>
      <c r="J101" s="43">
        <f t="shared" si="22"/>
        <v>0.97259016393442621</v>
      </c>
      <c r="K101" s="43">
        <f t="shared" si="23"/>
        <v>0.99712233324331623</v>
      </c>
      <c r="L101" s="44">
        <f t="shared" si="24"/>
        <v>0.93508196721311476</v>
      </c>
      <c r="M101" s="44">
        <f t="shared" si="25"/>
        <v>0.98628571428571432</v>
      </c>
      <c r="N101" s="45">
        <f t="shared" si="26"/>
        <v>0.94688524590163936</v>
      </c>
      <c r="O101" s="45">
        <f t="shared" si="27"/>
        <v>0.9902781528490413</v>
      </c>
      <c r="P101" s="46">
        <f t="shared" si="28"/>
        <v>0.99422950819672129</v>
      </c>
      <c r="Q101" s="46">
        <f t="shared" si="29"/>
        <v>0.99998595733189299</v>
      </c>
    </row>
    <row r="102" spans="1:17" x14ac:dyDescent="0.2">
      <c r="A102">
        <v>100</v>
      </c>
      <c r="B102">
        <f>INT(IF(A102&gt;50,15+50+SQRT(A102-50)+0.8*SQRT(B1)+9,15+A102+0.75*SQRT(B1)+9))</f>
        <v>89</v>
      </c>
      <c r="C102" s="2">
        <f t="shared" si="15"/>
        <v>0.72950819672131151</v>
      </c>
      <c r="D102" s="2">
        <f t="shared" si="16"/>
        <v>0.71199999999999997</v>
      </c>
      <c r="E102" s="3">
        <f t="shared" si="17"/>
        <v>0.92209836065573769</v>
      </c>
      <c r="F102" s="4">
        <f t="shared" si="18"/>
        <v>0.77391304347826084</v>
      </c>
      <c r="G102" s="4">
        <f t="shared" si="19"/>
        <v>0.63571428571428568</v>
      </c>
      <c r="H102" s="4">
        <f t="shared" si="20"/>
        <v>0.77391304347826084</v>
      </c>
      <c r="I102" s="5">
        <f t="shared" si="21"/>
        <v>0.98137942209019713</v>
      </c>
      <c r="J102" s="43">
        <f t="shared" si="22"/>
        <v>0.97521311475409833</v>
      </c>
      <c r="K102" s="43">
        <f t="shared" si="23"/>
        <v>0.99764731298946796</v>
      </c>
      <c r="L102" s="44">
        <f t="shared" si="24"/>
        <v>0.93914754098360653</v>
      </c>
      <c r="M102" s="44">
        <f t="shared" si="25"/>
        <v>0.98771374561166625</v>
      </c>
      <c r="N102" s="45">
        <f t="shared" si="26"/>
        <v>0.95055737704918031</v>
      </c>
      <c r="O102" s="45">
        <f t="shared" si="27"/>
        <v>0.99142100999189842</v>
      </c>
      <c r="P102" s="46">
        <f t="shared" si="28"/>
        <v>0.99540983606557376</v>
      </c>
      <c r="Q102" s="46">
        <f t="shared" si="29"/>
        <v>1</v>
      </c>
    </row>
  </sheetData>
  <mergeCells count="11">
    <mergeCell ref="P1:Q1"/>
    <mergeCell ref="H1:H2"/>
    <mergeCell ref="I1:I2"/>
    <mergeCell ref="J1:K1"/>
    <mergeCell ref="L1:M1"/>
    <mergeCell ref="N1:O1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D7B4-7527-4EFD-895F-453FC91B8090}">
  <dimension ref="A1:U39"/>
  <sheetViews>
    <sheetView workbookViewId="0">
      <selection activeCell="N42" sqref="N42"/>
    </sheetView>
  </sheetViews>
  <sheetFormatPr defaultRowHeight="14.25" x14ac:dyDescent="0.2"/>
  <cols>
    <col min="1" max="1" width="9.625" bestFit="1" customWidth="1"/>
    <col min="2" max="2" width="11.75" bestFit="1" customWidth="1"/>
    <col min="3" max="4" width="14" bestFit="1" customWidth="1"/>
    <col min="5" max="5" width="12" bestFit="1" customWidth="1"/>
    <col min="6" max="6" width="15.375" customWidth="1"/>
    <col min="7" max="7" width="15" customWidth="1"/>
    <col min="8" max="8" width="13.375" customWidth="1"/>
    <col min="9" max="9" width="12.375" customWidth="1"/>
    <col min="10" max="10" width="14" bestFit="1" customWidth="1"/>
    <col min="11" max="11" width="14.375" bestFit="1" customWidth="1"/>
    <col min="12" max="13" width="9.625" bestFit="1" customWidth="1"/>
    <col min="14" max="14" width="13.625" customWidth="1"/>
    <col min="15" max="15" width="12.625" bestFit="1" customWidth="1"/>
    <col min="16" max="16" width="9.625" bestFit="1" customWidth="1"/>
    <col min="17" max="17" width="14" bestFit="1" customWidth="1"/>
    <col min="18" max="18" width="14.375" bestFit="1" customWidth="1"/>
  </cols>
  <sheetData>
    <row r="1" spans="1:19" x14ac:dyDescent="0.2">
      <c r="B1" s="36" t="s">
        <v>11</v>
      </c>
      <c r="L1" s="36" t="s">
        <v>29</v>
      </c>
    </row>
    <row r="2" spans="1:19" x14ac:dyDescent="0.2">
      <c r="B2" s="38" t="s">
        <v>4</v>
      </c>
      <c r="C2" s="38" t="s">
        <v>5</v>
      </c>
      <c r="D2" s="38" t="s">
        <v>6</v>
      </c>
      <c r="E2" s="38" t="s">
        <v>7</v>
      </c>
      <c r="F2" s="38" t="s">
        <v>8</v>
      </c>
      <c r="G2" s="38" t="s">
        <v>9</v>
      </c>
      <c r="H2" s="38" t="s">
        <v>12</v>
      </c>
      <c r="I2" s="38" t="s">
        <v>35</v>
      </c>
      <c r="J2" s="38" t="s">
        <v>62</v>
      </c>
      <c r="L2" s="1" t="s">
        <v>10</v>
      </c>
      <c r="M2" s="1" t="s">
        <v>0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2</v>
      </c>
      <c r="S2" s="1" t="s">
        <v>17</v>
      </c>
    </row>
    <row r="3" spans="1:19" x14ac:dyDescent="0.2">
      <c r="A3" t="s">
        <v>19</v>
      </c>
      <c r="B3" s="17">
        <v>74</v>
      </c>
      <c r="C3" s="17">
        <v>85</v>
      </c>
      <c r="D3" s="17">
        <v>4</v>
      </c>
      <c r="E3" s="17">
        <v>10</v>
      </c>
      <c r="F3" s="17"/>
      <c r="G3" s="17">
        <v>8</v>
      </c>
      <c r="H3" s="17">
        <v>0</v>
      </c>
      <c r="I3" s="17">
        <v>7</v>
      </c>
      <c r="J3" s="28">
        <f>B3+C3+SQRT(D3)+SQRT(E3)+SQRT(F3)+SQRT(G3)+SQRT(H3)+I3</f>
        <v>173.99070478491456</v>
      </c>
      <c r="L3" s="1">
        <v>175</v>
      </c>
      <c r="M3" s="1">
        <v>50</v>
      </c>
      <c r="N3" s="1">
        <v>0</v>
      </c>
      <c r="O3" s="1">
        <v>7</v>
      </c>
      <c r="P3" s="1">
        <v>4</v>
      </c>
      <c r="Q3" s="1">
        <v>9</v>
      </c>
      <c r="R3" s="1">
        <f>INT(IF(M3&gt;50,65+SQRT(M3-50)+0.8*SQRT(L3),15+M3+0.75*SQRT(L3)))</f>
        <v>74</v>
      </c>
      <c r="S3" s="1">
        <f>N3+O3+P3+Q3+R3</f>
        <v>94</v>
      </c>
    </row>
    <row r="4" spans="1:19" x14ac:dyDescent="0.2">
      <c r="A4" t="s">
        <v>20</v>
      </c>
      <c r="B4" s="19">
        <v>74</v>
      </c>
      <c r="C4" s="19">
        <v>110</v>
      </c>
      <c r="D4" s="19">
        <v>4</v>
      </c>
      <c r="E4" s="19">
        <v>10</v>
      </c>
      <c r="F4" s="19">
        <v>8</v>
      </c>
      <c r="G4" s="19">
        <v>0</v>
      </c>
      <c r="H4" s="19">
        <v>0</v>
      </c>
      <c r="I4" s="19">
        <v>7</v>
      </c>
      <c r="J4" s="29">
        <f>B4+C4+SQRT(D4)+SQRT(E4)+SQRT(F4)+SQRT(G4)+SQRT(H4)+I4</f>
        <v>198.99070478491456</v>
      </c>
    </row>
    <row r="5" spans="1:19" x14ac:dyDescent="0.2">
      <c r="J5" s="9"/>
    </row>
    <row r="6" spans="1:19" x14ac:dyDescent="0.2">
      <c r="L6" s="37"/>
    </row>
    <row r="7" spans="1:19" x14ac:dyDescent="0.2">
      <c r="B7" s="36" t="s">
        <v>18</v>
      </c>
      <c r="I7" s="36" t="s">
        <v>44</v>
      </c>
      <c r="L7" s="36" t="s">
        <v>45</v>
      </c>
    </row>
    <row r="8" spans="1:19" x14ac:dyDescent="0.2">
      <c r="B8" s="77" t="s">
        <v>21</v>
      </c>
      <c r="C8" s="78"/>
      <c r="D8" s="79"/>
      <c r="E8" s="80" t="s">
        <v>20</v>
      </c>
      <c r="F8" s="81"/>
      <c r="G8" s="82"/>
      <c r="I8" s="34" t="s">
        <v>21</v>
      </c>
      <c r="J8" s="19" t="s">
        <v>20</v>
      </c>
      <c r="L8" s="1"/>
      <c r="M8" s="19" t="s">
        <v>26</v>
      </c>
      <c r="N8" s="19" t="s">
        <v>27</v>
      </c>
      <c r="O8" s="17" t="s">
        <v>51</v>
      </c>
      <c r="P8" s="1" t="s">
        <v>52</v>
      </c>
      <c r="Q8" s="17" t="s">
        <v>28</v>
      </c>
    </row>
    <row r="9" spans="1:19" x14ac:dyDescent="0.2">
      <c r="B9" s="17" t="s">
        <v>19</v>
      </c>
      <c r="C9" s="17" t="s">
        <v>23</v>
      </c>
      <c r="D9" s="18">
        <f>IF(Q3=9,8/9*S3/125,0)</f>
        <v>0.66844444444444451</v>
      </c>
      <c r="E9" s="19" t="s">
        <v>26</v>
      </c>
      <c r="F9" s="19" t="s">
        <v>23</v>
      </c>
      <c r="G9" s="20">
        <f>2/3*S3/115</f>
        <v>0.54492753623188406</v>
      </c>
      <c r="I9" s="30">
        <f>D9+D11</f>
        <v>0.85952641165755916</v>
      </c>
      <c r="J9" s="31">
        <f>G9+G11+G13</f>
        <v>0.65527536231884054</v>
      </c>
      <c r="L9" s="1" t="s">
        <v>46</v>
      </c>
      <c r="M9" s="19">
        <v>1.3</v>
      </c>
      <c r="N9" s="19">
        <v>1.2</v>
      </c>
      <c r="O9" s="83">
        <v>1.5</v>
      </c>
      <c r="P9" s="84">
        <v>1.3</v>
      </c>
      <c r="Q9" s="83">
        <v>1.3</v>
      </c>
    </row>
    <row r="10" spans="1:19" x14ac:dyDescent="0.2">
      <c r="B10" s="17"/>
      <c r="C10" s="17" t="s">
        <v>22</v>
      </c>
      <c r="D10" s="18">
        <f>IF(Q3=9,1/9*S3/125,0)</f>
        <v>8.3555555555555563E-2</v>
      </c>
      <c r="E10" s="19"/>
      <c r="F10" s="19" t="s">
        <v>22</v>
      </c>
      <c r="G10" s="20">
        <f>1/3*S3/115</f>
        <v>0.27246376811594203</v>
      </c>
      <c r="L10" s="1" t="s">
        <v>47</v>
      </c>
      <c r="M10" s="19">
        <f>M9*1.25</f>
        <v>1.625</v>
      </c>
      <c r="N10" s="19">
        <f>N9*1.25</f>
        <v>1.5</v>
      </c>
      <c r="O10" s="83"/>
      <c r="P10" s="84"/>
      <c r="Q10" s="83"/>
    </row>
    <row r="11" spans="1:19" x14ac:dyDescent="0.2">
      <c r="B11" s="17" t="s">
        <v>24</v>
      </c>
      <c r="C11" s="17" t="s">
        <v>23</v>
      </c>
      <c r="D11" s="18">
        <f>(1-D9-D10)*S3/122</f>
        <v>0.19108196721311471</v>
      </c>
      <c r="E11" s="19" t="s">
        <v>27</v>
      </c>
      <c r="F11" s="19" t="s">
        <v>23</v>
      </c>
      <c r="G11" s="20">
        <f>IF(Q3&gt;0,1/2*(1-G9-G10)*S3/140,0)</f>
        <v>6.1304347826086958E-2</v>
      </c>
      <c r="I11" s="36" t="s">
        <v>68</v>
      </c>
      <c r="L11" s="1" t="s">
        <v>48</v>
      </c>
      <c r="M11" s="19">
        <f>M9*1.4</f>
        <v>1.8199999999999998</v>
      </c>
      <c r="N11" s="19">
        <f>N9*1.4</f>
        <v>1.68</v>
      </c>
      <c r="O11" s="83"/>
      <c r="P11" s="84"/>
      <c r="Q11" s="83"/>
    </row>
    <row r="12" spans="1:19" x14ac:dyDescent="0.2">
      <c r="B12" s="17"/>
      <c r="C12" s="17"/>
      <c r="D12" s="18"/>
      <c r="E12" s="19"/>
      <c r="F12" s="19" t="s">
        <v>22</v>
      </c>
      <c r="G12" s="20">
        <f>G11</f>
        <v>6.1304347826086958E-2</v>
      </c>
      <c r="I12" s="17" t="s">
        <v>19</v>
      </c>
      <c r="J12" s="32" t="s">
        <v>69</v>
      </c>
      <c r="L12" s="1" t="s">
        <v>49</v>
      </c>
      <c r="M12" s="23">
        <f>M9*1.25*1.05</f>
        <v>1.70625</v>
      </c>
      <c r="N12" s="23">
        <f>N9*1.25*1.05</f>
        <v>1.5750000000000002</v>
      </c>
      <c r="O12" s="83"/>
      <c r="P12" s="84"/>
      <c r="Q12" s="83"/>
    </row>
    <row r="13" spans="1:19" x14ac:dyDescent="0.2">
      <c r="B13" s="17"/>
      <c r="C13" s="17"/>
      <c r="D13" s="18"/>
      <c r="E13" s="19" t="s">
        <v>28</v>
      </c>
      <c r="F13" s="19" t="s">
        <v>23</v>
      </c>
      <c r="G13" s="20">
        <f>(1-S3/115)*(1-S3/140)*S3/115</f>
        <v>4.9043478260869557E-2</v>
      </c>
      <c r="I13" s="19" t="s">
        <v>26</v>
      </c>
      <c r="J13" s="33" t="s">
        <v>70</v>
      </c>
      <c r="L13" s="1" t="s">
        <v>50</v>
      </c>
      <c r="M13" s="23">
        <f>M9*1.4*1.05</f>
        <v>1.9109999999999998</v>
      </c>
      <c r="N13" s="23">
        <f>N9*1.4*1.05</f>
        <v>1.764</v>
      </c>
      <c r="O13" s="83"/>
      <c r="P13" s="84"/>
      <c r="Q13" s="83"/>
    </row>
    <row r="14" spans="1:19" x14ac:dyDescent="0.2">
      <c r="B14" s="17" t="s">
        <v>25</v>
      </c>
      <c r="C14" s="17"/>
      <c r="D14" s="18">
        <f>1-SUM(D9:D13)</f>
        <v>5.6918032786885231E-2</v>
      </c>
      <c r="E14" s="19" t="s">
        <v>25</v>
      </c>
      <c r="F14" s="19"/>
      <c r="G14" s="20">
        <f>1-SUM(G9:G13)</f>
        <v>1.0956521739130531E-2</v>
      </c>
      <c r="I14" s="19" t="s">
        <v>27</v>
      </c>
      <c r="J14" s="33" t="s">
        <v>71</v>
      </c>
      <c r="L14" s="1" t="s">
        <v>226</v>
      </c>
      <c r="M14" s="66">
        <f>M9*1.1*1.4</f>
        <v>2.0020000000000002</v>
      </c>
      <c r="N14" s="66">
        <f>N9*1.1*1.4</f>
        <v>1.8479999999999999</v>
      </c>
      <c r="O14" s="83"/>
      <c r="P14" s="84"/>
      <c r="Q14" s="83"/>
    </row>
    <row r="15" spans="1:19" x14ac:dyDescent="0.2">
      <c r="D15" s="8"/>
      <c r="G15" s="8"/>
    </row>
    <row r="16" spans="1:19" x14ac:dyDescent="0.2">
      <c r="B16" s="36" t="s">
        <v>43</v>
      </c>
      <c r="E16" s="36" t="s">
        <v>61</v>
      </c>
      <c r="F16" s="85" t="s">
        <v>63</v>
      </c>
      <c r="G16" s="86"/>
    </row>
    <row r="17" spans="2:21" x14ac:dyDescent="0.2">
      <c r="B17" s="35" t="s">
        <v>30</v>
      </c>
      <c r="C17" s="35">
        <v>398</v>
      </c>
      <c r="E17" s="38" t="s">
        <v>54</v>
      </c>
      <c r="F17" s="38" t="s">
        <v>11</v>
      </c>
    </row>
    <row r="18" spans="2:21" x14ac:dyDescent="0.2">
      <c r="B18" s="35" t="s">
        <v>32</v>
      </c>
      <c r="C18" s="35">
        <v>1.25</v>
      </c>
      <c r="E18" s="17" t="s">
        <v>19</v>
      </c>
      <c r="F18" s="17">
        <v>230.3152601052513</v>
      </c>
    </row>
    <row r="19" spans="2:21" x14ac:dyDescent="0.2">
      <c r="B19" s="35" t="s">
        <v>33</v>
      </c>
      <c r="C19" s="35">
        <v>0</v>
      </c>
      <c r="E19" s="19" t="s">
        <v>20</v>
      </c>
      <c r="F19" s="19">
        <v>213.72275559248342</v>
      </c>
    </row>
    <row r="21" spans="2:21" x14ac:dyDescent="0.2">
      <c r="B21" s="36" t="s">
        <v>40</v>
      </c>
      <c r="C21" s="87" t="s">
        <v>64</v>
      </c>
      <c r="D21" s="88"/>
      <c r="I21" s="87" t="s">
        <v>65</v>
      </c>
      <c r="J21" s="88"/>
      <c r="P21" s="87" t="s">
        <v>66</v>
      </c>
      <c r="Q21" s="88"/>
    </row>
    <row r="22" spans="2:21" x14ac:dyDescent="0.2">
      <c r="B22" s="17" t="s">
        <v>39</v>
      </c>
      <c r="C22" s="17" t="s">
        <v>31</v>
      </c>
      <c r="D22" s="17" t="s">
        <v>38</v>
      </c>
      <c r="E22" s="17" t="s">
        <v>34</v>
      </c>
      <c r="F22" s="17" t="s">
        <v>36</v>
      </c>
      <c r="G22" s="17" t="s">
        <v>37</v>
      </c>
      <c r="I22" s="23" t="s">
        <v>39</v>
      </c>
      <c r="J22" s="23" t="s">
        <v>31</v>
      </c>
      <c r="K22" s="23" t="s">
        <v>38</v>
      </c>
      <c r="L22" s="23" t="s">
        <v>34</v>
      </c>
      <c r="M22" s="23" t="s">
        <v>36</v>
      </c>
      <c r="N22" s="23" t="s">
        <v>37</v>
      </c>
      <c r="P22" s="19" t="s">
        <v>39</v>
      </c>
      <c r="Q22" s="19" t="s">
        <v>31</v>
      </c>
      <c r="R22" s="19" t="s">
        <v>38</v>
      </c>
      <c r="S22" s="19" t="s">
        <v>34</v>
      </c>
      <c r="T22" s="19" t="s">
        <v>36</v>
      </c>
      <c r="U22" s="19" t="s">
        <v>37</v>
      </c>
    </row>
    <row r="23" spans="2:21" x14ac:dyDescent="0.2">
      <c r="B23" s="17" t="s">
        <v>19</v>
      </c>
      <c r="C23" s="17">
        <f>INT(IF(F18*O9&gt;360,360+SQRT(F18*O9-360),F18*O9))</f>
        <v>345</v>
      </c>
      <c r="D23" s="17">
        <f>C23*C18+C19</f>
        <v>431.25</v>
      </c>
      <c r="E23" s="21">
        <f>IF(IF(D23-C17*1.3+0.6&gt;0,1,(D23-C17*0.7)/(C17*0.6-0.6))&gt;0,IF(D23-C17*1.3+0.6&gt;0,1,(D23-C17*0.7)/(C17*0.6-0.6)),0)</f>
        <v>0.64084802686817821</v>
      </c>
      <c r="F23" s="22" t="str">
        <f>IF(D23-C17*1.3+0.6&gt;0,INT(D23-C17*1.3+0.6),TEXT(1-E23,"0%")&amp;"擦弹")</f>
        <v>36%擦弹</v>
      </c>
      <c r="G23" s="22">
        <f>IF(D23-C17*0.7&gt;=0,INT(D23-C17*0.7),TEXT(1-E23,"0%")&amp;"擦弹")</f>
        <v>152</v>
      </c>
      <c r="I23" s="23" t="s">
        <v>41</v>
      </c>
      <c r="J23" s="23">
        <f>INT(IF(F19*M12&gt;360,360+SQRT(F19*M12-360),F19*M12))</f>
        <v>362</v>
      </c>
      <c r="K23" s="23">
        <f>J23*C18+C19</f>
        <v>452.5</v>
      </c>
      <c r="L23" s="24">
        <f>IF(IF(K23-C17*1.3+0.6&gt;0,1,(K23-C17*0.7)/(C17*0.6-0.6))&gt;0,IF(K23-C17*1.3+0.6&gt;0,1,(K23-C17*0.7)/(C17*0.6-0.6)),0)</f>
        <v>0.73005877413937881</v>
      </c>
      <c r="M23" s="25" t="str">
        <f>IF(K23-C17*1.3+0.6&gt;0,INT(K23-C17*1.3+0.6),TEXT(1-L23,"0%")&amp;"擦弹")</f>
        <v>27%擦弹</v>
      </c>
      <c r="N23" s="25">
        <f>IF(K23-C17*0.7&gt;=0,INT(K23-C17*0.7),TEXT(1-L23,"0%")&amp;"擦弹")</f>
        <v>173</v>
      </c>
      <c r="P23" s="19" t="s">
        <v>42</v>
      </c>
      <c r="Q23" s="19">
        <f>INT(IF(F19*M10&gt;360,360+SQRT(F19*M10-360),F19*M10))</f>
        <v>347</v>
      </c>
      <c r="R23" s="19">
        <f>Q23*C18+C19</f>
        <v>433.75</v>
      </c>
      <c r="S23" s="26">
        <f>IF(IF(R23-C17*1.3+0.6&gt;0,1,(R23-C17*0.7)/(C17*0.6-0.6))&gt;0,IF(R23-C17*1.3+0.6&gt;0,1,(R23-C17*0.7)/(C17*0.6-0.6)),0)</f>
        <v>0.65134340890008413</v>
      </c>
      <c r="T23" s="27" t="str">
        <f>IF(R23-C17*1.3+0.6&gt;0,INT(R23-C17*1.3+0.6),TEXT(1-S23,"0%")&amp;"擦弹")</f>
        <v>35%擦弹</v>
      </c>
      <c r="U23" s="27">
        <f>IF(R23-C17*0.7&gt;=0,INT(R23-C17*0.7),TEXT(1-S23,"0%")&amp;"擦弹")</f>
        <v>155</v>
      </c>
    </row>
    <row r="24" spans="2:21" x14ac:dyDescent="0.2">
      <c r="B24" s="17" t="s">
        <v>24</v>
      </c>
      <c r="C24" s="17">
        <f>INT(IF(F18*O9&gt;360,360+SQRT(F18*O9-360),F18*O9))</f>
        <v>345</v>
      </c>
      <c r="D24" s="17">
        <f>C23*C18+C19</f>
        <v>431.25</v>
      </c>
      <c r="E24" s="21">
        <f>IF(IF(D23-C17*1.3+0.6&gt;0,1,(D23-C17*0.7)/(C17*0.6-0.6))&gt;0,IF(D23-C17*1.3+0.6&gt;0,1,(D23-C17*0.7)/(C17*0.6-0.6)),0)</f>
        <v>0.64084802686817821</v>
      </c>
      <c r="F24" s="22" t="str">
        <f>IF(D23-C17*1.3+0.6&gt;0,INT(D23-C17*1.3+0.6),TEXT(1-E23,"0%")&amp;"擦弹")</f>
        <v>36%擦弹</v>
      </c>
      <c r="G24" s="22">
        <f>IF(D23-C17*0.7&gt;=0,INT(D23-C17*0.7),TEXT(1-E23,"0%")&amp;"擦弹")</f>
        <v>152</v>
      </c>
      <c r="I24" s="23" t="s">
        <v>27</v>
      </c>
      <c r="J24" s="23">
        <f>INT(IF(F19*N12&gt;360,360+SQRT(F19*N12-360),F19*N12))</f>
        <v>336</v>
      </c>
      <c r="K24" s="23">
        <f>J24*C18+C19</f>
        <v>420</v>
      </c>
      <c r="L24" s="24">
        <f>IF(IF(K24-C17*1.3+0.6&gt;0,1,(K24-C17*0.7)/(C17*0.6-0.6))&gt;0,IF(K24-C17*1.3+0.6&gt;0,1,(K24-C17*0.7)/(C17*0.6-0.6)),0)</f>
        <v>0.59361880772460129</v>
      </c>
      <c r="M24" s="25" t="str">
        <f>IF(K24-C17*1.3+0.6&gt;0,INT(K24-C17*1.3+0.6),TEXT(1-L24,"0%")&amp;"擦弹")</f>
        <v>41%擦弹</v>
      </c>
      <c r="N24" s="25">
        <f>IF(K24-C17*0.7&gt;=0,INT(K24-C17*0.7),TEXT(1-L24,"0%")&amp;"擦弹")</f>
        <v>141</v>
      </c>
      <c r="P24" s="19" t="s">
        <v>27</v>
      </c>
      <c r="Q24" s="19">
        <f>INT(IF(F19*N10&gt;360,360+SQRT(F19*N10-360),F19*N10))</f>
        <v>320</v>
      </c>
      <c r="R24" s="19">
        <f>Q24*C18+C19</f>
        <v>400</v>
      </c>
      <c r="S24" s="26">
        <f>IF(IF(R24-C17*1.3+0.6&gt;0,1,(R24-C17*0.7)/(C17*0.6-0.6))&gt;0,IF(R24-C17*1.3+0.6&gt;0,1,(R24-C17*0.7)/(C17*0.6-0.6)),0)</f>
        <v>0.5096557514693536</v>
      </c>
      <c r="T24" s="27" t="str">
        <f>IF(R24-C17*1.3+0.6&gt;0,INT(R24-C17*1.3+0.6),TEXT(1-S24,"0%")&amp;"擦弹")</f>
        <v>49%擦弹</v>
      </c>
      <c r="U24" s="27">
        <f>IF(R24-C17*0.7&gt;=0,INT(R24-C17*0.7),TEXT(1-S24,"0%")&amp;"擦弹")</f>
        <v>121</v>
      </c>
    </row>
    <row r="25" spans="2:21" x14ac:dyDescent="0.2">
      <c r="I25" s="23" t="s">
        <v>28</v>
      </c>
      <c r="J25" s="23">
        <f>INT(IF(F19*Q9&gt;360,360+SQRT(F19*Q9-360),F19*Q9))</f>
        <v>277</v>
      </c>
      <c r="K25" s="23">
        <f>J25*C18+C19</f>
        <v>346.25</v>
      </c>
      <c r="L25" s="24">
        <f>IF(IF(K25-C17*1.3+0.6&gt;0,1,(K25-C17*0.7)/(C17*0.6-0.6))&gt;0,IF(K25-C17*1.3+0.6&gt;0,1,(K25-C17*0.7)/(C17*0.6-0.6)),0)</f>
        <v>0.28400503778337549</v>
      </c>
      <c r="M25" s="25" t="str">
        <f>IF(K25-C17*1.3+0.6&gt;0,INT(K25-C17*1.3+0.6),TEXT(1-L25,"0%")&amp;"擦弹")</f>
        <v>72%擦弹</v>
      </c>
      <c r="N25" s="25">
        <f>IF(K25-C17*0.7&gt;=0,INT(K25-C17*0.7),TEXT(1-L25,"0%")&amp;"擦弹")</f>
        <v>67</v>
      </c>
      <c r="P25" s="19" t="s">
        <v>28</v>
      </c>
      <c r="Q25" s="19">
        <f>INT(IF(F19*Q9&gt;360,360+SQRT(F19*Q9-360),F19*Q9))</f>
        <v>277</v>
      </c>
      <c r="R25" s="19">
        <f>J25*C18+C19</f>
        <v>346.25</v>
      </c>
      <c r="S25" s="26">
        <f>IF(IF(R25-C17*1.3+0.6&gt;0,1,(R25-C17*0.7)/(C17*0.6-0.6))&gt;0,IF(R25-C17*1.3+0.6&gt;0,1,(R25-C17*0.7)/(C17*0.6-0.6)),0)</f>
        <v>0.28400503778337549</v>
      </c>
      <c r="T25" s="27" t="str">
        <f>IF(R25-C17*1.3+0.6&gt;0,INT(R25-C17*1.3+0.6),TEXT(1-S25,"0%")&amp;"擦弹")</f>
        <v>72%擦弹</v>
      </c>
      <c r="U25" s="27">
        <f>IF(R25-C17*0.7&gt;=0,INT(R25-C17*0.7),TEXT(1-S25,"0%")&amp;"擦弹")</f>
        <v>67</v>
      </c>
    </row>
    <row r="27" spans="2:21" x14ac:dyDescent="0.2">
      <c r="B27" s="36" t="s">
        <v>58</v>
      </c>
      <c r="C27" s="87" t="s">
        <v>59</v>
      </c>
      <c r="D27" s="88"/>
      <c r="H27" t="s">
        <v>67</v>
      </c>
    </row>
    <row r="28" spans="2:21" ht="15" customHeight="1" x14ac:dyDescent="0.2">
      <c r="B28" s="1" t="s">
        <v>54</v>
      </c>
      <c r="C28" s="1" t="s">
        <v>57</v>
      </c>
      <c r="D28" s="1" t="s">
        <v>39</v>
      </c>
      <c r="E28" s="1" t="s">
        <v>53</v>
      </c>
      <c r="F28" s="1" t="s">
        <v>60</v>
      </c>
      <c r="H28" s="105" t="s">
        <v>91</v>
      </c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</row>
    <row r="29" spans="2:21" x14ac:dyDescent="0.2">
      <c r="B29" s="89" t="s">
        <v>19</v>
      </c>
      <c r="C29" s="97">
        <f>D23*2*D9+D23*1*D10+D23*2*D11+F18*D14</f>
        <v>790.48395491396889</v>
      </c>
      <c r="D29" s="17" t="s">
        <v>19</v>
      </c>
      <c r="E29" s="17">
        <f>0.5*((IF(ISNUMBER(F23),F23,0)+IF(ISNUMBER(G23),G23,0))*2*8/9+(IF(ISNUMBER(F23),F23,0)+IF(ISNUMBER(G23),G23,0))*1/8)</f>
        <v>144.61111111111111</v>
      </c>
      <c r="F29" s="97">
        <f>0.5*((IF(ISNUMBER(F23),F23,0)+IF(ISNUMBER(G23),G23,0))*2*D9+(IF(ISNUMBER(F23),F23,0)+IF(ISNUMBER(G23),G23,0))*D10+(IF(ISNUMBER(F24),F24,0)+IF(ISNUMBER(G24),G24,0))*2)</f>
        <v>259.95377777777776</v>
      </c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</row>
    <row r="30" spans="2:21" x14ac:dyDescent="0.2">
      <c r="B30" s="90"/>
      <c r="C30" s="98"/>
      <c r="D30" s="17" t="s">
        <v>24</v>
      </c>
      <c r="E30" s="17">
        <f>0.5*((IF(ISNUMBER(F24),F24,0)+IF(ISNUMBER(G24),G24,0))*2)</f>
        <v>152</v>
      </c>
      <c r="F30" s="98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</row>
    <row r="31" spans="2:21" x14ac:dyDescent="0.2">
      <c r="B31" s="91" t="s">
        <v>55</v>
      </c>
      <c r="C31" s="99">
        <f>K23*2*G9+K23*G10+K24*2*G11+K24*G12+K25*2*G13+F19*G14</f>
        <v>729.99702033663652</v>
      </c>
      <c r="D31" s="23" t="s">
        <v>41</v>
      </c>
      <c r="E31" s="23">
        <f>0.5*(2*2/3*(IF(ISNUMBER(M23),M23,0)+IF(ISNUMBER(N23),N23,0))+1*1/3*(IF(ISNUMBER(M23),M23,0)+IF(ISNUMBER(N23),N23,0)))</f>
        <v>144.16666666666666</v>
      </c>
      <c r="F31" s="99">
        <f>0.5*((IF(ISNUMBER(M23),M23,0)+IF(ISNUMBER(N23),N23,0))*2*G9+(IF(ISNUMBER(M23),M23,0)+IF(ISNUMBER(N23),N23,0)*G10)+(IF(ISNUMBER(M24),M24,0)+IF(ISNUMBER(N24),N24,0))*2*G11+(IF(ISNUMBER(M24),M24,0)+IF(ISNUMBER(N24),N24,0))*G12+(IF(ISNUMBER(M25),M25,0)+IF(ISNUMBER(N25),N25,0))*G13)</f>
        <v>132.44940579710146</v>
      </c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</row>
    <row r="32" spans="2:21" x14ac:dyDescent="0.2">
      <c r="B32" s="92"/>
      <c r="C32" s="100"/>
      <c r="D32" s="23" t="s">
        <v>27</v>
      </c>
      <c r="E32" s="23">
        <f>0.5*(2*1/2*(IF(ISNUMBER(M24),M24,0)+IF(ISNUMBER(N24),N24,0))+1*1/2*(IF(ISNUMBER(M24),M24,0)+IF(ISNUMBER(N24),N24,0)))</f>
        <v>105.75</v>
      </c>
      <c r="F32" s="100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</row>
    <row r="33" spans="2:19" x14ac:dyDescent="0.2">
      <c r="B33" s="93"/>
      <c r="C33" s="101"/>
      <c r="D33" s="23" t="s">
        <v>28</v>
      </c>
      <c r="E33" s="23">
        <f>0.5*2*(IF(ISNUMBER(M25),M25,0)+IF(ISNUMBER(N25),N25,0))</f>
        <v>67</v>
      </c>
      <c r="F33" s="101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</row>
    <row r="34" spans="2:19" x14ac:dyDescent="0.2">
      <c r="B34" s="94" t="s">
        <v>56</v>
      </c>
      <c r="C34" s="102">
        <f>R23*G9*2+R23*G10+R24*G11*2+R24*G12+R25*G13+F19*G14</f>
        <v>683.79397685837546</v>
      </c>
      <c r="D34" s="19" t="s">
        <v>42</v>
      </c>
      <c r="E34" s="19">
        <f>0.5*(2*2/3*(IF(ISNUMBER(T23),T23,0)+IF(ISNUMBER(U23),U23,0))+1*1/3*(IF(ISNUMBER(T23),T23,0)+IF(ISNUMBER(U23),U23,0)))</f>
        <v>129.16666666666666</v>
      </c>
      <c r="F34" s="102">
        <f>0.5*((IF(ISNUMBER(T23),T23,0)+IF(ISNUMBER(U23),U23,0))*2*G9+(IF(ISNUMBER(T23),T23,0)+IF(ISNUMBER(U23),U23,0)*G10)+(IF(ISNUMBER(T24),T24,0)+IF(ISNUMBER(U24),U24,0))*2*G11+(IF(ISNUMBER(T24),T24,0)+IF(ISNUMBER(U24),U24,0))*G12+(IF(ISNUMBER(T25),T25,0)+IF(ISNUMBER(U25),U25,0))*G13)</f>
        <v>118.34940579710145</v>
      </c>
      <c r="G34" s="10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</row>
    <row r="35" spans="2:19" x14ac:dyDescent="0.2">
      <c r="B35" s="95"/>
      <c r="C35" s="103"/>
      <c r="D35" s="19" t="s">
        <v>27</v>
      </c>
      <c r="E35" s="19">
        <f>0.5*(2*1/2*(IF(ISNUMBER(T24),T24,0)+IF(ISNUMBER(U24),U24,0))+1*1/2*(IF(ISNUMBER(T24),T24,0)+IF(ISNUMBER(U24),U24,0)))</f>
        <v>90.75</v>
      </c>
      <c r="F35" s="103"/>
      <c r="G35" s="10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</row>
    <row r="36" spans="2:19" x14ac:dyDescent="0.2">
      <c r="B36" s="96"/>
      <c r="C36" s="104"/>
      <c r="D36" s="19" t="s">
        <v>28</v>
      </c>
      <c r="E36" s="19">
        <f>0.5*2*(IF(ISNUMBER(T25),T25,0)+IF(ISNUMBER(U25),U25,0))</f>
        <v>67</v>
      </c>
      <c r="F36" s="104"/>
      <c r="G36" s="10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</row>
    <row r="37" spans="2:19" x14ac:dyDescent="0.2"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1"/>
    </row>
    <row r="39" spans="2:19" x14ac:dyDescent="0.2">
      <c r="B39" t="s">
        <v>72</v>
      </c>
    </row>
  </sheetData>
  <mergeCells count="20">
    <mergeCell ref="I21:J21"/>
    <mergeCell ref="P21:Q21"/>
    <mergeCell ref="C27:D27"/>
    <mergeCell ref="F29:F30"/>
    <mergeCell ref="F31:F33"/>
    <mergeCell ref="H28:S36"/>
    <mergeCell ref="F16:G16"/>
    <mergeCell ref="C21:D21"/>
    <mergeCell ref="B29:B30"/>
    <mergeCell ref="B31:B33"/>
    <mergeCell ref="B34:B36"/>
    <mergeCell ref="C29:C30"/>
    <mergeCell ref="C31:C33"/>
    <mergeCell ref="C34:C36"/>
    <mergeCell ref="F34:F36"/>
    <mergeCell ref="B8:D8"/>
    <mergeCell ref="E8:G8"/>
    <mergeCell ref="O9:O14"/>
    <mergeCell ref="Q9:Q14"/>
    <mergeCell ref="P9:P14"/>
  </mergeCells>
  <phoneticPr fontId="2" type="noConversion"/>
  <dataValidations count="6">
    <dataValidation type="list" allowBlank="1" showInputMessage="1" showErrorMessage="1" sqref="N3:N5" xr:uid="{C3B2CF23-D4E5-41A0-9D2D-6CB8A1C28189}">
      <formula1>"0,15"</formula1>
    </dataValidation>
    <dataValidation type="list" allowBlank="1" showInputMessage="1" showErrorMessage="1" sqref="O3:O5" xr:uid="{6E27CD7B-3538-4AFB-856A-CCBB1F77122C}">
      <formula1>"0,7"</formula1>
    </dataValidation>
    <dataValidation type="list" allowBlank="1" showInputMessage="1" showErrorMessage="1" sqref="P3:P5" xr:uid="{15AAEB91-3DE9-4459-9ED7-DD0BA0D1D0EB}">
      <formula1>"0,4"</formula1>
    </dataValidation>
    <dataValidation type="list" allowBlank="1" showInputMessage="1" showErrorMessage="1" sqref="Q3:Q5" xr:uid="{F7A35882-EBDE-4FE2-BC9E-58B0A3513DCA}">
      <formula1>"0,5,9"</formula1>
    </dataValidation>
    <dataValidation type="list" allowBlank="1" showInputMessage="1" showErrorMessage="1" sqref="I3:I5" xr:uid="{90F9EC5B-31C3-4CD7-9EDC-AF0A3F97AE48}">
      <formula1>"0,5,7"</formula1>
    </dataValidation>
    <dataValidation type="whole" allowBlank="1" showInputMessage="1" showErrorMessage="1" sqref="D3:H4" xr:uid="{41DB7F87-B9E1-46DB-B434-323D8A6FAB74}">
      <formula1>0</formula1>
      <formula2>10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7601-7963-4EC1-A79D-50DD55830D0C}">
  <dimension ref="B1:X29"/>
  <sheetViews>
    <sheetView workbookViewId="0">
      <selection activeCell="K34" sqref="K34"/>
    </sheetView>
  </sheetViews>
  <sheetFormatPr defaultRowHeight="14.25" x14ac:dyDescent="0.2"/>
  <cols>
    <col min="2" max="2" width="10.125" customWidth="1"/>
    <col min="5" max="5" width="14" bestFit="1" customWidth="1"/>
    <col min="6" max="7" width="11.75" bestFit="1" customWidth="1"/>
    <col min="14" max="15" width="11.75" bestFit="1" customWidth="1"/>
  </cols>
  <sheetData>
    <row r="1" spans="2:24" x14ac:dyDescent="0.2">
      <c r="B1" s="107" t="s">
        <v>92</v>
      </c>
      <c r="C1" s="107"/>
      <c r="D1" s="107"/>
      <c r="E1" s="107"/>
      <c r="F1" s="107"/>
      <c r="G1" s="107"/>
      <c r="H1" s="107"/>
      <c r="I1" s="107"/>
      <c r="J1" s="107"/>
      <c r="K1" s="105" t="s">
        <v>104</v>
      </c>
      <c r="L1" s="105"/>
      <c r="M1" s="105"/>
      <c r="N1" s="105"/>
      <c r="O1" s="105"/>
      <c r="P1" s="105"/>
      <c r="Q1" s="105"/>
      <c r="R1" s="14"/>
      <c r="S1" s="108" t="s">
        <v>121</v>
      </c>
      <c r="T1" s="108"/>
      <c r="U1" s="108"/>
      <c r="V1" s="108"/>
      <c r="W1" s="108"/>
      <c r="X1" s="108"/>
    </row>
    <row r="2" spans="2:24" x14ac:dyDescent="0.2">
      <c r="B2" s="107" t="s">
        <v>93</v>
      </c>
      <c r="C2" s="107"/>
      <c r="D2" s="107"/>
      <c r="E2" s="107"/>
      <c r="F2" s="107"/>
      <c r="G2" s="107"/>
      <c r="H2" s="107"/>
      <c r="I2" s="107"/>
      <c r="J2" s="107"/>
      <c r="K2" s="105"/>
      <c r="L2" s="105"/>
      <c r="M2" s="105"/>
      <c r="N2" s="105"/>
      <c r="O2" s="105"/>
      <c r="P2" s="105"/>
      <c r="Q2" s="105"/>
      <c r="R2" s="14"/>
      <c r="S2" s="108" t="s">
        <v>122</v>
      </c>
      <c r="T2" s="108"/>
      <c r="U2" s="108"/>
      <c r="V2" s="108"/>
      <c r="W2" s="108"/>
      <c r="X2" s="108"/>
    </row>
    <row r="3" spans="2:24" x14ac:dyDescent="0.2">
      <c r="R3" s="14"/>
    </row>
    <row r="4" spans="2:24" x14ac:dyDescent="0.2">
      <c r="B4" t="s">
        <v>11</v>
      </c>
      <c r="K4" t="s">
        <v>123</v>
      </c>
      <c r="L4" s="109" t="s">
        <v>127</v>
      </c>
      <c r="M4" s="109"/>
      <c r="N4" s="109"/>
      <c r="O4" s="109"/>
      <c r="R4" s="14"/>
    </row>
    <row r="5" spans="2:24" x14ac:dyDescent="0.2">
      <c r="B5" s="7" t="s">
        <v>99</v>
      </c>
      <c r="C5" s="7" t="s">
        <v>94</v>
      </c>
      <c r="D5" s="7" t="s">
        <v>4</v>
      </c>
      <c r="E5" s="7" t="s">
        <v>5</v>
      </c>
      <c r="F5" s="7" t="s">
        <v>95</v>
      </c>
      <c r="G5" s="7" t="s">
        <v>77</v>
      </c>
      <c r="K5" s="7" t="s">
        <v>124</v>
      </c>
      <c r="L5" s="7" t="s">
        <v>125</v>
      </c>
      <c r="M5" s="7" t="s">
        <v>126</v>
      </c>
      <c r="N5" s="7" t="s">
        <v>132</v>
      </c>
      <c r="O5" s="7" t="s">
        <v>134</v>
      </c>
    </row>
    <row r="6" spans="2:24" x14ac:dyDescent="0.2">
      <c r="B6" s="7">
        <v>1</v>
      </c>
      <c r="C6" s="7" t="s">
        <v>96</v>
      </c>
      <c r="D6" s="7">
        <v>190</v>
      </c>
      <c r="E6" s="7"/>
      <c r="F6" s="7"/>
      <c r="G6" s="7">
        <f>IF(C6="非空母系",D6+4,INT(D6+E6+INT(F6*1.3)+3)*1.5+55)</f>
        <v>194</v>
      </c>
      <c r="K6" s="7">
        <v>79</v>
      </c>
      <c r="L6" s="47">
        <v>69</v>
      </c>
      <c r="M6" s="7">
        <v>69</v>
      </c>
      <c r="N6" s="7">
        <f>K6*1.3-0.6+L6</f>
        <v>171.10000000000002</v>
      </c>
      <c r="O6" s="7">
        <f>K6*1.3-0.6+L6*0.75</f>
        <v>153.85000000000002</v>
      </c>
    </row>
    <row r="7" spans="2:24" x14ac:dyDescent="0.2">
      <c r="B7" s="7">
        <v>2</v>
      </c>
      <c r="C7" s="7" t="s">
        <v>96</v>
      </c>
      <c r="D7" s="7">
        <v>174</v>
      </c>
      <c r="E7" s="7"/>
      <c r="F7" s="7"/>
      <c r="G7" s="7">
        <f t="shared" ref="G7:G9" si="0">IF(C7="非空母系",D7+4,INT(D7+E7+INT(F7*1.3)+3)*1.5+55)</f>
        <v>178</v>
      </c>
      <c r="L7" s="15"/>
    </row>
    <row r="8" spans="2:24" x14ac:dyDescent="0.2">
      <c r="B8" s="7">
        <v>3</v>
      </c>
      <c r="C8" s="7" t="s">
        <v>96</v>
      </c>
      <c r="D8" s="7">
        <v>145</v>
      </c>
      <c r="E8" s="7"/>
      <c r="F8" s="7"/>
      <c r="G8" s="7">
        <f t="shared" si="0"/>
        <v>149</v>
      </c>
      <c r="K8" t="s">
        <v>128</v>
      </c>
      <c r="L8" s="15"/>
    </row>
    <row r="9" spans="2:24" x14ac:dyDescent="0.2">
      <c r="B9" s="7">
        <v>4</v>
      </c>
      <c r="C9" s="7" t="s">
        <v>97</v>
      </c>
      <c r="D9" s="7">
        <v>70</v>
      </c>
      <c r="E9" s="7"/>
      <c r="F9" s="7">
        <v>13</v>
      </c>
      <c r="G9" s="7">
        <f t="shared" si="0"/>
        <v>188.5</v>
      </c>
      <c r="K9" s="7" t="s">
        <v>129</v>
      </c>
      <c r="L9" s="7" t="s">
        <v>131</v>
      </c>
      <c r="M9" s="7" t="s">
        <v>130</v>
      </c>
      <c r="N9" s="7" t="s">
        <v>135</v>
      </c>
    </row>
    <row r="10" spans="2:24" x14ac:dyDescent="0.2">
      <c r="B10" s="7">
        <v>5</v>
      </c>
      <c r="C10" s="7" t="s">
        <v>96</v>
      </c>
      <c r="D10" s="7">
        <v>92</v>
      </c>
      <c r="E10" s="7"/>
      <c r="F10" s="7">
        <v>0</v>
      </c>
      <c r="G10" s="7">
        <f t="shared" ref="G10:G11" si="1">IF(C10="非空母系",D10+4,INT(D10+E10+INT(F10*1.3)+3)*1.5+55)</f>
        <v>96</v>
      </c>
      <c r="K10" s="7">
        <v>1</v>
      </c>
      <c r="L10" s="7">
        <f>IF(E15-K6*1.3+0.6&gt;0,INT(E15-K6*1.3+0.6),TEXT(IF((K6*1.3-0.6-E15)/(K6*0.6-0.6)&gt;1,1,(K6*1.3-0.6-E15)/(K6*0.6-0.6)),"0%")&amp;"擦弹")</f>
        <v>52</v>
      </c>
      <c r="M10" s="7">
        <f>IF(E15-K6*0.7&gt;0,INT(E15-K6*0.7),"100%擦弹")</f>
        <v>99</v>
      </c>
      <c r="N10" s="7" t="str">
        <f>TEXT(IF(H24-M6&gt;96,97,IF(H24-M6&lt;0,0,H24-M6))/100,"0.0%")</f>
        <v>76.9%</v>
      </c>
    </row>
    <row r="11" spans="2:24" x14ac:dyDescent="0.2">
      <c r="B11" s="7">
        <v>6</v>
      </c>
      <c r="C11" s="7" t="s">
        <v>96</v>
      </c>
      <c r="D11" s="7">
        <v>94</v>
      </c>
      <c r="E11" s="7"/>
      <c r="F11" s="7">
        <v>0</v>
      </c>
      <c r="G11" s="7">
        <f t="shared" si="1"/>
        <v>98</v>
      </c>
      <c r="K11" s="7">
        <v>2</v>
      </c>
      <c r="L11" s="7">
        <f>IF(E16-K6*1.3+0.6&gt;0,INT(E16-K6*1.3+0.6),TEXT(IF((K6*1.3-0.6-E16)/(K6*0.6-0.6)&gt;1,1,(K6*1.3-0.6-E16)/(K6*0.6-0.6)),"0%")&amp;"擦弹")</f>
        <v>39</v>
      </c>
      <c r="M11" s="7">
        <f>IF(E16-K6*0.7&gt;0,INT(E16-K6*0.7),"100%擦弹")</f>
        <v>86</v>
      </c>
      <c r="N11" s="7" t="str">
        <f>TEXT(IF(H25-M6&gt;96,97,IF(H25-M6&lt;0,0,H25-M6))/100,"0.0%")</f>
        <v>0.0%</v>
      </c>
    </row>
    <row r="12" spans="2:24" x14ac:dyDescent="0.2">
      <c r="K12" s="7">
        <v>3</v>
      </c>
      <c r="L12" s="7">
        <f>IF(E17-K6*1.3+0.6&gt;0,INT(E17-K6*1.3+0.6),TEXT(IF((K6*1.3-0.6-E17)/(K6*0.6-0.6)&gt;1,1,(K6*1.3-0.6-E17)/(K6*0.6-0.6)),"0%")&amp;"擦弹")</f>
        <v>16</v>
      </c>
      <c r="M12" s="7">
        <f>IF(E17-K6*0.7&gt;0,INT(E17-K6*0.7),"100%擦弹")</f>
        <v>63</v>
      </c>
      <c r="N12" s="7" t="str">
        <f>TEXT(IF(H26-M6&gt;96,97,IF(H26-M6&lt;0,0,H26-M6))/100,"0.0%")</f>
        <v>0.0%</v>
      </c>
    </row>
    <row r="13" spans="2:24" x14ac:dyDescent="0.2">
      <c r="B13" t="s">
        <v>98</v>
      </c>
      <c r="K13" s="7">
        <v>4</v>
      </c>
      <c r="L13" s="7">
        <f>IF(E18-K6*1.3+0.6&gt;0,INT(E18-K6*1.3+0.6),TEXT(IF((K6*1.3-0.6-E18)/(K6*0.6-0.6)&gt;1,1,(K6*1.3-0.6-E18)/(K6*0.6-0.6)),"0%")&amp;"擦弹")</f>
        <v>47</v>
      </c>
      <c r="M13" s="7">
        <f>IF(E18-K6*0.7&gt;0,INT(E18-K6*0.7),"100%擦弹")</f>
        <v>94</v>
      </c>
      <c r="N13" s="7" t="str">
        <f>TEXT(IF(H27-M6&gt;96,97,IF(H27-M6&lt;0,0,H27-M6))/100,"0.0%")</f>
        <v>0.0%</v>
      </c>
    </row>
    <row r="14" spans="2:24" x14ac:dyDescent="0.2">
      <c r="B14" s="7" t="s">
        <v>99</v>
      </c>
      <c r="C14" s="7" t="s">
        <v>100</v>
      </c>
      <c r="D14" s="7" t="s">
        <v>101</v>
      </c>
      <c r="E14" s="7" t="s">
        <v>98</v>
      </c>
      <c r="K14" s="7">
        <v>5</v>
      </c>
      <c r="L14" s="7" t="str">
        <f>IF(E19-K6*1.3+0.6&gt;0,INT(E19-K6*1.3+0.6),TEXT(IF((K6*1.3-0.6-E19)/(K6*0.6-0.6)&gt;1,1,(K6*1.3-0.6-E19)/(K6*0.6-0.6)),"0%")&amp;"擦弹")</f>
        <v>56%擦弹</v>
      </c>
      <c r="M14" s="7">
        <f>IF(E19-K6*0.7&gt;0,INT(E19-K6*0.7),"100%擦弹")</f>
        <v>20</v>
      </c>
      <c r="N14" s="7" t="str">
        <f>TEXT(IF(H28-M6&gt;96,97,IF(H28-M6&lt;0,0,H28-M6))/100,"0.0%")</f>
        <v>0.0%</v>
      </c>
    </row>
    <row r="15" spans="2:24" x14ac:dyDescent="0.2">
      <c r="B15" s="7">
        <v>1</v>
      </c>
      <c r="C15" s="110" t="s">
        <v>133</v>
      </c>
      <c r="D15" s="106">
        <f>IF(C15="同航",1,IF(C15="反航",0.8,IF(C15="T有利",1.2,0.6)))</f>
        <v>0.8</v>
      </c>
      <c r="E15" s="48">
        <f>FLOOR(IF(G6&gt;170/D15,(170/D15+SQRT(G6-170/D15))*D15,G6*D15),1)</f>
        <v>155</v>
      </c>
      <c r="K15" s="7">
        <v>6</v>
      </c>
      <c r="L15" s="7" t="str">
        <f>IF(E20-K6*1.3+0.6&gt;0,INT(E20-K6*1.3+0.6),TEXT(IF((K6*1.3-0.6-E20)/(K6*0.6-0.6)&gt;1,1,(K6*1.3-0.6-E20)/(K6*0.6-0.6)),"0%")&amp;"擦弹")</f>
        <v>51%擦弹</v>
      </c>
      <c r="M15" s="7">
        <f>IF(E20-K6*0.7&gt;0,INT(E20-K6*0.7),"100%擦弹")</f>
        <v>22</v>
      </c>
      <c r="N15" s="7" t="str">
        <f>TEXT(IF(H29-M6&gt;96,97,IF(H29-M6&lt;0,0,H29-M6))/100,"0.0%")</f>
        <v>0.0%</v>
      </c>
    </row>
    <row r="16" spans="2:24" x14ac:dyDescent="0.2">
      <c r="B16" s="7">
        <v>2</v>
      </c>
      <c r="C16" s="110"/>
      <c r="D16" s="106"/>
      <c r="E16" s="48">
        <f>FLOOR(IF(G7&gt;170/D15,(170/D15+SQRT(G7-170/D15))*D15,G7*D15),1)</f>
        <v>142</v>
      </c>
    </row>
    <row r="17" spans="2:8" x14ac:dyDescent="0.2">
      <c r="B17" s="7">
        <v>3</v>
      </c>
      <c r="C17" s="110"/>
      <c r="D17" s="106"/>
      <c r="E17" s="48">
        <f>FLOOR(IF(G8&gt;170/D15,(170/D15+SQRT(G8-170/D15))*D15,G8*D15),1)</f>
        <v>119</v>
      </c>
    </row>
    <row r="18" spans="2:8" x14ac:dyDescent="0.2">
      <c r="B18" s="7">
        <v>4</v>
      </c>
      <c r="C18" s="110"/>
      <c r="D18" s="106"/>
      <c r="E18" s="48">
        <f>FLOOR(IF(G9&gt;170/D15,(170/D15+SQRT(G9-170/D15))*D15,G9*D15),1)</f>
        <v>150</v>
      </c>
    </row>
    <row r="19" spans="2:8" x14ac:dyDescent="0.2">
      <c r="B19" s="7">
        <v>5</v>
      </c>
      <c r="C19" s="110"/>
      <c r="D19" s="106"/>
      <c r="E19" s="48">
        <f>FLOOR(IF(G10&gt;170/D15,(170/D15+SQRT(G10-170/D15))*D15,G10*D15),1)</f>
        <v>76</v>
      </c>
    </row>
    <row r="20" spans="2:8" x14ac:dyDescent="0.2">
      <c r="B20" s="7">
        <v>6</v>
      </c>
      <c r="C20" s="110"/>
      <c r="D20" s="106"/>
      <c r="E20" s="48">
        <f>FLOOR(IF(G11&gt;170/D15,(170/D15+SQRT(G11-170/D15))*D15,G11*D15),1)</f>
        <v>78</v>
      </c>
    </row>
    <row r="22" spans="2:8" x14ac:dyDescent="0.2">
      <c r="B22" t="s">
        <v>102</v>
      </c>
    </row>
    <row r="23" spans="2:8" x14ac:dyDescent="0.2">
      <c r="B23" s="7" t="s">
        <v>99</v>
      </c>
      <c r="C23" s="7" t="s">
        <v>10</v>
      </c>
      <c r="D23" s="7" t="s">
        <v>0</v>
      </c>
      <c r="E23" s="7" t="s">
        <v>103</v>
      </c>
      <c r="F23" s="7" t="s">
        <v>105</v>
      </c>
      <c r="G23" s="7" t="s">
        <v>106</v>
      </c>
      <c r="H23" s="7" t="s">
        <v>107</v>
      </c>
    </row>
    <row r="24" spans="2:8" x14ac:dyDescent="0.2">
      <c r="B24" s="7">
        <v>1</v>
      </c>
      <c r="C24" s="7">
        <v>151</v>
      </c>
      <c r="D24" s="7">
        <v>18</v>
      </c>
      <c r="E24" s="7">
        <v>51</v>
      </c>
      <c r="F24" s="106">
        <v>1</v>
      </c>
      <c r="G24" s="106">
        <v>1</v>
      </c>
      <c r="H24" s="7">
        <f>(64+2*SQRT(C24)+1.5*SQRT(D24)+E24)*F24*G24</f>
        <v>145.94037248556793</v>
      </c>
    </row>
    <row r="25" spans="2:8" x14ac:dyDescent="0.2">
      <c r="B25" s="7">
        <v>2</v>
      </c>
      <c r="C25" s="7"/>
      <c r="D25" s="7"/>
      <c r="E25" s="7"/>
      <c r="F25" s="106"/>
      <c r="G25" s="106"/>
      <c r="H25" s="7">
        <f>(64+2*SQRT(C25)+1.5*SQRT(D25)+E25)*F24*G24</f>
        <v>64</v>
      </c>
    </row>
    <row r="26" spans="2:8" x14ac:dyDescent="0.2">
      <c r="B26" s="7">
        <v>3</v>
      </c>
      <c r="C26" s="7"/>
      <c r="D26" s="7"/>
      <c r="E26" s="7"/>
      <c r="F26" s="106"/>
      <c r="G26" s="106"/>
      <c r="H26" s="7">
        <f>(64+2*SQRT(C26)+1.5*SQRT(D26)+E26)*F24*G24</f>
        <v>64</v>
      </c>
    </row>
    <row r="27" spans="2:8" x14ac:dyDescent="0.2">
      <c r="B27" s="7">
        <v>4</v>
      </c>
      <c r="C27" s="7"/>
      <c r="D27" s="7"/>
      <c r="E27" s="7"/>
      <c r="F27" s="106"/>
      <c r="G27" s="106"/>
      <c r="H27" s="7">
        <f>(64+2*SQRT(C27)+1.5*SQRT(D27)+E27)*F24*G24</f>
        <v>64</v>
      </c>
    </row>
    <row r="28" spans="2:8" x14ac:dyDescent="0.2">
      <c r="B28" s="7">
        <v>5</v>
      </c>
      <c r="C28" s="7"/>
      <c r="D28" s="7"/>
      <c r="E28" s="7"/>
      <c r="F28" s="106"/>
      <c r="G28" s="106"/>
      <c r="H28" s="7">
        <f>(64+2*SQRT(C28)+1.5*SQRT(D28)+E28)*F24*G24</f>
        <v>64</v>
      </c>
    </row>
    <row r="29" spans="2:8" x14ac:dyDescent="0.2">
      <c r="B29" s="7">
        <v>6</v>
      </c>
      <c r="C29" s="7"/>
      <c r="D29" s="7"/>
      <c r="E29" s="7"/>
      <c r="F29" s="106"/>
      <c r="G29" s="106"/>
      <c r="H29" s="7">
        <f>(64+2*SQRT(C29)+1.5*SQRT(D29)+E29)*F24*G24</f>
        <v>64</v>
      </c>
    </row>
  </sheetData>
  <mergeCells count="10">
    <mergeCell ref="S1:X1"/>
    <mergeCell ref="S2:X2"/>
    <mergeCell ref="L4:O4"/>
    <mergeCell ref="C15:C20"/>
    <mergeCell ref="D15:D20"/>
    <mergeCell ref="F24:F29"/>
    <mergeCell ref="G24:G29"/>
    <mergeCell ref="K1:Q2"/>
    <mergeCell ref="B1:J1"/>
    <mergeCell ref="B2:J2"/>
  </mergeCells>
  <phoneticPr fontId="2" type="noConversion"/>
  <dataValidations count="3">
    <dataValidation type="list" allowBlank="1" showInputMessage="1" showErrorMessage="1" sqref="C6:C11" xr:uid="{D1792081-283C-4F63-AA43-11A744F0B937}">
      <formula1>"非空母系,空母系"</formula1>
    </dataValidation>
    <dataValidation type="list" allowBlank="1" showInputMessage="1" showErrorMessage="1" sqref="C15:C20" xr:uid="{F0CA1883-F385-4022-BD86-E3CB70F5E135}">
      <formula1>"同航,反航,T有利,T不利"</formula1>
    </dataValidation>
    <dataValidation type="list" allowBlank="1" showInputMessage="1" showErrorMessage="1" sqref="F24:G29" xr:uid="{1C9778E4-7CA6-4926-8BAA-3AFB8FD8731A}">
      <formula1>"1.0,1.2"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3EE5-D47F-4DCF-99DD-E1C07819FE4B}">
  <dimension ref="B2:N12"/>
  <sheetViews>
    <sheetView tabSelected="1" workbookViewId="0">
      <selection activeCell="J4" sqref="J4"/>
    </sheetView>
  </sheetViews>
  <sheetFormatPr defaultRowHeight="14.25" x14ac:dyDescent="0.2"/>
  <cols>
    <col min="2" max="2" width="13.25" bestFit="1" customWidth="1"/>
    <col min="3" max="3" width="11.75" bestFit="1" customWidth="1"/>
    <col min="4" max="4" width="10.375" bestFit="1" customWidth="1"/>
    <col min="5" max="5" width="10.375" customWidth="1"/>
    <col min="6" max="7" width="11.75" bestFit="1" customWidth="1"/>
    <col min="8" max="8" width="14" bestFit="1" customWidth="1"/>
    <col min="9" max="10" width="11.75" bestFit="1" customWidth="1"/>
  </cols>
  <sheetData>
    <row r="2" spans="2:14" x14ac:dyDescent="0.2">
      <c r="B2" t="s">
        <v>77</v>
      </c>
      <c r="C2" s="111" t="s">
        <v>76</v>
      </c>
      <c r="D2" s="111"/>
      <c r="E2" s="111"/>
      <c r="F2" s="111"/>
      <c r="G2" s="111"/>
      <c r="H2" s="111"/>
      <c r="I2" s="111"/>
      <c r="J2" s="111"/>
    </row>
    <row r="3" spans="2:14" x14ac:dyDescent="0.2">
      <c r="B3" s="7" t="s">
        <v>73</v>
      </c>
      <c r="C3" s="7" t="s">
        <v>74</v>
      </c>
      <c r="D3" s="7" t="s">
        <v>78</v>
      </c>
      <c r="E3" s="7" t="s">
        <v>79</v>
      </c>
      <c r="F3" s="7" t="s">
        <v>82</v>
      </c>
      <c r="G3" s="7" t="s">
        <v>83</v>
      </c>
      <c r="H3" s="7" t="s">
        <v>80</v>
      </c>
      <c r="I3" s="7" t="s">
        <v>81</v>
      </c>
      <c r="J3" s="7" t="s">
        <v>77</v>
      </c>
    </row>
    <row r="4" spans="2:14" x14ac:dyDescent="0.2">
      <c r="B4" s="7" t="s">
        <v>230</v>
      </c>
      <c r="C4" s="13">
        <f>IF(B4="陆攻",0.8,IF(OR(B4="舰载机",B4="重爆"),1,1/SQRT(2)))</f>
        <v>1</v>
      </c>
      <c r="D4" s="67">
        <v>17</v>
      </c>
      <c r="E4" s="7">
        <v>1</v>
      </c>
      <c r="F4" s="13">
        <f>IF(B4="重爆",1,1.8)</f>
        <v>1</v>
      </c>
      <c r="G4" s="68">
        <v>16</v>
      </c>
      <c r="H4" s="7">
        <v>1.1499999999999999</v>
      </c>
      <c r="I4" s="7">
        <v>1</v>
      </c>
      <c r="J4" s="7">
        <f>INT(C4*((D4*H4+IF(OR(B4="陆攻",B4="重爆"),0.7*SQRT(E4),IF(B4="舰载机",0.2*E4,0)))*SQRT(F4*G4)+25))</f>
        <v>106</v>
      </c>
    </row>
    <row r="6" spans="2:14" x14ac:dyDescent="0.2">
      <c r="B6" t="s">
        <v>84</v>
      </c>
      <c r="C6" s="108" t="s">
        <v>75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</row>
    <row r="7" spans="2:14" x14ac:dyDescent="0.2">
      <c r="B7" s="7" t="s">
        <v>85</v>
      </c>
      <c r="C7" s="7" t="s">
        <v>86</v>
      </c>
      <c r="D7" s="7" t="s">
        <v>87</v>
      </c>
      <c r="E7" s="7" t="s">
        <v>88</v>
      </c>
      <c r="F7" s="7" t="s">
        <v>89</v>
      </c>
      <c r="G7" s="7" t="s">
        <v>90</v>
      </c>
      <c r="H7" s="7" t="s">
        <v>84</v>
      </c>
    </row>
    <row r="8" spans="2:14" x14ac:dyDescent="0.2">
      <c r="B8" s="7">
        <v>1</v>
      </c>
      <c r="C8" s="7">
        <v>1.2</v>
      </c>
      <c r="D8" s="7">
        <v>1</v>
      </c>
      <c r="E8" s="7">
        <f>IF(B4="陆攻",1.8,1)</f>
        <v>1</v>
      </c>
      <c r="F8" s="7">
        <v>1</v>
      </c>
      <c r="G8" s="7">
        <v>1</v>
      </c>
      <c r="H8" s="7">
        <f>IF(INT(J4*B8*C8)*D8*E8*F8*G8&gt;170,170+SQRT(INT(J4*B8*C8)*D8*E8*F8*G8),INT(J4*B8*C8)*D8*E8*F8*G8)</f>
        <v>127</v>
      </c>
    </row>
    <row r="10" spans="2:14" x14ac:dyDescent="0.2">
      <c r="B10" t="s">
        <v>227</v>
      </c>
    </row>
    <row r="11" spans="2:14" x14ac:dyDescent="0.2">
      <c r="B11" s="7" t="s">
        <v>228</v>
      </c>
      <c r="C11" s="69"/>
    </row>
    <row r="12" spans="2:14" x14ac:dyDescent="0.2">
      <c r="B12" s="7" t="s">
        <v>229</v>
      </c>
      <c r="C12" s="23"/>
    </row>
  </sheetData>
  <dataConsolidate/>
  <mergeCells count="2">
    <mergeCell ref="C2:J2"/>
    <mergeCell ref="C6:N6"/>
  </mergeCells>
  <phoneticPr fontId="2" type="noConversion"/>
  <dataValidations count="11">
    <dataValidation type="list" allowBlank="1" showInputMessage="1" showErrorMessage="1" sqref="B4" xr:uid="{7AC709BA-F903-4F92-B836-633CFBB6A084}">
      <formula1>"陆攻,舰载机,重爆,喷气机"</formula1>
    </dataValidation>
    <dataValidation showInputMessage="1" showErrorMessage="1" sqref="C4" xr:uid="{F5DBD9B2-0C36-46DF-BDA5-798462486736}"/>
    <dataValidation type="list" allowBlank="1" showInputMessage="1" showErrorMessage="1" sqref="H4" xr:uid="{CBAAEC79-B084-4707-AAF9-208B9F112C7F}">
      <formula1>"1,1.1,1.15,1.16,1.35"</formula1>
    </dataValidation>
    <dataValidation type="whole" allowBlank="1" showInputMessage="1" showErrorMessage="1" sqref="E4" xr:uid="{8C56B144-23F3-41DA-8D40-25BDB2249137}">
      <formula1>0</formula1>
      <formula2>10</formula2>
    </dataValidation>
    <dataValidation type="whole" allowBlank="1" showInputMessage="1" showErrorMessage="1" sqref="G4" xr:uid="{C2FB788B-0798-43FB-8326-E116F31D5702}">
      <formula1>0</formula1>
      <formula2>18</formula2>
    </dataValidation>
    <dataValidation type="list" allowBlank="1" showInputMessage="1" showErrorMessage="1" sqref="I4" xr:uid="{EB61437A-20D6-4BF0-98B1-FFD5DA71F6A7}">
      <formula1>"1,1.3,1.6,1.75,1.9"</formula1>
    </dataValidation>
    <dataValidation type="list" allowBlank="1" showInputMessage="1" showErrorMessage="1" sqref="B8" xr:uid="{7702209C-0FAB-4E2F-999C-793D03D5F37D}">
      <formula1>"1,1.5"</formula1>
    </dataValidation>
    <dataValidation type="decimal" allowBlank="1" showInputMessage="1" showErrorMessage="1" sqref="C8" xr:uid="{8E4FE5EF-C718-4DE9-8F54-D07A5670002D}">
      <formula1>1</formula1>
      <formula2>1.2</formula2>
    </dataValidation>
    <dataValidation type="list" allowBlank="1" showInputMessage="1" showErrorMessage="1" sqref="D8" xr:uid="{77016B06-FC12-4702-8416-2FC7072ECD29}">
      <formula1>"1,1.12,1.17,1.2"</formula1>
    </dataValidation>
    <dataValidation type="list" allowBlank="1" showInputMessage="1" showErrorMessage="1" sqref="F8" xr:uid="{F2E8DA12-F29A-4400-A085-368CEE4E9629}">
      <formula1>"1,1.12,1.15"</formula1>
    </dataValidation>
    <dataValidation type="list" allowBlank="1" showInputMessage="1" showErrorMessage="1" sqref="G8" xr:uid="{88E7CBEC-ABEA-4E2C-8F89-41506FA4B542}">
      <formula1>"1,1.1"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6452-7C54-495C-9BE8-88B62C30DFF1}">
  <dimension ref="A1:R71"/>
  <sheetViews>
    <sheetView topLeftCell="B1" workbookViewId="0">
      <selection activeCell="L23" sqref="L23"/>
    </sheetView>
  </sheetViews>
  <sheetFormatPr defaultRowHeight="14.25" x14ac:dyDescent="0.2"/>
  <cols>
    <col min="1" max="1" width="14" bestFit="1" customWidth="1"/>
    <col min="2" max="2" width="31.875" bestFit="1" customWidth="1"/>
    <col min="3" max="6" width="9.625" bestFit="1" customWidth="1"/>
    <col min="7" max="7" width="13.875" customWidth="1"/>
    <col min="8" max="8" width="20.625" bestFit="1" customWidth="1"/>
    <col min="10" max="10" width="36.125" customWidth="1"/>
    <col min="11" max="11" width="30.625" customWidth="1"/>
    <col min="12" max="12" width="10.375" customWidth="1"/>
    <col min="13" max="13" width="15.375" customWidth="1"/>
    <col min="14" max="15" width="17" customWidth="1"/>
  </cols>
  <sheetData>
    <row r="1" spans="1:18" ht="15" customHeight="1" x14ac:dyDescent="0.2">
      <c r="A1" s="110" t="s">
        <v>136</v>
      </c>
      <c r="B1" s="110" t="s">
        <v>138</v>
      </c>
      <c r="C1" s="110" t="s">
        <v>139</v>
      </c>
      <c r="D1" s="110" t="s">
        <v>141</v>
      </c>
      <c r="E1" s="110" t="s">
        <v>142</v>
      </c>
      <c r="F1" s="110" t="s">
        <v>143</v>
      </c>
      <c r="G1" s="129" t="s">
        <v>144</v>
      </c>
      <c r="H1" s="110" t="s">
        <v>145</v>
      </c>
      <c r="I1" s="136" t="s">
        <v>218</v>
      </c>
      <c r="J1" s="136"/>
      <c r="K1" s="136"/>
      <c r="L1" s="136" t="s">
        <v>180</v>
      </c>
      <c r="M1" s="136"/>
      <c r="N1" s="136"/>
      <c r="O1" s="136"/>
      <c r="P1" s="136"/>
      <c r="Q1" s="60"/>
      <c r="R1" s="60"/>
    </row>
    <row r="2" spans="1:18" x14ac:dyDescent="0.2">
      <c r="A2" s="110"/>
      <c r="B2" s="110"/>
      <c r="C2" s="110"/>
      <c r="D2" s="110"/>
      <c r="E2" s="110"/>
      <c r="F2" s="110"/>
      <c r="G2" s="129"/>
      <c r="H2" s="110"/>
      <c r="I2" s="136"/>
      <c r="J2" s="136"/>
      <c r="K2" s="136"/>
      <c r="L2" s="136"/>
      <c r="M2" s="136"/>
      <c r="N2" s="136"/>
      <c r="O2" s="136"/>
      <c r="P2" s="136"/>
      <c r="Q2" s="60"/>
    </row>
    <row r="3" spans="1:18" x14ac:dyDescent="0.2">
      <c r="A3" s="110"/>
      <c r="B3" s="110"/>
      <c r="C3" s="110"/>
      <c r="D3" s="110"/>
      <c r="E3" s="110"/>
      <c r="F3" s="110"/>
      <c r="G3" s="129"/>
      <c r="H3" s="110"/>
      <c r="I3" s="136"/>
      <c r="J3" s="136"/>
      <c r="K3" s="136"/>
      <c r="L3" s="136"/>
      <c r="M3" s="136"/>
      <c r="N3" s="136"/>
      <c r="O3" s="136"/>
      <c r="P3" s="136"/>
    </row>
    <row r="4" spans="1:18" x14ac:dyDescent="0.2">
      <c r="A4" s="110"/>
      <c r="B4" s="110"/>
      <c r="C4" s="110"/>
      <c r="D4" s="110"/>
      <c r="E4" s="110"/>
      <c r="F4" s="110"/>
      <c r="G4" s="129"/>
      <c r="H4" s="110"/>
      <c r="I4" s="136"/>
      <c r="J4" s="136"/>
      <c r="K4" s="136"/>
      <c r="L4" s="136"/>
      <c r="M4" s="136"/>
      <c r="N4" s="136"/>
      <c r="O4" s="136"/>
      <c r="P4" s="136"/>
    </row>
    <row r="5" spans="1:18" x14ac:dyDescent="0.2">
      <c r="A5" s="110"/>
      <c r="B5" s="110"/>
      <c r="C5" s="110"/>
      <c r="D5" s="110"/>
      <c r="E5" s="110"/>
      <c r="F5" s="110"/>
      <c r="G5" s="129"/>
      <c r="H5" s="110"/>
      <c r="I5" s="136"/>
      <c r="J5" s="136"/>
      <c r="K5" s="136"/>
      <c r="L5" s="136"/>
      <c r="M5" s="136"/>
      <c r="N5" s="136"/>
      <c r="O5" s="136"/>
      <c r="P5" s="136"/>
    </row>
    <row r="6" spans="1:18" x14ac:dyDescent="0.2">
      <c r="A6" s="110"/>
      <c r="B6" s="110"/>
      <c r="C6" s="110"/>
      <c r="D6" s="110"/>
      <c r="E6" s="110"/>
      <c r="F6" s="110"/>
      <c r="G6" s="129"/>
      <c r="H6" s="110"/>
      <c r="I6" s="136"/>
      <c r="J6" s="136"/>
      <c r="K6" s="136"/>
      <c r="L6" s="136"/>
      <c r="M6" s="136"/>
      <c r="N6" s="136"/>
      <c r="O6" s="136"/>
      <c r="P6" s="136"/>
    </row>
    <row r="7" spans="1:18" x14ac:dyDescent="0.2">
      <c r="A7" s="110"/>
      <c r="B7" s="110"/>
      <c r="C7" s="110"/>
      <c r="D7" s="121" t="s">
        <v>146</v>
      </c>
      <c r="E7" s="121"/>
      <c r="F7" s="121"/>
      <c r="G7" s="121"/>
      <c r="H7" s="49" t="s">
        <v>147</v>
      </c>
      <c r="I7" s="136"/>
      <c r="J7" s="136"/>
      <c r="K7" s="136"/>
      <c r="L7" s="136"/>
      <c r="M7" s="136"/>
      <c r="N7" s="136"/>
      <c r="O7" s="136"/>
      <c r="P7" s="136"/>
    </row>
    <row r="8" spans="1:18" x14ac:dyDescent="0.2">
      <c r="A8" s="110" t="s">
        <v>137</v>
      </c>
      <c r="B8" s="51" t="s">
        <v>140</v>
      </c>
      <c r="C8" s="54" t="s">
        <v>159</v>
      </c>
      <c r="D8" s="56">
        <v>1.8</v>
      </c>
      <c r="E8" s="56">
        <v>1.8</v>
      </c>
      <c r="F8" s="56">
        <v>1.7</v>
      </c>
      <c r="G8" s="56">
        <v>1.4</v>
      </c>
      <c r="H8" s="57">
        <v>1.7</v>
      </c>
      <c r="J8" t="s">
        <v>164</v>
      </c>
    </row>
    <row r="9" spans="1:18" x14ac:dyDescent="0.2">
      <c r="A9" s="110"/>
      <c r="B9" s="51" t="s">
        <v>148</v>
      </c>
      <c r="C9" s="54" t="s">
        <v>160</v>
      </c>
      <c r="D9" s="56">
        <v>1</v>
      </c>
      <c r="E9" s="56">
        <v>1</v>
      </c>
      <c r="F9" s="56">
        <v>1</v>
      </c>
      <c r="G9" s="56">
        <v>1</v>
      </c>
      <c r="H9" s="57">
        <v>1</v>
      </c>
      <c r="J9" s="7" t="s">
        <v>165</v>
      </c>
      <c r="K9" s="7" t="s">
        <v>166</v>
      </c>
      <c r="L9" s="7" t="s">
        <v>167</v>
      </c>
      <c r="M9" s="7" t="s">
        <v>168</v>
      </c>
    </row>
    <row r="10" spans="1:18" x14ac:dyDescent="0.2">
      <c r="A10" s="110"/>
      <c r="B10" s="51" t="s">
        <v>149</v>
      </c>
      <c r="C10" s="54" t="s">
        <v>160</v>
      </c>
      <c r="D10" s="56">
        <v>1.1499999999999999</v>
      </c>
      <c r="E10" s="56">
        <v>1.1499999999999999</v>
      </c>
      <c r="F10" s="56">
        <v>1.2</v>
      </c>
      <c r="G10" s="56">
        <v>1.1499999999999999</v>
      </c>
      <c r="H10" s="57">
        <v>1.2</v>
      </c>
      <c r="J10" s="130" t="s">
        <v>169</v>
      </c>
      <c r="K10" s="133" t="s">
        <v>160</v>
      </c>
      <c r="L10" s="126">
        <v>1.8</v>
      </c>
      <c r="M10" s="126">
        <v>25</v>
      </c>
    </row>
    <row r="11" spans="1:18" x14ac:dyDescent="0.2">
      <c r="A11" s="110"/>
      <c r="B11" s="122" t="s">
        <v>174</v>
      </c>
      <c r="C11" s="54" t="s">
        <v>159</v>
      </c>
      <c r="D11" s="56">
        <v>1.5</v>
      </c>
      <c r="E11" s="56">
        <v>1.2</v>
      </c>
      <c r="F11" s="56">
        <v>1.6</v>
      </c>
      <c r="G11" s="56">
        <v>1.5</v>
      </c>
      <c r="H11" s="57" t="s">
        <v>161</v>
      </c>
      <c r="J11" s="131"/>
      <c r="K11" s="134"/>
      <c r="L11" s="127"/>
      <c r="M11" s="127"/>
    </row>
    <row r="12" spans="1:18" x14ac:dyDescent="0.2">
      <c r="A12" s="110"/>
      <c r="B12" s="122"/>
      <c r="C12" s="52" t="s">
        <v>158</v>
      </c>
      <c r="D12" s="56">
        <v>2.1</v>
      </c>
      <c r="E12" s="56">
        <v>1.68</v>
      </c>
      <c r="F12" s="56">
        <v>2.4</v>
      </c>
      <c r="G12" s="56">
        <v>1.95</v>
      </c>
      <c r="H12" s="57" t="s">
        <v>162</v>
      </c>
      <c r="J12" s="132"/>
      <c r="K12" s="135"/>
      <c r="L12" s="128"/>
      <c r="M12" s="128"/>
    </row>
    <row r="13" spans="1:18" x14ac:dyDescent="0.2">
      <c r="A13" s="110"/>
      <c r="B13" s="122" t="s">
        <v>150</v>
      </c>
      <c r="C13" s="54" t="s">
        <v>159</v>
      </c>
      <c r="D13" s="56">
        <v>1</v>
      </c>
      <c r="E13" s="56">
        <v>1</v>
      </c>
      <c r="F13" s="56">
        <v>1</v>
      </c>
      <c r="G13" s="56">
        <v>1</v>
      </c>
      <c r="H13" s="57">
        <v>1</v>
      </c>
      <c r="J13" s="53" t="s">
        <v>151</v>
      </c>
      <c r="K13" s="50" t="s">
        <v>160</v>
      </c>
      <c r="L13" s="58">
        <v>1.3</v>
      </c>
      <c r="M13" s="58">
        <v>42</v>
      </c>
    </row>
    <row r="14" spans="1:18" x14ac:dyDescent="0.2">
      <c r="A14" s="110"/>
      <c r="B14" s="122"/>
      <c r="C14" s="52" t="s">
        <v>158</v>
      </c>
      <c r="D14" s="56">
        <v>1</v>
      </c>
      <c r="E14" s="56">
        <v>1</v>
      </c>
      <c r="F14" s="56">
        <v>1</v>
      </c>
      <c r="G14" s="56">
        <v>1</v>
      </c>
      <c r="H14" s="57">
        <v>1</v>
      </c>
      <c r="J14" s="7" t="s">
        <v>156</v>
      </c>
      <c r="K14" s="50" t="s">
        <v>160</v>
      </c>
      <c r="L14" s="55">
        <v>1.4</v>
      </c>
      <c r="M14" s="55">
        <v>35</v>
      </c>
    </row>
    <row r="15" spans="1:18" x14ac:dyDescent="0.2">
      <c r="A15" s="110"/>
      <c r="B15" s="122" t="s">
        <v>151</v>
      </c>
      <c r="C15" s="54" t="s">
        <v>159</v>
      </c>
      <c r="D15" s="56">
        <v>1.5</v>
      </c>
      <c r="E15" s="56">
        <v>1.2</v>
      </c>
      <c r="F15" s="56">
        <v>1.6</v>
      </c>
      <c r="G15" s="56">
        <v>1.5</v>
      </c>
      <c r="H15" s="57" t="s">
        <v>161</v>
      </c>
    </row>
    <row r="16" spans="1:18" x14ac:dyDescent="0.2">
      <c r="A16" s="110"/>
      <c r="B16" s="122"/>
      <c r="C16" s="52" t="s">
        <v>158</v>
      </c>
      <c r="D16" s="56">
        <v>2.1</v>
      </c>
      <c r="E16" s="56">
        <v>1.68</v>
      </c>
      <c r="F16" s="56">
        <v>2.4</v>
      </c>
      <c r="G16" s="56">
        <v>1.95</v>
      </c>
      <c r="H16" s="57" t="s">
        <v>162</v>
      </c>
      <c r="J16" t="s">
        <v>219</v>
      </c>
      <c r="N16" t="s">
        <v>170</v>
      </c>
    </row>
    <row r="17" spans="1:16" x14ac:dyDescent="0.2">
      <c r="A17" s="110"/>
      <c r="B17" s="122" t="s">
        <v>152</v>
      </c>
      <c r="C17" s="54" t="s">
        <v>159</v>
      </c>
      <c r="D17" s="56">
        <v>1.5</v>
      </c>
      <c r="E17" s="56">
        <v>1.2</v>
      </c>
      <c r="F17" s="56">
        <v>1.6</v>
      </c>
      <c r="G17" s="56">
        <v>1.5</v>
      </c>
      <c r="H17" s="57" t="s">
        <v>161</v>
      </c>
      <c r="J17" s="61" t="s">
        <v>171</v>
      </c>
      <c r="K17" s="7" t="s">
        <v>154</v>
      </c>
      <c r="N17" s="7" t="s">
        <v>181</v>
      </c>
      <c r="O17" s="7" t="s">
        <v>182</v>
      </c>
      <c r="P17" s="7" t="s">
        <v>183</v>
      </c>
    </row>
    <row r="18" spans="1:16" x14ac:dyDescent="0.2">
      <c r="A18" s="110"/>
      <c r="B18" s="122"/>
      <c r="C18" s="52" t="s">
        <v>158</v>
      </c>
      <c r="D18" s="56">
        <v>2.1</v>
      </c>
      <c r="E18" s="56">
        <v>1.68</v>
      </c>
      <c r="F18" s="56">
        <v>2.4</v>
      </c>
      <c r="G18" s="56">
        <v>1.95</v>
      </c>
      <c r="H18" s="57" t="s">
        <v>162</v>
      </c>
      <c r="J18" s="61" t="s">
        <v>172</v>
      </c>
      <c r="K18" s="7" t="s">
        <v>155</v>
      </c>
      <c r="N18" s="118" t="s">
        <v>184</v>
      </c>
      <c r="O18" s="112">
        <v>1.2</v>
      </c>
      <c r="P18" s="112">
        <v>10</v>
      </c>
    </row>
    <row r="19" spans="1:16" x14ac:dyDescent="0.2">
      <c r="A19" s="110"/>
      <c r="B19" s="122" t="s">
        <v>153</v>
      </c>
      <c r="C19" s="54" t="s">
        <v>159</v>
      </c>
      <c r="D19" s="56">
        <v>1</v>
      </c>
      <c r="E19" s="56">
        <v>1</v>
      </c>
      <c r="F19" s="56">
        <v>1</v>
      </c>
      <c r="G19" s="56">
        <v>1</v>
      </c>
      <c r="H19" s="57">
        <v>1</v>
      </c>
      <c r="J19" s="123" t="s">
        <v>173</v>
      </c>
      <c r="K19" s="7" t="s">
        <v>148</v>
      </c>
      <c r="N19" s="119"/>
      <c r="O19" s="113"/>
      <c r="P19" s="113"/>
    </row>
    <row r="20" spans="1:16" x14ac:dyDescent="0.2">
      <c r="A20" s="110"/>
      <c r="B20" s="122"/>
      <c r="C20" s="52" t="s">
        <v>158</v>
      </c>
      <c r="D20" s="56">
        <v>1</v>
      </c>
      <c r="E20" s="56">
        <v>1</v>
      </c>
      <c r="F20" s="56">
        <v>1</v>
      </c>
      <c r="G20" s="56">
        <v>1</v>
      </c>
      <c r="H20" s="57">
        <v>1</v>
      </c>
      <c r="J20" s="124"/>
      <c r="K20" s="7" t="s">
        <v>149</v>
      </c>
      <c r="L20" s="59"/>
      <c r="N20" s="120"/>
      <c r="O20" s="114"/>
      <c r="P20" s="114"/>
    </row>
    <row r="21" spans="1:16" x14ac:dyDescent="0.2">
      <c r="A21" s="110"/>
      <c r="B21" s="122" t="s">
        <v>221</v>
      </c>
      <c r="C21" s="54" t="s">
        <v>159</v>
      </c>
      <c r="D21" s="56">
        <v>1.3</v>
      </c>
      <c r="E21" s="56">
        <v>1.3</v>
      </c>
      <c r="F21" s="56">
        <v>1.5</v>
      </c>
      <c r="G21" s="56">
        <v>1.1000000000000001</v>
      </c>
      <c r="H21" s="57">
        <v>1.5</v>
      </c>
      <c r="J21" s="124"/>
      <c r="K21" s="7" t="s">
        <v>179</v>
      </c>
      <c r="L21" s="59"/>
      <c r="N21" s="118" t="s">
        <v>186</v>
      </c>
      <c r="O21" s="115" t="s">
        <v>187</v>
      </c>
      <c r="P21" s="112" t="s">
        <v>188</v>
      </c>
    </row>
    <row r="22" spans="1:16" x14ac:dyDescent="0.2">
      <c r="A22" s="110"/>
      <c r="B22" s="122"/>
      <c r="C22" s="52" t="s">
        <v>158</v>
      </c>
      <c r="D22" s="56">
        <v>1.56</v>
      </c>
      <c r="E22" s="56">
        <v>1.43</v>
      </c>
      <c r="F22" s="56">
        <v>1.65</v>
      </c>
      <c r="G22" s="56">
        <v>1.21</v>
      </c>
      <c r="H22" s="57">
        <v>1.65</v>
      </c>
      <c r="J22" s="124"/>
      <c r="K22" s="7" t="s">
        <v>152</v>
      </c>
      <c r="N22" s="119"/>
      <c r="O22" s="116"/>
      <c r="P22" s="113"/>
    </row>
    <row r="23" spans="1:16" x14ac:dyDescent="0.2">
      <c r="A23" s="110"/>
      <c r="B23" s="122" t="s">
        <v>222</v>
      </c>
      <c r="C23" s="54" t="s">
        <v>159</v>
      </c>
      <c r="D23" s="56">
        <v>1.3</v>
      </c>
      <c r="E23" s="56">
        <v>1.3</v>
      </c>
      <c r="F23" s="56">
        <v>1.5</v>
      </c>
      <c r="G23" s="56">
        <v>1.1000000000000001</v>
      </c>
      <c r="H23" s="57">
        <v>1.5</v>
      </c>
      <c r="J23" s="125"/>
      <c r="K23" s="7" t="s">
        <v>151</v>
      </c>
      <c r="N23" s="119"/>
      <c r="O23" s="116"/>
      <c r="P23" s="113"/>
    </row>
    <row r="24" spans="1:16" x14ac:dyDescent="0.2">
      <c r="A24" s="110"/>
      <c r="B24" s="122"/>
      <c r="C24" s="52" t="s">
        <v>158</v>
      </c>
      <c r="D24" s="56">
        <v>1.56</v>
      </c>
      <c r="E24" s="56">
        <v>1.43</v>
      </c>
      <c r="F24" s="56">
        <v>1.65</v>
      </c>
      <c r="G24" s="56">
        <v>1.21</v>
      </c>
      <c r="H24" s="57">
        <v>1.65</v>
      </c>
      <c r="J24" s="123" t="s">
        <v>175</v>
      </c>
      <c r="K24" s="7" t="s">
        <v>150</v>
      </c>
      <c r="N24" s="120"/>
      <c r="O24" s="117"/>
      <c r="P24" s="114"/>
    </row>
    <row r="25" spans="1:16" x14ac:dyDescent="0.2">
      <c r="A25" s="110"/>
      <c r="B25" s="7" t="s">
        <v>156</v>
      </c>
      <c r="C25" s="54" t="s">
        <v>159</v>
      </c>
      <c r="D25" s="56">
        <v>2</v>
      </c>
      <c r="E25" s="56">
        <v>1.8</v>
      </c>
      <c r="F25" s="56">
        <v>2</v>
      </c>
      <c r="G25" s="56">
        <v>1.1000000000000001</v>
      </c>
      <c r="H25" s="57">
        <v>1.2</v>
      </c>
      <c r="J25" s="124"/>
      <c r="K25" s="7" t="s">
        <v>153</v>
      </c>
      <c r="N25" s="118" t="s">
        <v>185</v>
      </c>
      <c r="O25" s="112" t="s">
        <v>189</v>
      </c>
      <c r="P25" s="112" t="s">
        <v>190</v>
      </c>
    </row>
    <row r="26" spans="1:16" x14ac:dyDescent="0.2">
      <c r="A26" s="110"/>
      <c r="B26" s="51" t="s">
        <v>157</v>
      </c>
      <c r="C26" s="54" t="s">
        <v>160</v>
      </c>
      <c r="D26" s="121" t="s">
        <v>163</v>
      </c>
      <c r="E26" s="121"/>
      <c r="F26" s="121"/>
      <c r="G26" s="121"/>
      <c r="H26" s="121"/>
      <c r="J26" s="125"/>
      <c r="K26" s="7" t="s">
        <v>176</v>
      </c>
      <c r="N26" s="119"/>
      <c r="O26" s="113"/>
      <c r="P26" s="113"/>
    </row>
    <row r="27" spans="1:16" x14ac:dyDescent="0.2">
      <c r="A27" s="110" t="s">
        <v>177</v>
      </c>
      <c r="B27" s="122" t="s">
        <v>176</v>
      </c>
      <c r="C27" s="54" t="s">
        <v>159</v>
      </c>
      <c r="D27" s="56">
        <v>2.4</v>
      </c>
      <c r="E27" s="56">
        <v>2.4</v>
      </c>
      <c r="F27" s="56">
        <v>2.8</v>
      </c>
      <c r="G27" s="56">
        <v>1.5</v>
      </c>
      <c r="H27" s="57">
        <v>1.7</v>
      </c>
      <c r="N27" s="119"/>
      <c r="O27" s="113"/>
      <c r="P27" s="113"/>
    </row>
    <row r="28" spans="1:16" x14ac:dyDescent="0.2">
      <c r="A28" s="110"/>
      <c r="B28" s="122"/>
      <c r="C28" s="54" t="s">
        <v>160</v>
      </c>
      <c r="D28" s="56">
        <v>3.24</v>
      </c>
      <c r="E28" s="56">
        <v>3.24</v>
      </c>
      <c r="F28" s="56">
        <v>4.2</v>
      </c>
      <c r="G28" s="56">
        <v>1.8</v>
      </c>
      <c r="H28" s="57">
        <v>2.5499999999999998</v>
      </c>
      <c r="J28" t="s">
        <v>209</v>
      </c>
      <c r="N28" s="120"/>
      <c r="O28" s="114"/>
      <c r="P28" s="114"/>
    </row>
    <row r="29" spans="1:16" x14ac:dyDescent="0.2">
      <c r="A29" s="110"/>
      <c r="B29" s="51" t="s">
        <v>157</v>
      </c>
      <c r="C29" s="54" t="s">
        <v>160</v>
      </c>
      <c r="D29" s="121" t="s">
        <v>178</v>
      </c>
      <c r="E29" s="121"/>
      <c r="F29" s="121"/>
      <c r="G29" s="121"/>
      <c r="H29" s="121"/>
      <c r="J29" s="7" t="s">
        <v>94</v>
      </c>
      <c r="K29" s="7" t="s">
        <v>210</v>
      </c>
      <c r="L29" s="7" t="s">
        <v>212</v>
      </c>
      <c r="N29" s="118" t="s">
        <v>211</v>
      </c>
      <c r="O29" s="112" t="s">
        <v>191</v>
      </c>
      <c r="P29" s="112" t="s">
        <v>192</v>
      </c>
    </row>
    <row r="30" spans="1:16" x14ac:dyDescent="0.2">
      <c r="A30" s="110" t="s">
        <v>198</v>
      </c>
      <c r="B30" s="122" t="s">
        <v>197</v>
      </c>
      <c r="C30" s="54" t="s">
        <v>159</v>
      </c>
      <c r="D30" s="56">
        <v>1.6</v>
      </c>
      <c r="E30" s="56">
        <v>1.4</v>
      </c>
      <c r="F30" s="56">
        <v>1.4</v>
      </c>
      <c r="G30" s="56">
        <v>1.3</v>
      </c>
      <c r="H30" s="57">
        <v>1.25</v>
      </c>
      <c r="J30" s="7" t="s">
        <v>213</v>
      </c>
      <c r="K30" s="7" t="s">
        <v>141</v>
      </c>
      <c r="L30" s="7" t="s">
        <v>214</v>
      </c>
      <c r="N30" s="119"/>
      <c r="O30" s="113"/>
      <c r="P30" s="113"/>
    </row>
    <row r="31" spans="1:16" x14ac:dyDescent="0.2">
      <c r="A31" s="110"/>
      <c r="B31" s="122"/>
      <c r="C31" s="52" t="s">
        <v>158</v>
      </c>
      <c r="D31" s="56">
        <v>2.72</v>
      </c>
      <c r="E31" s="56">
        <v>2.1</v>
      </c>
      <c r="F31" s="56">
        <v>1.68</v>
      </c>
      <c r="G31" s="56">
        <v>1.82</v>
      </c>
      <c r="H31" s="57">
        <v>1.625</v>
      </c>
      <c r="J31" s="7" t="s">
        <v>215</v>
      </c>
      <c r="K31" s="7" t="s">
        <v>216</v>
      </c>
      <c r="L31" s="62" t="s">
        <v>217</v>
      </c>
      <c r="N31" s="120"/>
      <c r="O31" s="114"/>
      <c r="P31" s="114"/>
    </row>
    <row r="32" spans="1:16" x14ac:dyDescent="0.2">
      <c r="A32" s="110"/>
      <c r="B32" s="122" t="s">
        <v>196</v>
      </c>
      <c r="C32" s="54" t="s">
        <v>159</v>
      </c>
      <c r="D32" s="56">
        <v>1.5</v>
      </c>
      <c r="E32" s="56">
        <v>1.3</v>
      </c>
      <c r="F32" s="56">
        <v>1.25</v>
      </c>
      <c r="G32" s="56">
        <v>1.25</v>
      </c>
      <c r="H32" s="57">
        <v>1.2</v>
      </c>
    </row>
    <row r="33" spans="1:14" x14ac:dyDescent="0.2">
      <c r="A33" s="110"/>
      <c r="B33" s="122"/>
      <c r="C33" s="52" t="s">
        <v>158</v>
      </c>
      <c r="D33" s="56">
        <v>2.7</v>
      </c>
      <c r="E33" s="56">
        <v>2.145</v>
      </c>
      <c r="F33" s="56">
        <v>1.75</v>
      </c>
      <c r="G33" s="56">
        <v>1.875</v>
      </c>
      <c r="H33" s="57">
        <v>1.68</v>
      </c>
      <c r="J33" t="s">
        <v>204</v>
      </c>
    </row>
    <row r="34" spans="1:14" x14ac:dyDescent="0.2">
      <c r="A34" s="110"/>
      <c r="B34" s="122" t="s">
        <v>199</v>
      </c>
      <c r="C34" s="54" t="s">
        <v>159</v>
      </c>
      <c r="D34" s="56">
        <v>1.3</v>
      </c>
      <c r="E34" s="56">
        <v>1.2</v>
      </c>
      <c r="F34" s="56">
        <v>1.1000000000000001</v>
      </c>
      <c r="G34" s="56">
        <v>1.2</v>
      </c>
      <c r="H34" s="57">
        <v>1.1499999999999999</v>
      </c>
      <c r="J34" s="122" t="s">
        <v>165</v>
      </c>
      <c r="K34" s="121" t="s">
        <v>166</v>
      </c>
      <c r="L34" s="121"/>
      <c r="M34" s="121"/>
      <c r="N34" s="121"/>
    </row>
    <row r="35" spans="1:14" x14ac:dyDescent="0.2">
      <c r="A35" s="110"/>
      <c r="B35" s="122"/>
      <c r="C35" s="52" t="s">
        <v>158</v>
      </c>
      <c r="D35" s="56">
        <v>1.95</v>
      </c>
      <c r="E35" s="56">
        <v>1.68</v>
      </c>
      <c r="F35" s="56">
        <v>1.2649999999999999</v>
      </c>
      <c r="G35" s="56">
        <v>1.56</v>
      </c>
      <c r="H35" s="57">
        <v>1.38</v>
      </c>
      <c r="J35" s="122"/>
      <c r="K35" s="52">
        <v>1</v>
      </c>
      <c r="L35" s="52">
        <v>2</v>
      </c>
      <c r="M35" s="52">
        <v>3</v>
      </c>
      <c r="N35" s="52">
        <v>4</v>
      </c>
    </row>
    <row r="36" spans="1:14" x14ac:dyDescent="0.2">
      <c r="A36" s="110" t="s">
        <v>193</v>
      </c>
      <c r="B36" s="7" t="s">
        <v>194</v>
      </c>
      <c r="C36" s="54" t="s">
        <v>160</v>
      </c>
      <c r="D36" s="56">
        <v>1.85</v>
      </c>
      <c r="E36" s="56">
        <v>1</v>
      </c>
      <c r="F36" s="56">
        <v>1.3</v>
      </c>
      <c r="G36" s="56">
        <v>1</v>
      </c>
      <c r="H36" s="57">
        <v>1</v>
      </c>
      <c r="J36" s="7" t="s">
        <v>197</v>
      </c>
      <c r="K36" s="7">
        <v>75</v>
      </c>
      <c r="L36" s="7">
        <v>110</v>
      </c>
      <c r="M36" s="7">
        <v>140</v>
      </c>
      <c r="N36" s="7">
        <v>160</v>
      </c>
    </row>
    <row r="37" spans="1:14" x14ac:dyDescent="0.2">
      <c r="A37" s="110"/>
      <c r="B37" s="7" t="s">
        <v>195</v>
      </c>
      <c r="C37" s="54" t="s">
        <v>160</v>
      </c>
      <c r="D37" s="56">
        <v>1</v>
      </c>
      <c r="E37" s="56">
        <v>1.75</v>
      </c>
      <c r="F37" s="56">
        <v>1.75</v>
      </c>
      <c r="G37" s="56">
        <v>2.5</v>
      </c>
      <c r="H37" s="57">
        <v>1</v>
      </c>
      <c r="J37" s="7" t="s">
        <v>205</v>
      </c>
      <c r="K37" s="7">
        <v>55</v>
      </c>
      <c r="L37" s="7">
        <v>115</v>
      </c>
      <c r="M37" s="7">
        <v>160</v>
      </c>
      <c r="N37" s="7">
        <v>190</v>
      </c>
    </row>
    <row r="38" spans="1:14" x14ac:dyDescent="0.2">
      <c r="A38" s="49" t="s">
        <v>200</v>
      </c>
      <c r="B38" s="7" t="s">
        <v>201</v>
      </c>
      <c r="C38" s="54" t="s">
        <v>160</v>
      </c>
      <c r="D38" s="56">
        <v>1.5</v>
      </c>
      <c r="E38" s="56">
        <v>1</v>
      </c>
      <c r="F38" s="56">
        <v>1.3</v>
      </c>
      <c r="G38" s="56">
        <v>1.2</v>
      </c>
      <c r="H38" s="57">
        <v>1</v>
      </c>
      <c r="J38" s="7" t="s">
        <v>206</v>
      </c>
      <c r="K38" s="7">
        <v>80</v>
      </c>
      <c r="L38" s="7">
        <v>170</v>
      </c>
      <c r="M38" s="7">
        <v>230</v>
      </c>
      <c r="N38" s="7">
        <v>260</v>
      </c>
    </row>
    <row r="39" spans="1:14" x14ac:dyDescent="0.2">
      <c r="A39" s="110" t="s">
        <v>202</v>
      </c>
      <c r="B39" s="122" t="s">
        <v>203</v>
      </c>
      <c r="C39" s="54" t="s">
        <v>159</v>
      </c>
      <c r="D39" s="56">
        <v>1.5</v>
      </c>
      <c r="E39" s="56">
        <v>1.4</v>
      </c>
      <c r="F39" s="56">
        <v>1.3</v>
      </c>
      <c r="G39" s="56">
        <v>1</v>
      </c>
      <c r="H39" s="57">
        <v>1</v>
      </c>
      <c r="J39" s="7" t="s">
        <v>207</v>
      </c>
      <c r="K39" s="7">
        <v>30</v>
      </c>
      <c r="L39" s="7">
        <v>55</v>
      </c>
      <c r="M39" s="7">
        <v>75</v>
      </c>
      <c r="N39" s="7">
        <v>90</v>
      </c>
    </row>
    <row r="40" spans="1:14" x14ac:dyDescent="0.2">
      <c r="A40" s="110"/>
      <c r="B40" s="122"/>
      <c r="C40" s="52" t="s">
        <v>158</v>
      </c>
      <c r="D40" s="56">
        <v>3</v>
      </c>
      <c r="E40" s="56">
        <v>2.4500000000000002</v>
      </c>
      <c r="F40" s="56">
        <v>1.56</v>
      </c>
      <c r="G40" s="56">
        <v>1</v>
      </c>
      <c r="H40" s="57">
        <v>1</v>
      </c>
      <c r="J40" s="7" t="s">
        <v>208</v>
      </c>
      <c r="K40" s="7">
        <v>60</v>
      </c>
      <c r="L40" s="7">
        <v>110</v>
      </c>
      <c r="M40" s="7">
        <v>150</v>
      </c>
      <c r="N40" s="7">
        <v>180</v>
      </c>
    </row>
    <row r="52" ht="15" customHeight="1" x14ac:dyDescent="0.2"/>
    <row r="60" ht="15" customHeight="1" x14ac:dyDescent="0.2"/>
    <row r="63" ht="15" customHeight="1" x14ac:dyDescent="0.2"/>
    <row r="67" ht="15" customHeight="1" x14ac:dyDescent="0.2"/>
    <row r="71" ht="15" customHeight="1" x14ac:dyDescent="0.2"/>
  </sheetData>
  <mergeCells count="50">
    <mergeCell ref="A1:A7"/>
    <mergeCell ref="B1:B7"/>
    <mergeCell ref="C1:C7"/>
    <mergeCell ref="I1:K7"/>
    <mergeCell ref="L1:P7"/>
    <mergeCell ref="L10:L12"/>
    <mergeCell ref="M10:M12"/>
    <mergeCell ref="G1:G6"/>
    <mergeCell ref="D1:D6"/>
    <mergeCell ref="E1:E6"/>
    <mergeCell ref="F1:F6"/>
    <mergeCell ref="J10:J12"/>
    <mergeCell ref="K10:K12"/>
    <mergeCell ref="H1:H6"/>
    <mergeCell ref="D7:G7"/>
    <mergeCell ref="B39:B40"/>
    <mergeCell ref="A39:A40"/>
    <mergeCell ref="D29:H29"/>
    <mergeCell ref="B23:B24"/>
    <mergeCell ref="D26:H26"/>
    <mergeCell ref="A8:A26"/>
    <mergeCell ref="B27:B28"/>
    <mergeCell ref="A27:A29"/>
    <mergeCell ref="A36:A37"/>
    <mergeCell ref="B17:B18"/>
    <mergeCell ref="B19:B20"/>
    <mergeCell ref="B21:B22"/>
    <mergeCell ref="B13:B14"/>
    <mergeCell ref="B15:B16"/>
    <mergeCell ref="B11:B12"/>
    <mergeCell ref="P29:P31"/>
    <mergeCell ref="O29:O31"/>
    <mergeCell ref="B30:B31"/>
    <mergeCell ref="B32:B33"/>
    <mergeCell ref="A30:A35"/>
    <mergeCell ref="B34:B35"/>
    <mergeCell ref="N29:N31"/>
    <mergeCell ref="N21:N24"/>
    <mergeCell ref="O18:O20"/>
    <mergeCell ref="K34:N34"/>
    <mergeCell ref="J34:J35"/>
    <mergeCell ref="J24:J26"/>
    <mergeCell ref="J19:J23"/>
    <mergeCell ref="N25:N28"/>
    <mergeCell ref="N18:N20"/>
    <mergeCell ref="P18:P20"/>
    <mergeCell ref="P21:P24"/>
    <mergeCell ref="P25:P28"/>
    <mergeCell ref="O25:O28"/>
    <mergeCell ref="O21:O2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15BF-CB03-468D-BA28-C82FF63B2159}">
  <dimension ref="B1:T18"/>
  <sheetViews>
    <sheetView workbookViewId="0">
      <selection activeCell="D12" sqref="D12"/>
    </sheetView>
  </sheetViews>
  <sheetFormatPr defaultRowHeight="14.25" x14ac:dyDescent="0.2"/>
  <cols>
    <col min="2" max="2" width="31.875" bestFit="1" customWidth="1"/>
    <col min="3" max="3" width="10.625" bestFit="1" customWidth="1"/>
    <col min="4" max="6" width="9.625" bestFit="1" customWidth="1"/>
    <col min="7" max="7" width="14.625" customWidth="1"/>
    <col min="8" max="8" width="12.125" bestFit="1" customWidth="1"/>
    <col min="10" max="11" width="10.625" bestFit="1" customWidth="1"/>
  </cols>
  <sheetData>
    <row r="1" spans="2:20" x14ac:dyDescent="0.2">
      <c r="B1" s="7" t="s">
        <v>4</v>
      </c>
      <c r="T1" s="65"/>
    </row>
    <row r="2" spans="2:20" x14ac:dyDescent="0.2">
      <c r="B2" s="7">
        <v>80</v>
      </c>
    </row>
    <row r="4" spans="2:20" x14ac:dyDescent="0.2">
      <c r="B4" s="110" t="s">
        <v>225</v>
      </c>
      <c r="C4" s="110"/>
      <c r="D4" s="110" t="s">
        <v>141</v>
      </c>
      <c r="E4" s="110" t="s">
        <v>142</v>
      </c>
      <c r="F4" s="110" t="s">
        <v>143</v>
      </c>
      <c r="G4" s="129" t="s">
        <v>144</v>
      </c>
      <c r="H4" s="110" t="s">
        <v>145</v>
      </c>
      <c r="I4" s="110"/>
      <c r="J4" s="110"/>
    </row>
    <row r="5" spans="2:20" x14ac:dyDescent="0.2">
      <c r="B5" s="110"/>
      <c r="C5" s="110"/>
      <c r="D5" s="110"/>
      <c r="E5" s="110"/>
      <c r="F5" s="110"/>
      <c r="G5" s="129"/>
      <c r="H5" s="110"/>
      <c r="I5" s="110"/>
      <c r="J5" s="110"/>
    </row>
    <row r="6" spans="2:20" x14ac:dyDescent="0.2">
      <c r="B6" s="110"/>
      <c r="C6" s="110"/>
      <c r="D6" s="110"/>
      <c r="E6" s="110"/>
      <c r="F6" s="110"/>
      <c r="G6" s="129"/>
      <c r="H6" s="110"/>
      <c r="I6" s="110"/>
      <c r="J6" s="110"/>
    </row>
    <row r="7" spans="2:20" x14ac:dyDescent="0.2">
      <c r="B7" s="110"/>
      <c r="C7" s="110"/>
      <c r="D7" s="110"/>
      <c r="E7" s="110"/>
      <c r="F7" s="110"/>
      <c r="G7" s="129"/>
      <c r="H7" s="110"/>
      <c r="I7" s="110"/>
      <c r="J7" s="110"/>
    </row>
    <row r="8" spans="2:20" x14ac:dyDescent="0.2">
      <c r="B8" s="110"/>
      <c r="C8" s="110"/>
      <c r="D8" s="110"/>
      <c r="E8" s="110"/>
      <c r="F8" s="110"/>
      <c r="G8" s="129"/>
      <c r="H8" s="110"/>
      <c r="I8" s="110"/>
      <c r="J8" s="110"/>
    </row>
    <row r="9" spans="2:20" x14ac:dyDescent="0.2">
      <c r="B9" s="110"/>
      <c r="C9" s="110"/>
      <c r="D9" s="110"/>
      <c r="E9" s="110"/>
      <c r="F9" s="110"/>
      <c r="G9" s="129"/>
      <c r="H9" s="110"/>
      <c r="I9" s="110"/>
      <c r="J9" s="110"/>
    </row>
    <row r="10" spans="2:20" x14ac:dyDescent="0.2">
      <c r="B10" s="110"/>
      <c r="C10" s="110"/>
      <c r="D10" s="110"/>
      <c r="E10" s="110"/>
      <c r="F10" s="110"/>
      <c r="G10" s="129"/>
      <c r="H10" s="110"/>
      <c r="I10" s="110"/>
      <c r="J10" s="110"/>
    </row>
    <row r="11" spans="2:20" x14ac:dyDescent="0.2">
      <c r="B11" s="49" t="s">
        <v>220</v>
      </c>
      <c r="C11" s="49" t="s">
        <v>139</v>
      </c>
      <c r="D11" s="121" t="s">
        <v>223</v>
      </c>
      <c r="E11" s="121"/>
      <c r="F11" s="121"/>
      <c r="G11" s="121"/>
      <c r="H11" s="42" t="s">
        <v>224</v>
      </c>
      <c r="I11" s="63" t="s">
        <v>79</v>
      </c>
      <c r="J11" s="63" t="s">
        <v>157</v>
      </c>
    </row>
    <row r="12" spans="2:20" x14ac:dyDescent="0.2">
      <c r="B12" s="64" t="s">
        <v>174</v>
      </c>
      <c r="C12" s="7">
        <v>1</v>
      </c>
      <c r="D12" s="7">
        <f>IF(C12&gt;1,对陆装备倍率表!D12,IF(对陆计算器!C12=1,对陆装备倍率表!D11,1))</f>
        <v>1.5</v>
      </c>
      <c r="E12" s="7">
        <f>IF(C12&gt;1,对陆装备倍率表!E12,IF(对陆计算器!C12=1,对陆装备倍率表!E11,1))</f>
        <v>1.2</v>
      </c>
      <c r="F12" s="7">
        <f>IF(C12&gt;1,对陆装备倍率表!F12,IF(对陆计算器!C12=1,对陆装备倍率表!F11,1))</f>
        <v>1.6</v>
      </c>
      <c r="G12" s="7">
        <f>IF(C12&gt;1,对陆装备倍率表!G12,IF(对陆计算器!C12=1,对陆装备倍率表!G11,1))</f>
        <v>1.5</v>
      </c>
      <c r="H12" s="7"/>
      <c r="I12" s="7">
        <v>10</v>
      </c>
      <c r="J12" s="112">
        <f>1+(SUM(对陆计算器!I12:I18)/SUM(对陆计算器!C12:C18)/50)</f>
        <v>1.2</v>
      </c>
    </row>
    <row r="13" spans="2:20" x14ac:dyDescent="0.2">
      <c r="B13" s="53" t="s">
        <v>150</v>
      </c>
      <c r="C13" s="7">
        <v>0</v>
      </c>
      <c r="D13" s="7"/>
      <c r="E13" s="7"/>
      <c r="F13" s="7"/>
      <c r="G13" s="7"/>
      <c r="H13" s="7"/>
      <c r="I13" s="7"/>
      <c r="J13" s="113"/>
    </row>
    <row r="14" spans="2:20" x14ac:dyDescent="0.2">
      <c r="B14" s="53" t="s">
        <v>152</v>
      </c>
      <c r="C14" s="7">
        <v>0</v>
      </c>
      <c r="D14" s="7"/>
      <c r="E14" s="7"/>
      <c r="F14" s="7"/>
      <c r="G14" s="7"/>
      <c r="H14" s="7"/>
      <c r="I14" s="7"/>
      <c r="J14" s="113"/>
    </row>
    <row r="15" spans="2:20" x14ac:dyDescent="0.2">
      <c r="B15" s="53" t="s">
        <v>153</v>
      </c>
      <c r="C15" s="7">
        <v>0</v>
      </c>
      <c r="D15" s="7"/>
      <c r="E15" s="7"/>
      <c r="F15" s="7"/>
      <c r="G15" s="7"/>
      <c r="H15" s="7"/>
      <c r="I15" s="7"/>
      <c r="J15" s="113"/>
    </row>
    <row r="16" spans="2:20" x14ac:dyDescent="0.2">
      <c r="B16" s="53" t="s">
        <v>154</v>
      </c>
      <c r="C16" s="7">
        <v>0</v>
      </c>
      <c r="D16" s="7"/>
      <c r="E16" s="7"/>
      <c r="F16" s="7"/>
      <c r="G16" s="7"/>
      <c r="H16" s="7"/>
      <c r="I16" s="7"/>
      <c r="J16" s="113"/>
    </row>
    <row r="17" spans="2:10" x14ac:dyDescent="0.2">
      <c r="B17" s="53" t="s">
        <v>155</v>
      </c>
      <c r="C17" s="7">
        <v>1</v>
      </c>
      <c r="D17" s="7"/>
      <c r="E17" s="7"/>
      <c r="F17" s="7"/>
      <c r="G17" s="7"/>
      <c r="H17" s="7"/>
      <c r="I17" s="7">
        <v>10</v>
      </c>
      <c r="J17" s="113"/>
    </row>
    <row r="18" spans="2:10" x14ac:dyDescent="0.2">
      <c r="B18" s="7" t="s">
        <v>156</v>
      </c>
      <c r="C18" s="7">
        <v>0</v>
      </c>
      <c r="D18" s="7"/>
      <c r="E18" s="7"/>
      <c r="F18" s="7"/>
      <c r="G18" s="7"/>
      <c r="H18" s="7"/>
      <c r="I18" s="7"/>
      <c r="J18" s="114"/>
    </row>
  </sheetData>
  <mergeCells count="8">
    <mergeCell ref="H4:J10"/>
    <mergeCell ref="J12:J18"/>
    <mergeCell ref="B4:C10"/>
    <mergeCell ref="D4:D10"/>
    <mergeCell ref="E4:E10"/>
    <mergeCell ref="F4:F10"/>
    <mergeCell ref="G4:G10"/>
    <mergeCell ref="D11:G11"/>
  </mergeCells>
  <phoneticPr fontId="16" type="noConversion"/>
  <dataValidations count="1">
    <dataValidation type="list" allowBlank="1" showInputMessage="1" showErrorMessage="1" sqref="C12:C18" xr:uid="{7E03B431-A268-4B81-925F-7984CDF16327}">
      <formula1>"0,1,2,3,4,5"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驱逐夜战ci发动率</vt:lpstr>
      <vt:lpstr>驱逐夜战ci计算器</vt:lpstr>
      <vt:lpstr>炮击支援计算器</vt:lpstr>
      <vt:lpstr>陆基攻击力计算器</vt:lpstr>
      <vt:lpstr>对陆装备倍率表</vt:lpstr>
      <vt:lpstr>对陆计算器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Liben</dc:creator>
  <cp:lastModifiedBy>Secary M</cp:lastModifiedBy>
  <dcterms:created xsi:type="dcterms:W3CDTF">2022-10-28T03:29:29Z</dcterms:created>
  <dcterms:modified xsi:type="dcterms:W3CDTF">2023-12-26T12:35:15Z</dcterms:modified>
</cp:coreProperties>
</file>