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\Project\"/>
    </mc:Choice>
  </mc:AlternateContent>
  <xr:revisionPtr revIDLastSave="0" documentId="13_ncr:1_{74A617E6-C69A-4E50-85EE-C3BE262AA2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12" r:id="rId1"/>
    <sheet name="Syllabus" sheetId="7" r:id="rId2"/>
    <sheet name="ScheduleDetail" sheetId="11" r:id="rId3"/>
    <sheet name="DV-IDENTITY-0" sheetId="10" state="veryHidden" r:id="rId4"/>
  </sheets>
  <definedNames>
    <definedName name="_xlnm._FilterDatabase" localSheetId="0" hidden="1">#REF!</definedName>
    <definedName name="_xlnm._FilterDatabase" localSheetId="2" hidden="1">ScheduleDetail!$A$1:$I$2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1" l="1"/>
  <c r="G54" i="11"/>
  <c r="G48" i="11"/>
  <c r="G42" i="11"/>
  <c r="G36" i="11"/>
  <c r="G66" i="11" l="1"/>
  <c r="G30" i="11"/>
  <c r="G24" i="11"/>
  <c r="G18" i="11"/>
  <c r="G12" i="11"/>
  <c r="G4" i="11"/>
  <c r="G9" i="11"/>
  <c r="A1" i="11" l="1"/>
  <c r="A1" i="10" l="1"/>
  <c r="G76" i="11"/>
  <c r="G74" i="11"/>
  <c r="G73" i="11"/>
  <c r="G72" i="1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G75" i="11"/>
  <c r="CC1" i="10"/>
  <c r="A5" i="10" l="1"/>
  <c r="G77" i="11"/>
  <c r="H72" i="11" s="1"/>
  <c r="H74" i="11" l="1"/>
  <c r="DM1" i="10" s="1"/>
  <c r="H73" i="11"/>
  <c r="DE1" i="10" s="1"/>
  <c r="H75" i="11"/>
  <c r="H76" i="11"/>
  <c r="CW1" i="10"/>
  <c r="EC1" i="10" l="1"/>
  <c r="DU1" i="10"/>
  <c r="H7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B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giá trị số vào cột A, C
- Điền text vào cột B</t>
        </r>
      </text>
    </comment>
  </commentList>
</comments>
</file>

<file path=xl/sharedStrings.xml><?xml version="1.0" encoding="utf-8"?>
<sst xmlns="http://schemas.openxmlformats.org/spreadsheetml/2006/main" count="406" uniqueCount="131">
  <si>
    <t>Topic Name</t>
  </si>
  <si>
    <t>Topic Code</t>
  </si>
  <si>
    <t>Version</t>
  </si>
  <si>
    <t>Concept/Lecture</t>
  </si>
  <si>
    <t>Guides/Review</t>
  </si>
  <si>
    <t>Assessment Scheme</t>
  </si>
  <si>
    <t>Others</t>
  </si>
  <si>
    <t>Training Unit/Chapter</t>
  </si>
  <si>
    <t>Day</t>
  </si>
  <si>
    <t>Content</t>
  </si>
  <si>
    <t>Learning Objectives</t>
  </si>
  <si>
    <t>Delivery Type</t>
  </si>
  <si>
    <t>Training Format</t>
  </si>
  <si>
    <t>Training Materials / Logistics &amp; General Notes
(Required, For Reference, etc.)</t>
  </si>
  <si>
    <t>Offline</t>
  </si>
  <si>
    <t>Total</t>
  </si>
  <si>
    <t>AAAAAH/rVCM=</t>
  </si>
  <si>
    <t>AAAAAH/rVCQ=</t>
  </si>
  <si>
    <t>AAAAAH/rVCU=</t>
  </si>
  <si>
    <t>Technical Group</t>
  </si>
  <si>
    <t>Seminar/Workshop</t>
  </si>
  <si>
    <t>Class Meeting</t>
  </si>
  <si>
    <t>Duration (mins)</t>
  </si>
  <si>
    <t>Document Code</t>
  </si>
  <si>
    <t>26e-BM/HR/HDCV/FSOFT</t>
  </si>
  <si>
    <t>1.2</t>
  </si>
  <si>
    <t>Effective Date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</si>
  <si>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</si>
  <si>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</si>
  <si>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</si>
  <si>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</si>
  <si>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</si>
  <si>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</si>
  <si>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</si>
  <si>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</si>
  <si>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</si>
  <si>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</si>
  <si>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</si>
  <si>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</si>
  <si>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</si>
  <si>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</si>
  <si>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</si>
  <si>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</si>
  <si>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</si>
  <si>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</si>
  <si>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</si>
  <si>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</si>
  <si>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</si>
  <si>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</si>
  <si>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</si>
  <si>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</si>
  <si>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</si>
  <si>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</si>
  <si>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</si>
  <si>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</si>
  <si>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</si>
  <si>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</si>
  <si>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</si>
  <si>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</si>
  <si>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</si>
  <si>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</si>
  <si>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</si>
  <si>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</si>
  <si>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</si>
  <si>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</si>
  <si>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</si>
  <si>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</si>
  <si>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</si>
  <si>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</si>
  <si>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</si>
  <si>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</si>
  <si>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</si>
  <si>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</si>
  <si>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</si>
  <si>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</si>
  <si>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Daily scrum</t>
  </si>
  <si>
    <t>Trainer/Mentor guide solutions &amp; resolve issues if need</t>
  </si>
  <si>
    <t>Implementation: build the product increment</t>
  </si>
  <si>
    <t>Product Increment</t>
  </si>
  <si>
    <t>Standard minutes 1 day (7hours)</t>
  </si>
  <si>
    <t>TRAINING MOCK SYLLABUS</t>
  </si>
  <si>
    <t>24/03/2022</t>
  </si>
  <si>
    <t>FRESHER JAVA</t>
  </si>
  <si>
    <t>&lt;Capstone Project Syllabus&gt;</t>
  </si>
  <si>
    <t>Capstone Project FU KS</t>
  </si>
  <si>
    <t>CPFU-KS</t>
  </si>
  <si>
    <t>Project
Introduction</t>
  </si>
  <si>
    <t>Kick off project meeting</t>
  </si>
  <si>
    <t>Discussing in order to choose the subject of the project.</t>
  </si>
  <si>
    <t>Project Plan</t>
  </si>
  <si>
    <t>Trainer review and support</t>
  </si>
  <si>
    <t>Define project plan, project scope, risk, deliveriables, responsibility Assignments</t>
  </si>
  <si>
    <t>Overall
Requirement
Description</t>
  </si>
  <si>
    <t>Define Software Requirement Specification</t>
  </si>
  <si>
    <t>Overall
Software
Design
Description</t>
  </si>
  <si>
    <t>Design ERD, Class Diagram, Sequence Diagram</t>
  </si>
  <si>
    <t>Due: end of week 1 (Initiation)
Output: Report 1 - Project Introduction</t>
  </si>
  <si>
    <t>Due: end of week 2 (Plan &amp; Requirement)
Output: Report 2 - Software Project Management Plan (SPMP)</t>
  </si>
  <si>
    <r>
      <rPr>
        <b/>
        <sz val="10"/>
        <rFont val="Arial"/>
        <family val="2"/>
      </rPr>
      <t>Due: end of week 3 (Plan &amp; Requirement)
Output: Report 3 - Software Requirements Specifications (SRS)</t>
    </r>
    <r>
      <rPr>
        <sz val="10"/>
        <rFont val="Arial"/>
        <family val="2"/>
      </rPr>
      <t xml:space="preserve">
Report 3, in which the team provides full information for the part I &amp;
below contents for the part II (others to be completed later)
- II.1 Product Overview
- II.2 User Requirements
- II.3.1 System Functional Overview
(2) Updated Report 1, 2
(3) Project Schedule/Tracking</t>
    </r>
  </si>
  <si>
    <t>Define scope of testing, test stratery, test plan, test cases</t>
  </si>
  <si>
    <t>Software
Package 1 (2 weeeks)</t>
  </si>
  <si>
    <t>Software
Package 2 (2 weeeks)</t>
  </si>
  <si>
    <t>Software
Package 3 (2 weeeks)</t>
  </si>
  <si>
    <t>Full Software
Package (2 weeeks)</t>
  </si>
  <si>
    <t>Due: end of week 14 (Transition)
Outputs:
(1) Report 6: : Software User Guides (SUG)
(2) Updated Project Schedule/Tracking</t>
  </si>
  <si>
    <t>Create User Guides documentation</t>
  </si>
  <si>
    <t>User Guides (1 week)</t>
  </si>
  <si>
    <t>Final
Package (1 week)</t>
  </si>
  <si>
    <t>Final Project Report</t>
  </si>
  <si>
    <t>2-4</t>
  </si>
  <si>
    <t>5</t>
  </si>
  <si>
    <t>`</t>
  </si>
  <si>
    <t>6-9</t>
  </si>
  <si>
    <t>11-14</t>
  </si>
  <si>
    <t>16-19</t>
  </si>
  <si>
    <t>Due: end of week 4 (Software Design)
Output: Report 4 - Software Design Description (SDD)
Report 4, in which the team provides System &amp; Database Design</t>
  </si>
  <si>
    <t>Due: end of week 5 (Software Design)
Output: Report 5 -  Software Test Documentation (STD)
Report 5, in which the team provides all the information, excepts for
the Test Cases &amp; Test Reports (parts II.4 &amp; II.5) to be completed later</t>
  </si>
  <si>
    <t>21-24</t>
  </si>
  <si>
    <t>Due: end of week 7 (Code Iteration 1)
Outputs: 
(1) Software Package 1
- Workable Source Codes &amp; Database Script
- Functional Requirements (in the Updated Report 3)
- Class &amp; Sequence Diagrams (in the Updated Report 4)
- Test Cases &amp; Reports: UT, IT, Defects List (in the Updated Report 5)
(2) Updated Reports 1, 2, 3, 4, 5
(3) Updated Project Schedule/Tracking</t>
  </si>
  <si>
    <t>26-34</t>
  </si>
  <si>
    <t>Due: end of week 9 (Code Iteration 2)
Outputs: Software Package 2</t>
  </si>
  <si>
    <t>36-44</t>
  </si>
  <si>
    <t>46-54</t>
  </si>
  <si>
    <t>Due: end of week 11 (Code Iteration 3)
Outputs: Software Package 3</t>
  </si>
  <si>
    <t>56-64</t>
  </si>
  <si>
    <t>Due: end of week 13 (System Testing)
Outputs:
(1) Full Software Package
- Workable Source Codes &amp; Database Script
- Functional Requirements (in the Updated Report 3)
- Class &amp; Sequence Diagrams (in the Updated Report 4)
- Test Cases &amp; Reports: ST, IT, Defects List (in the Updated Report 5)
(2) Updated Reports 1, 2, 3, 4, 5
(3) Updated Project Schedule/Tracking</t>
  </si>
  <si>
    <t>66-69</t>
  </si>
  <si>
    <t>Due: end of week 15 (Transition)
Outputs:
(1) Report 7: Final Project Report
Page | 4
(2) Final Project Products
 - Database Scripts
 - Source Codes &amp; Related Files
 - Test Documents &amp; Defects List
 - Project Schedule/Tracking
 - …
(3) Presentation File (Defense Slides)</t>
  </si>
  <si>
    <t>FR_CP-JS-test</t>
  </si>
  <si>
    <t>Assginment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</si>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</sst>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[$-409]d\-mmm\-yyyy;@"/>
  </numFmts>
  <fonts count="3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arial"/>
    </font>
    <font>
      <sz val="10"/>
      <name val="Aarial"/>
    </font>
    <font>
      <i/>
      <sz val="10"/>
      <name val="Aarial"/>
    </font>
    <font>
      <b/>
      <i/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8"/>
      <name val="Aarial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164" fontId="1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14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3" fillId="0" borderId="0"/>
    <xf numFmtId="0" fontId="13" fillId="0" borderId="0"/>
  </cellStyleXfs>
  <cellXfs count="103">
    <xf numFmtId="0" fontId="0" fillId="0" borderId="0" xfId="0"/>
    <xf numFmtId="0" fontId="15" fillId="0" borderId="0" xfId="3"/>
    <xf numFmtId="9" fontId="4" fillId="0" borderId="0" xfId="5" applyFont="1"/>
    <xf numFmtId="0" fontId="13" fillId="2" borderId="1" xfId="3" applyFont="1" applyFill="1" applyBorder="1" applyAlignment="1">
      <alignment horizontal="left" vertical="top"/>
    </xf>
    <xf numFmtId="0" fontId="13" fillId="2" borderId="1" xfId="0" applyFont="1" applyFill="1" applyBorder="1" applyAlignment="1">
      <alignment vertical="top"/>
    </xf>
    <xf numFmtId="0" fontId="13" fillId="2" borderId="1" xfId="3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2" fontId="13" fillId="2" borderId="1" xfId="3" applyNumberFormat="1" applyFont="1" applyFill="1" applyBorder="1" applyAlignment="1">
      <alignment horizontal="center" vertical="top"/>
    </xf>
    <xf numFmtId="0" fontId="12" fillId="3" borderId="1" xfId="3" applyFont="1" applyFill="1" applyBorder="1"/>
    <xf numFmtId="0" fontId="13" fillId="3" borderId="0" xfId="3" applyFont="1" applyFill="1"/>
    <xf numFmtId="0" fontId="13" fillId="3" borderId="0" xfId="3" applyFont="1" applyFill="1" applyAlignment="1">
      <alignment horizontal="right"/>
    </xf>
    <xf numFmtId="2" fontId="13" fillId="3" borderId="1" xfId="3" applyNumberFormat="1" applyFont="1" applyFill="1" applyBorder="1" applyAlignment="1">
      <alignment horizontal="center"/>
    </xf>
    <xf numFmtId="9" fontId="13" fillId="3" borderId="1" xfId="5" applyFont="1" applyFill="1" applyBorder="1" applyAlignment="1">
      <alignment horizontal="left"/>
    </xf>
    <xf numFmtId="165" fontId="12" fillId="3" borderId="1" xfId="3" applyNumberFormat="1" applyFont="1" applyFill="1" applyBorder="1" applyAlignment="1">
      <alignment horizontal="center"/>
    </xf>
    <xf numFmtId="9" fontId="12" fillId="3" borderId="1" xfId="3" applyNumberFormat="1" applyFont="1" applyFill="1" applyBorder="1" applyAlignment="1">
      <alignment horizontal="left"/>
    </xf>
    <xf numFmtId="0" fontId="8" fillId="3" borderId="0" xfId="0" applyFont="1" applyFill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top" wrapText="1"/>
    </xf>
    <xf numFmtId="2" fontId="13" fillId="2" borderId="1" xfId="0" applyNumberFormat="1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 wrapText="1"/>
    </xf>
    <xf numFmtId="9" fontId="9" fillId="2" borderId="2" xfId="0" applyNumberFormat="1" applyFont="1" applyFill="1" applyBorder="1" applyAlignment="1">
      <alignment horizontal="center" vertical="center" wrapText="1"/>
    </xf>
    <xf numFmtId="9" fontId="8" fillId="2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" fillId="4" borderId="20" xfId="9" applyFill="1" applyBorder="1"/>
    <xf numFmtId="0" fontId="1" fillId="4" borderId="21" xfId="9" applyFill="1" applyBorder="1"/>
    <xf numFmtId="0" fontId="1" fillId="4" borderId="15" xfId="9" applyFill="1" applyBorder="1"/>
    <xf numFmtId="0" fontId="13" fillId="0" borderId="0" xfId="10"/>
    <xf numFmtId="0" fontId="21" fillId="4" borderId="22" xfId="11" applyFont="1" applyFill="1" applyBorder="1"/>
    <xf numFmtId="0" fontId="1" fillId="4" borderId="0" xfId="9" applyFill="1"/>
    <xf numFmtId="0" fontId="1" fillId="4" borderId="14" xfId="9" applyFill="1" applyBorder="1"/>
    <xf numFmtId="0" fontId="22" fillId="4" borderId="0" xfId="9" applyFont="1" applyFill="1"/>
    <xf numFmtId="0" fontId="1" fillId="4" borderId="22" xfId="9" applyFill="1" applyBorder="1"/>
    <xf numFmtId="0" fontId="24" fillId="0" borderId="0" xfId="10" applyFont="1"/>
    <xf numFmtId="0" fontId="25" fillId="4" borderId="22" xfId="9" applyFont="1" applyFill="1" applyBorder="1"/>
    <xf numFmtId="0" fontId="25" fillId="4" borderId="0" xfId="9" applyFont="1" applyFill="1"/>
    <xf numFmtId="0" fontId="26" fillId="4" borderId="0" xfId="9" applyFont="1" applyFill="1" applyAlignment="1">
      <alignment horizontal="center"/>
    </xf>
    <xf numFmtId="0" fontId="25" fillId="4" borderId="14" xfId="9" applyFont="1" applyFill="1" applyBorder="1"/>
    <xf numFmtId="0" fontId="1" fillId="4" borderId="23" xfId="9" applyFill="1" applyBorder="1"/>
    <xf numFmtId="0" fontId="1" fillId="4" borderId="24" xfId="9" applyFill="1" applyBorder="1"/>
    <xf numFmtId="0" fontId="1" fillId="4" borderId="13" xfId="9" applyFill="1" applyBorder="1"/>
    <xf numFmtId="0" fontId="10" fillId="3" borderId="2" xfId="0" applyFont="1" applyFill="1" applyBorder="1" applyAlignment="1">
      <alignment horizontal="left" vertical="top" wrapText="1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9" fillId="2" borderId="9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3" applyFont="1" applyFill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vertical="top" wrapText="1"/>
    </xf>
    <xf numFmtId="0" fontId="12" fillId="2" borderId="1" xfId="3" applyFont="1" applyFill="1" applyBorder="1" applyAlignment="1">
      <alignment vertical="top" wrapText="1"/>
    </xf>
    <xf numFmtId="0" fontId="28" fillId="5" borderId="15" xfId="9" applyFont="1" applyFill="1" applyBorder="1" applyAlignment="1">
      <alignment horizontal="left" vertical="center"/>
    </xf>
    <xf numFmtId="0" fontId="28" fillId="5" borderId="3" xfId="9" applyFont="1" applyFill="1" applyBorder="1" applyAlignment="1">
      <alignment horizontal="left" vertical="center"/>
    </xf>
    <xf numFmtId="166" fontId="12" fillId="5" borderId="3" xfId="9" quotePrefix="1" applyNumberFormat="1" applyFont="1" applyFill="1" applyBorder="1" applyAlignment="1">
      <alignment horizontal="center" vertical="center"/>
    </xf>
    <xf numFmtId="166" fontId="12" fillId="5" borderId="3" xfId="9" applyNumberFormat="1" applyFont="1" applyFill="1" applyBorder="1" applyAlignment="1">
      <alignment horizontal="center" vertical="center"/>
    </xf>
    <xf numFmtId="166" fontId="12" fillId="5" borderId="20" xfId="9" applyNumberFormat="1" applyFont="1" applyFill="1" applyBorder="1" applyAlignment="1">
      <alignment horizontal="center" vertical="center"/>
    </xf>
    <xf numFmtId="0" fontId="23" fillId="4" borderId="22" xfId="9" applyFont="1" applyFill="1" applyBorder="1" applyAlignment="1">
      <alignment horizontal="center"/>
    </xf>
    <xf numFmtId="0" fontId="23" fillId="4" borderId="0" xfId="9" applyFont="1" applyFill="1" applyAlignment="1">
      <alignment horizontal="center"/>
    </xf>
    <xf numFmtId="0" fontId="23" fillId="4" borderId="14" xfId="9" applyFont="1" applyFill="1" applyBorder="1" applyAlignment="1">
      <alignment horizontal="center"/>
    </xf>
    <xf numFmtId="0" fontId="27" fillId="4" borderId="22" xfId="9" applyFont="1" applyFill="1" applyBorder="1" applyAlignment="1">
      <alignment horizontal="center"/>
    </xf>
    <xf numFmtId="0" fontId="27" fillId="4" borderId="0" xfId="9" applyFont="1" applyFill="1" applyAlignment="1">
      <alignment horizontal="center"/>
    </xf>
    <xf numFmtId="0" fontId="27" fillId="4" borderId="14" xfId="9" applyFont="1" applyFill="1" applyBorder="1" applyAlignment="1">
      <alignment horizontal="center"/>
    </xf>
    <xf numFmtId="0" fontId="28" fillId="5" borderId="13" xfId="9" applyFont="1" applyFill="1" applyBorder="1" applyAlignment="1">
      <alignment horizontal="left" vertical="center"/>
    </xf>
    <xf numFmtId="0" fontId="28" fillId="5" borderId="12" xfId="9" applyFont="1" applyFill="1" applyBorder="1" applyAlignment="1">
      <alignment horizontal="left" vertical="center"/>
    </xf>
    <xf numFmtId="0" fontId="12" fillId="5" borderId="12" xfId="9" applyFont="1" applyFill="1" applyBorder="1" applyAlignment="1">
      <alignment horizontal="center" vertical="center"/>
    </xf>
    <xf numFmtId="0" fontId="12" fillId="5" borderId="23" xfId="9" applyFont="1" applyFill="1" applyBorder="1" applyAlignment="1">
      <alignment horizontal="center" vertical="center"/>
    </xf>
    <xf numFmtId="0" fontId="28" fillId="5" borderId="8" xfId="9" applyFont="1" applyFill="1" applyBorder="1" applyAlignment="1">
      <alignment horizontal="left" vertical="center"/>
    </xf>
    <xf numFmtId="0" fontId="28" fillId="5" borderId="1" xfId="9" applyFont="1" applyFill="1" applyBorder="1" applyAlignment="1">
      <alignment horizontal="left" vertical="center"/>
    </xf>
    <xf numFmtId="49" fontId="12" fillId="5" borderId="1" xfId="9" applyNumberFormat="1" applyFont="1" applyFill="1" applyBorder="1" applyAlignment="1">
      <alignment horizontal="center" vertical="center"/>
    </xf>
    <xf numFmtId="49" fontId="12" fillId="5" borderId="11" xfId="9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9" fillId="2" borderId="2" xfId="0" quotePrefix="1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16" fontId="13" fillId="2" borderId="3" xfId="0" quotePrefix="1" applyNumberFormat="1" applyFont="1" applyFill="1" applyBorder="1" applyAlignment="1">
      <alignment horizontal="center" vertical="center" wrapText="1"/>
    </xf>
    <xf numFmtId="16" fontId="13" fillId="2" borderId="7" xfId="0" quotePrefix="1" applyNumberFormat="1" applyFont="1" applyFill="1" applyBorder="1" applyAlignment="1">
      <alignment horizontal="center" vertical="center" wrapText="1"/>
    </xf>
    <xf numFmtId="16" fontId="13" fillId="2" borderId="12" xfId="0" quotePrefix="1" applyNumberFormat="1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1" fillId="3" borderId="0" xfId="3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2" borderId="7" xfId="0" quotePrefix="1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vertical="top" wrapText="1"/>
    </xf>
    <xf numFmtId="0" fontId="9" fillId="2" borderId="18" xfId="0" applyFont="1" applyFill="1" applyBorder="1" applyAlignment="1">
      <alignment vertical="top" wrapText="1"/>
    </xf>
  </cellXfs>
  <cellStyles count="12">
    <cellStyle name="Comma 2" xfId="1" xr:uid="{00000000-0005-0000-0000-000000000000}"/>
    <cellStyle name="Comma 3" xfId="2" xr:uid="{00000000-0005-0000-0000-000001000000}"/>
    <cellStyle name="Normal" xfId="0" builtinId="0" customBuiltin="1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4" xr:uid="{00000000-0005-0000-0000-000007000000}"/>
    <cellStyle name="Normal 4" xfId="10" xr:uid="{00000000-0005-0000-0000-000008000000}"/>
    <cellStyle name="Normal_Guideline_Process tailoring" xfId="11" xr:uid="{00000000-0005-0000-0000-000009000000}"/>
    <cellStyle name="Percent" xfId="5" builtinId="5"/>
    <cellStyle name="Percent 2" xfId="6" xr:uid="{00000000-0005-0000-0000-00000B000000}"/>
    <cellStyle name="Percent 3" xfId="7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topLeftCell="A19" zoomScaleNormal="100" zoomScaleSheetLayoutView="100" workbookViewId="0">
      <selection activeCell="B11" sqref="B11:O11"/>
    </sheetView>
  </sheetViews>
  <sheetFormatPr defaultColWidth="8.6640625" defaultRowHeight="13.2"/>
  <cols>
    <col min="1" max="1" width="3" style="29" customWidth="1"/>
    <col min="2" max="256" width="8.6640625" style="29"/>
    <col min="257" max="257" width="3" style="29" customWidth="1"/>
    <col min="258" max="512" width="8.6640625" style="29"/>
    <col min="513" max="513" width="3" style="29" customWidth="1"/>
    <col min="514" max="768" width="8.6640625" style="29"/>
    <col min="769" max="769" width="3" style="29" customWidth="1"/>
    <col min="770" max="1024" width="8.6640625" style="29"/>
    <col min="1025" max="1025" width="3" style="29" customWidth="1"/>
    <col min="1026" max="1280" width="8.6640625" style="29"/>
    <col min="1281" max="1281" width="3" style="29" customWidth="1"/>
    <col min="1282" max="1536" width="8.6640625" style="29"/>
    <col min="1537" max="1537" width="3" style="29" customWidth="1"/>
    <col min="1538" max="1792" width="8.6640625" style="29"/>
    <col min="1793" max="1793" width="3" style="29" customWidth="1"/>
    <col min="1794" max="2048" width="8.6640625" style="29"/>
    <col min="2049" max="2049" width="3" style="29" customWidth="1"/>
    <col min="2050" max="2304" width="8.6640625" style="29"/>
    <col min="2305" max="2305" width="3" style="29" customWidth="1"/>
    <col min="2306" max="2560" width="8.6640625" style="29"/>
    <col min="2561" max="2561" width="3" style="29" customWidth="1"/>
    <col min="2562" max="2816" width="8.6640625" style="29"/>
    <col min="2817" max="2817" width="3" style="29" customWidth="1"/>
    <col min="2818" max="3072" width="8.6640625" style="29"/>
    <col min="3073" max="3073" width="3" style="29" customWidth="1"/>
    <col min="3074" max="3328" width="8.6640625" style="29"/>
    <col min="3329" max="3329" width="3" style="29" customWidth="1"/>
    <col min="3330" max="3584" width="8.6640625" style="29"/>
    <col min="3585" max="3585" width="3" style="29" customWidth="1"/>
    <col min="3586" max="3840" width="8.6640625" style="29"/>
    <col min="3841" max="3841" width="3" style="29" customWidth="1"/>
    <col min="3842" max="4096" width="8.6640625" style="29"/>
    <col min="4097" max="4097" width="3" style="29" customWidth="1"/>
    <col min="4098" max="4352" width="8.6640625" style="29"/>
    <col min="4353" max="4353" width="3" style="29" customWidth="1"/>
    <col min="4354" max="4608" width="8.6640625" style="29"/>
    <col min="4609" max="4609" width="3" style="29" customWidth="1"/>
    <col min="4610" max="4864" width="8.6640625" style="29"/>
    <col min="4865" max="4865" width="3" style="29" customWidth="1"/>
    <col min="4866" max="5120" width="8.6640625" style="29"/>
    <col min="5121" max="5121" width="3" style="29" customWidth="1"/>
    <col min="5122" max="5376" width="8.6640625" style="29"/>
    <col min="5377" max="5377" width="3" style="29" customWidth="1"/>
    <col min="5378" max="5632" width="8.6640625" style="29"/>
    <col min="5633" max="5633" width="3" style="29" customWidth="1"/>
    <col min="5634" max="5888" width="8.6640625" style="29"/>
    <col min="5889" max="5889" width="3" style="29" customWidth="1"/>
    <col min="5890" max="6144" width="8.6640625" style="29"/>
    <col min="6145" max="6145" width="3" style="29" customWidth="1"/>
    <col min="6146" max="6400" width="8.6640625" style="29"/>
    <col min="6401" max="6401" width="3" style="29" customWidth="1"/>
    <col min="6402" max="6656" width="8.6640625" style="29"/>
    <col min="6657" max="6657" width="3" style="29" customWidth="1"/>
    <col min="6658" max="6912" width="8.6640625" style="29"/>
    <col min="6913" max="6913" width="3" style="29" customWidth="1"/>
    <col min="6914" max="7168" width="8.6640625" style="29"/>
    <col min="7169" max="7169" width="3" style="29" customWidth="1"/>
    <col min="7170" max="7424" width="8.6640625" style="29"/>
    <col min="7425" max="7425" width="3" style="29" customWidth="1"/>
    <col min="7426" max="7680" width="8.6640625" style="29"/>
    <col min="7681" max="7681" width="3" style="29" customWidth="1"/>
    <col min="7682" max="7936" width="8.6640625" style="29"/>
    <col min="7937" max="7937" width="3" style="29" customWidth="1"/>
    <col min="7938" max="8192" width="8.6640625" style="29"/>
    <col min="8193" max="8193" width="3" style="29" customWidth="1"/>
    <col min="8194" max="8448" width="8.6640625" style="29"/>
    <col min="8449" max="8449" width="3" style="29" customWidth="1"/>
    <col min="8450" max="8704" width="8.6640625" style="29"/>
    <col min="8705" max="8705" width="3" style="29" customWidth="1"/>
    <col min="8706" max="8960" width="8.6640625" style="29"/>
    <col min="8961" max="8961" width="3" style="29" customWidth="1"/>
    <col min="8962" max="9216" width="8.6640625" style="29"/>
    <col min="9217" max="9217" width="3" style="29" customWidth="1"/>
    <col min="9218" max="9472" width="8.6640625" style="29"/>
    <col min="9473" max="9473" width="3" style="29" customWidth="1"/>
    <col min="9474" max="9728" width="8.6640625" style="29"/>
    <col min="9729" max="9729" width="3" style="29" customWidth="1"/>
    <col min="9730" max="9984" width="8.6640625" style="29"/>
    <col min="9985" max="9985" width="3" style="29" customWidth="1"/>
    <col min="9986" max="10240" width="8.6640625" style="29"/>
    <col min="10241" max="10241" width="3" style="29" customWidth="1"/>
    <col min="10242" max="10496" width="8.6640625" style="29"/>
    <col min="10497" max="10497" width="3" style="29" customWidth="1"/>
    <col min="10498" max="10752" width="8.6640625" style="29"/>
    <col min="10753" max="10753" width="3" style="29" customWidth="1"/>
    <col min="10754" max="11008" width="8.6640625" style="29"/>
    <col min="11009" max="11009" width="3" style="29" customWidth="1"/>
    <col min="11010" max="11264" width="8.6640625" style="29"/>
    <col min="11265" max="11265" width="3" style="29" customWidth="1"/>
    <col min="11266" max="11520" width="8.6640625" style="29"/>
    <col min="11521" max="11521" width="3" style="29" customWidth="1"/>
    <col min="11522" max="11776" width="8.6640625" style="29"/>
    <col min="11777" max="11777" width="3" style="29" customWidth="1"/>
    <col min="11778" max="12032" width="8.6640625" style="29"/>
    <col min="12033" max="12033" width="3" style="29" customWidth="1"/>
    <col min="12034" max="12288" width="8.6640625" style="29"/>
    <col min="12289" max="12289" width="3" style="29" customWidth="1"/>
    <col min="12290" max="12544" width="8.6640625" style="29"/>
    <col min="12545" max="12545" width="3" style="29" customWidth="1"/>
    <col min="12546" max="12800" width="8.6640625" style="29"/>
    <col min="12801" max="12801" width="3" style="29" customWidth="1"/>
    <col min="12802" max="13056" width="8.6640625" style="29"/>
    <col min="13057" max="13057" width="3" style="29" customWidth="1"/>
    <col min="13058" max="13312" width="8.6640625" style="29"/>
    <col min="13313" max="13313" width="3" style="29" customWidth="1"/>
    <col min="13314" max="13568" width="8.6640625" style="29"/>
    <col min="13569" max="13569" width="3" style="29" customWidth="1"/>
    <col min="13570" max="13824" width="8.6640625" style="29"/>
    <col min="13825" max="13825" width="3" style="29" customWidth="1"/>
    <col min="13826" max="14080" width="8.6640625" style="29"/>
    <col min="14081" max="14081" width="3" style="29" customWidth="1"/>
    <col min="14082" max="14336" width="8.6640625" style="29"/>
    <col min="14337" max="14337" width="3" style="29" customWidth="1"/>
    <col min="14338" max="14592" width="8.6640625" style="29"/>
    <col min="14593" max="14593" width="3" style="29" customWidth="1"/>
    <col min="14594" max="14848" width="8.6640625" style="29"/>
    <col min="14849" max="14849" width="3" style="29" customWidth="1"/>
    <col min="14850" max="15104" width="8.6640625" style="29"/>
    <col min="15105" max="15105" width="3" style="29" customWidth="1"/>
    <col min="15106" max="15360" width="8.6640625" style="29"/>
    <col min="15361" max="15361" width="3" style="29" customWidth="1"/>
    <col min="15362" max="15616" width="8.6640625" style="29"/>
    <col min="15617" max="15617" width="3" style="29" customWidth="1"/>
    <col min="15618" max="15872" width="8.6640625" style="29"/>
    <col min="15873" max="15873" width="3" style="29" customWidth="1"/>
    <col min="15874" max="16128" width="8.6640625" style="29"/>
    <col min="16129" max="16129" width="3" style="29" customWidth="1"/>
    <col min="16130" max="16384" width="8.6640625" style="29"/>
  </cols>
  <sheetData>
    <row r="1" spans="2:15" ht="14.4"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2:15" ht="14.4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ht="14.4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</row>
    <row r="4" spans="2:15" ht="15.6">
      <c r="B4" s="30"/>
      <c r="C4" s="31"/>
      <c r="D4" s="31"/>
      <c r="E4" s="31"/>
      <c r="F4" s="31"/>
      <c r="G4" s="31"/>
      <c r="H4" s="31"/>
      <c r="I4" s="33"/>
      <c r="J4" s="31"/>
      <c r="K4" s="31"/>
      <c r="L4" s="31"/>
      <c r="M4" s="31"/>
      <c r="N4" s="31"/>
      <c r="O4" s="32"/>
    </row>
    <row r="5" spans="2:15" ht="14.4"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2:15" ht="14.4">
      <c r="B6" s="34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</row>
    <row r="7" spans="2:15" ht="14.4">
      <c r="B7" s="34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2"/>
    </row>
    <row r="8" spans="2:15" ht="14.4">
      <c r="B8" s="34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2:15" ht="14.4">
      <c r="B9" s="34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2"/>
    </row>
    <row r="10" spans="2:15" ht="14.4">
      <c r="B10" s="34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2"/>
    </row>
    <row r="11" spans="2:15" s="35" customFormat="1" ht="17.399999999999999">
      <c r="B11" s="59" t="s">
        <v>82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</row>
    <row r="12" spans="2:15" s="35" customFormat="1" ht="18">
      <c r="B12" s="36"/>
      <c r="C12" s="37"/>
      <c r="D12" s="37"/>
      <c r="E12" s="37"/>
      <c r="F12" s="38"/>
      <c r="G12" s="37"/>
      <c r="H12" s="37"/>
      <c r="I12" s="37"/>
      <c r="J12" s="37"/>
      <c r="K12" s="37"/>
      <c r="L12" s="37"/>
      <c r="M12" s="37"/>
      <c r="N12" s="37"/>
      <c r="O12" s="39"/>
    </row>
    <row r="13" spans="2:15" s="35" customFormat="1" ht="24.6">
      <c r="B13" s="62" t="s">
        <v>80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4"/>
    </row>
    <row r="14" spans="2:15" ht="14.4">
      <c r="B14" s="34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2"/>
    </row>
    <row r="15" spans="2:15" ht="14.4"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/>
    </row>
    <row r="16" spans="2:15" ht="14.4"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/>
    </row>
    <row r="17" spans="2:15" ht="24" customHeight="1">
      <c r="B17" s="34"/>
      <c r="C17" s="31"/>
      <c r="D17" s="31"/>
      <c r="E17" s="31"/>
      <c r="F17" s="65" t="s">
        <v>23</v>
      </c>
      <c r="G17" s="66"/>
      <c r="H17" s="66"/>
      <c r="I17" s="67" t="s">
        <v>24</v>
      </c>
      <c r="J17" s="67"/>
      <c r="K17" s="68"/>
      <c r="L17" s="31"/>
      <c r="M17" s="31"/>
      <c r="N17" s="31"/>
      <c r="O17" s="32"/>
    </row>
    <row r="18" spans="2:15" ht="24" customHeight="1">
      <c r="B18" s="34"/>
      <c r="C18" s="31"/>
      <c r="D18" s="31"/>
      <c r="E18" s="31"/>
      <c r="F18" s="69" t="s">
        <v>2</v>
      </c>
      <c r="G18" s="70"/>
      <c r="H18" s="70"/>
      <c r="I18" s="71" t="s">
        <v>25</v>
      </c>
      <c r="J18" s="71"/>
      <c r="K18" s="72"/>
      <c r="L18" s="31"/>
      <c r="M18" s="31"/>
      <c r="N18" s="31"/>
      <c r="O18" s="32"/>
    </row>
    <row r="19" spans="2:15" ht="24" customHeight="1">
      <c r="B19" s="34"/>
      <c r="C19" s="31"/>
      <c r="D19" s="31"/>
      <c r="E19" s="31"/>
      <c r="F19" s="54" t="s">
        <v>26</v>
      </c>
      <c r="G19" s="55"/>
      <c r="H19" s="55"/>
      <c r="I19" s="56" t="s">
        <v>81</v>
      </c>
      <c r="J19" s="57"/>
      <c r="K19" s="58"/>
      <c r="L19" s="31"/>
      <c r="M19" s="31"/>
      <c r="N19" s="31"/>
      <c r="O19" s="32"/>
    </row>
    <row r="20" spans="2:15" ht="14.4">
      <c r="B20" s="34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</row>
    <row r="21" spans="2:15" ht="14.4">
      <c r="B21" s="34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2"/>
    </row>
    <row r="22" spans="2:15" ht="14.4">
      <c r="B22" s="34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2"/>
    </row>
    <row r="23" spans="2:15" ht="14.4">
      <c r="B23" s="3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2"/>
    </row>
    <row r="24" spans="2:15" ht="14.4">
      <c r="B24" s="34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2"/>
    </row>
    <row r="25" spans="2:15" ht="14.4"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2"/>
    </row>
    <row r="26" spans="2:15" ht="14.4">
      <c r="B26" s="34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2"/>
    </row>
    <row r="27" spans="2:15" ht="14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1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topLeftCell="A2" zoomScale="115" zoomScaleNormal="115" zoomScaleSheetLayoutView="100" workbookViewId="0">
      <selection activeCell="F12" sqref="F12"/>
    </sheetView>
  </sheetViews>
  <sheetFormatPr defaultColWidth="9.109375" defaultRowHeight="13.2"/>
  <cols>
    <col min="1" max="1" width="4.88671875" style="15" customWidth="1"/>
    <col min="2" max="2" width="17.44140625" style="15" customWidth="1"/>
    <col min="3" max="3" width="18.44140625" style="15" customWidth="1"/>
    <col min="4" max="4" width="10" style="15" customWidth="1"/>
    <col min="5" max="5" width="16.5546875" style="15" customWidth="1"/>
    <col min="6" max="6" width="41.6640625" style="15" customWidth="1"/>
    <col min="7" max="10" width="9.109375" style="15" customWidth="1"/>
    <col min="11" max="16" width="9.109375" style="15"/>
    <col min="17" max="17" width="9.109375" style="15" customWidth="1"/>
    <col min="18" max="16384" width="9.109375" style="15"/>
  </cols>
  <sheetData>
    <row r="1" spans="1:6" ht="36" customHeight="1">
      <c r="A1" s="85" t="s">
        <v>83</v>
      </c>
      <c r="B1" s="85"/>
      <c r="C1" s="85"/>
      <c r="D1" s="85"/>
      <c r="E1" s="85"/>
      <c r="F1" s="85"/>
    </row>
    <row r="2" spans="1:6" ht="15.6" customHeight="1">
      <c r="A2" s="16">
        <v>1</v>
      </c>
      <c r="B2" s="17" t="s">
        <v>19</v>
      </c>
      <c r="C2" s="75" t="s">
        <v>6</v>
      </c>
      <c r="D2" s="76"/>
      <c r="E2" s="76"/>
      <c r="F2" s="77"/>
    </row>
    <row r="3" spans="1:6" ht="15.6" customHeight="1">
      <c r="A3" s="18">
        <v>2</v>
      </c>
      <c r="B3" s="19" t="s">
        <v>0</v>
      </c>
      <c r="C3" s="78" t="s">
        <v>84</v>
      </c>
      <c r="D3" s="79"/>
      <c r="E3" s="79"/>
      <c r="F3" s="80"/>
    </row>
    <row r="4" spans="1:6" ht="15.6" customHeight="1">
      <c r="A4" s="18">
        <v>3</v>
      </c>
      <c r="B4" s="19" t="s">
        <v>1</v>
      </c>
      <c r="C4" s="78" t="s">
        <v>128</v>
      </c>
      <c r="D4" s="79"/>
      <c r="E4" s="79"/>
      <c r="F4" s="80"/>
    </row>
    <row r="5" spans="1:6" ht="18.600000000000001" customHeight="1">
      <c r="A5" s="18">
        <v>4</v>
      </c>
      <c r="B5" s="19" t="s">
        <v>2</v>
      </c>
      <c r="C5" s="81">
        <v>1</v>
      </c>
      <c r="D5" s="82"/>
      <c r="E5" s="82"/>
      <c r="F5" s="83"/>
    </row>
    <row r="6" spans="1:6" ht="32.4" customHeight="1">
      <c r="A6" s="84">
        <v>5</v>
      </c>
      <c r="B6" s="86" t="s">
        <v>5</v>
      </c>
      <c r="C6" s="25"/>
      <c r="D6" s="22"/>
      <c r="E6" s="23"/>
      <c r="F6" s="46"/>
    </row>
    <row r="7" spans="1:6">
      <c r="A7" s="84"/>
      <c r="B7" s="86"/>
      <c r="C7" s="25"/>
      <c r="D7" s="22"/>
      <c r="E7" s="23"/>
      <c r="F7" s="46"/>
    </row>
    <row r="8" spans="1:6">
      <c r="A8" s="84"/>
      <c r="B8" s="86"/>
      <c r="C8" s="25"/>
      <c r="D8" s="22"/>
      <c r="E8" s="24"/>
      <c r="F8" s="101"/>
    </row>
    <row r="9" spans="1:6">
      <c r="A9" s="84"/>
      <c r="B9" s="86"/>
      <c r="C9" s="25" t="s">
        <v>129</v>
      </c>
      <c r="D9" s="22">
        <v>1</v>
      </c>
      <c r="E9" s="24">
        <v>1</v>
      </c>
      <c r="F9" s="102" t="s">
        <v>130</v>
      </c>
    </row>
    <row r="10" spans="1:6">
      <c r="A10" s="84"/>
      <c r="B10" s="86"/>
      <c r="C10" s="43" t="s">
        <v>27</v>
      </c>
      <c r="D10" s="22">
        <v>6</v>
      </c>
      <c r="E10" s="73"/>
      <c r="F10" s="74"/>
    </row>
    <row r="13" spans="1:6">
      <c r="B13" s="44" t="s">
        <v>28</v>
      </c>
    </row>
    <row r="14" spans="1:6">
      <c r="B14" s="45" t="s">
        <v>29</v>
      </c>
    </row>
    <row r="15" spans="1:6">
      <c r="B15" s="45" t="s">
        <v>30</v>
      </c>
      <c r="D15" s="15" t="s">
        <v>111</v>
      </c>
    </row>
    <row r="16" spans="1:6">
      <c r="B16" s="45" t="s">
        <v>31</v>
      </c>
    </row>
    <row r="17" spans="2:2">
      <c r="B17" s="45" t="s">
        <v>32</v>
      </c>
    </row>
    <row r="18" spans="2:2">
      <c r="B18" s="45" t="s">
        <v>33</v>
      </c>
    </row>
    <row r="19" spans="2:2">
      <c r="B19" s="45" t="s">
        <v>34</v>
      </c>
    </row>
    <row r="20" spans="2:2">
      <c r="B20" s="45" t="s">
        <v>35</v>
      </c>
    </row>
    <row r="21" spans="2:2">
      <c r="B21" s="45" t="s">
        <v>36</v>
      </c>
    </row>
    <row r="22" spans="2:2">
      <c r="B22" s="45" t="s">
        <v>37</v>
      </c>
    </row>
    <row r="23" spans="2:2">
      <c r="B23" s="45" t="s">
        <v>38</v>
      </c>
    </row>
    <row r="24" spans="2:2">
      <c r="B24" s="45" t="s">
        <v>39</v>
      </c>
    </row>
    <row r="25" spans="2:2">
      <c r="B25" s="45" t="s">
        <v>40</v>
      </c>
    </row>
    <row r="26" spans="2:2">
      <c r="B26" s="45" t="s">
        <v>41</v>
      </c>
    </row>
    <row r="27" spans="2:2">
      <c r="B27" s="45" t="s">
        <v>42</v>
      </c>
    </row>
    <row r="28" spans="2:2">
      <c r="B28" s="45" t="s">
        <v>43</v>
      </c>
    </row>
    <row r="29" spans="2:2">
      <c r="B29" s="45" t="s">
        <v>44</v>
      </c>
    </row>
    <row r="30" spans="2:2">
      <c r="B30" s="45" t="s">
        <v>45</v>
      </c>
    </row>
    <row r="31" spans="2:2">
      <c r="B31" s="45" t="s">
        <v>46</v>
      </c>
    </row>
    <row r="32" spans="2:2">
      <c r="B32" s="45" t="s">
        <v>47</v>
      </c>
    </row>
    <row r="33" spans="2:2">
      <c r="B33" s="45" t="s">
        <v>48</v>
      </c>
    </row>
    <row r="34" spans="2:2">
      <c r="B34" s="45" t="s">
        <v>49</v>
      </c>
    </row>
    <row r="35" spans="2:2">
      <c r="B35" s="45" t="s">
        <v>50</v>
      </c>
    </row>
    <row r="36" spans="2:2">
      <c r="B36" s="45" t="s">
        <v>51</v>
      </c>
    </row>
    <row r="37" spans="2:2">
      <c r="B37" s="45" t="s">
        <v>52</v>
      </c>
    </row>
    <row r="38" spans="2:2">
      <c r="B38" s="45" t="s">
        <v>30</v>
      </c>
    </row>
    <row r="39" spans="2:2">
      <c r="B39" s="45" t="s">
        <v>53</v>
      </c>
    </row>
    <row r="40" spans="2:2">
      <c r="B40" s="45" t="s">
        <v>54</v>
      </c>
    </row>
    <row r="41" spans="2:2">
      <c r="B41" s="45" t="s">
        <v>55</v>
      </c>
    </row>
    <row r="42" spans="2:2">
      <c r="B42" s="45" t="s">
        <v>56</v>
      </c>
    </row>
    <row r="43" spans="2:2">
      <c r="B43" s="45" t="s">
        <v>36</v>
      </c>
    </row>
    <row r="44" spans="2:2">
      <c r="B44" s="45" t="s">
        <v>57</v>
      </c>
    </row>
    <row r="45" spans="2:2">
      <c r="B45" s="45" t="s">
        <v>58</v>
      </c>
    </row>
    <row r="46" spans="2:2">
      <c r="B46" s="45" t="s">
        <v>59</v>
      </c>
    </row>
    <row r="47" spans="2:2">
      <c r="B47" s="45" t="s">
        <v>60</v>
      </c>
    </row>
    <row r="48" spans="2:2">
      <c r="B48" s="45" t="s">
        <v>61</v>
      </c>
    </row>
    <row r="49" spans="2:2">
      <c r="B49" s="45" t="s">
        <v>62</v>
      </c>
    </row>
    <row r="50" spans="2:2">
      <c r="B50" s="45" t="s">
        <v>63</v>
      </c>
    </row>
    <row r="51" spans="2:2">
      <c r="B51" s="45" t="s">
        <v>64</v>
      </c>
    </row>
    <row r="52" spans="2:2">
      <c r="B52" s="45" t="s">
        <v>65</v>
      </c>
    </row>
    <row r="53" spans="2:2">
      <c r="B53" s="45" t="s">
        <v>66</v>
      </c>
    </row>
    <row r="54" spans="2:2">
      <c r="B54" s="45" t="s">
        <v>67</v>
      </c>
    </row>
    <row r="55" spans="2:2">
      <c r="B55" s="45" t="s">
        <v>68</v>
      </c>
    </row>
    <row r="56" spans="2:2">
      <c r="B56" s="45" t="s">
        <v>69</v>
      </c>
    </row>
    <row r="57" spans="2:2">
      <c r="B57" s="45" t="s">
        <v>70</v>
      </c>
    </row>
    <row r="58" spans="2:2">
      <c r="B58" s="45" t="s">
        <v>71</v>
      </c>
    </row>
    <row r="59" spans="2:2">
      <c r="B59" s="45" t="s">
        <v>72</v>
      </c>
    </row>
    <row r="60" spans="2:2">
      <c r="B60" s="45" t="s">
        <v>73</v>
      </c>
    </row>
    <row r="61" spans="2:2">
      <c r="B61" s="45" t="s">
        <v>74</v>
      </c>
    </row>
    <row r="62" spans="2:2">
      <c r="B62" s="45" t="s">
        <v>6</v>
      </c>
    </row>
  </sheetData>
  <mergeCells count="8">
    <mergeCell ref="A1:F1"/>
    <mergeCell ref="A6:A10"/>
    <mergeCell ref="B6:B10"/>
    <mergeCell ref="E10:F10"/>
    <mergeCell ref="C2:F2"/>
    <mergeCell ref="C4:F4"/>
    <mergeCell ref="C5:F5"/>
    <mergeCell ref="C3:F3"/>
  </mergeCells>
  <phoneticPr fontId="6" type="noConversion"/>
  <dataValidations count="1">
    <dataValidation type="list" allowBlank="1" showInputMessage="1" showErrorMessage="1" sqref="C2:F2" xr:uid="{00000000-0002-0000-0100-000000000000}">
      <formula1>$B$14:$B$141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77"/>
  <sheetViews>
    <sheetView zoomScale="85" zoomScaleNormal="85" zoomScaleSheetLayoutView="100" workbookViewId="0">
      <pane ySplit="2" topLeftCell="A16" activePane="bottomLeft" state="frozen"/>
      <selection pane="bottomLeft" activeCell="I62" sqref="I62"/>
    </sheetView>
  </sheetViews>
  <sheetFormatPr defaultColWidth="9" defaultRowHeight="13.2"/>
  <cols>
    <col min="1" max="1" width="8.88671875" style="9" customWidth="1"/>
    <col min="2" max="2" width="26.44140625" style="9" customWidth="1"/>
    <col min="3" max="3" width="7.44140625" style="9" customWidth="1"/>
    <col min="4" max="4" width="47.77734375" style="9" bestFit="1" customWidth="1"/>
    <col min="5" max="5" width="11.88671875" style="9" customWidth="1"/>
    <col min="6" max="6" width="18.44140625" style="9" customWidth="1"/>
    <col min="7" max="8" width="9.109375" style="10" customWidth="1"/>
    <col min="9" max="9" width="65.109375" style="10" customWidth="1"/>
    <col min="10" max="10" width="7.33203125" style="9" customWidth="1"/>
    <col min="11" max="16384" width="9" style="9"/>
  </cols>
  <sheetData>
    <row r="1" spans="1:11" ht="36.75" customHeight="1">
      <c r="A1" s="97" t="str">
        <f>Syllabus!C3 &amp; " - Training Schedule"</f>
        <v>Capstone Project FU KS - Training Schedule</v>
      </c>
      <c r="B1" s="97"/>
      <c r="C1" s="97"/>
      <c r="D1" s="97"/>
      <c r="E1" s="97"/>
      <c r="F1" s="97"/>
      <c r="G1" s="97"/>
      <c r="H1" s="97"/>
      <c r="I1" s="97"/>
      <c r="J1" s="9" t="s">
        <v>79</v>
      </c>
      <c r="K1" s="9">
        <v>360</v>
      </c>
    </row>
    <row r="2" spans="1:11" ht="39" customHeight="1">
      <c r="A2" s="98" t="s">
        <v>7</v>
      </c>
      <c r="B2" s="99"/>
      <c r="C2" s="47" t="s">
        <v>8</v>
      </c>
      <c r="D2" s="48" t="s">
        <v>9</v>
      </c>
      <c r="E2" s="49" t="s">
        <v>10</v>
      </c>
      <c r="F2" s="50" t="s">
        <v>11</v>
      </c>
      <c r="G2" s="50" t="s">
        <v>22</v>
      </c>
      <c r="H2" s="50" t="s">
        <v>12</v>
      </c>
      <c r="I2" s="50" t="s">
        <v>13</v>
      </c>
    </row>
    <row r="3" spans="1:11" ht="20.100000000000001" customHeight="1">
      <c r="A3" s="95">
        <v>1</v>
      </c>
      <c r="B3" s="90" t="s">
        <v>86</v>
      </c>
      <c r="C3" s="90">
        <v>1</v>
      </c>
      <c r="D3" s="3" t="s">
        <v>87</v>
      </c>
      <c r="E3" s="20" t="s">
        <v>85</v>
      </c>
      <c r="F3" s="4" t="s">
        <v>21</v>
      </c>
      <c r="G3" s="21">
        <v>120</v>
      </c>
      <c r="H3" s="7" t="s">
        <v>14</v>
      </c>
      <c r="I3" s="6"/>
    </row>
    <row r="4" spans="1:11">
      <c r="A4" s="96"/>
      <c r="B4" s="91"/>
      <c r="C4" s="92"/>
      <c r="D4" s="3" t="s">
        <v>88</v>
      </c>
      <c r="E4" s="20" t="s">
        <v>85</v>
      </c>
      <c r="F4" s="4" t="s">
        <v>4</v>
      </c>
      <c r="G4" s="21">
        <f>K1-G3</f>
        <v>240</v>
      </c>
      <c r="H4" s="7" t="s">
        <v>14</v>
      </c>
      <c r="I4" s="6"/>
    </row>
    <row r="5" spans="1:11">
      <c r="A5" s="96"/>
      <c r="B5" s="91"/>
      <c r="C5" s="87" t="s">
        <v>109</v>
      </c>
      <c r="D5" s="3" t="s">
        <v>75</v>
      </c>
      <c r="E5" s="20" t="s">
        <v>85</v>
      </c>
      <c r="F5" s="4" t="s">
        <v>21</v>
      </c>
      <c r="G5" s="21">
        <v>15</v>
      </c>
      <c r="H5" s="7" t="s">
        <v>14</v>
      </c>
      <c r="I5" s="6"/>
    </row>
    <row r="6" spans="1:11">
      <c r="A6" s="96"/>
      <c r="B6" s="91"/>
      <c r="C6" s="88"/>
      <c r="D6" s="3" t="s">
        <v>88</v>
      </c>
      <c r="E6" s="20" t="s">
        <v>85</v>
      </c>
      <c r="F6" s="4" t="s">
        <v>78</v>
      </c>
      <c r="G6" s="21">
        <v>285</v>
      </c>
      <c r="H6" s="7" t="s">
        <v>14</v>
      </c>
      <c r="I6" s="52"/>
    </row>
    <row r="7" spans="1:11">
      <c r="A7" s="96"/>
      <c r="B7" s="91"/>
      <c r="C7" s="89"/>
      <c r="D7" s="3" t="s">
        <v>90</v>
      </c>
      <c r="E7" s="20" t="s">
        <v>85</v>
      </c>
      <c r="F7" s="4" t="s">
        <v>4</v>
      </c>
      <c r="G7" s="21">
        <v>60</v>
      </c>
      <c r="H7" s="7" t="s">
        <v>14</v>
      </c>
      <c r="I7" s="6" t="s">
        <v>76</v>
      </c>
    </row>
    <row r="8" spans="1:11">
      <c r="A8" s="96"/>
      <c r="B8" s="91"/>
      <c r="C8" s="87" t="s">
        <v>110</v>
      </c>
      <c r="D8" s="3" t="s">
        <v>75</v>
      </c>
      <c r="E8" s="20" t="s">
        <v>85</v>
      </c>
      <c r="F8" s="4" t="s">
        <v>21</v>
      </c>
      <c r="G8" s="21">
        <v>15</v>
      </c>
      <c r="H8" s="7" t="s">
        <v>14</v>
      </c>
      <c r="I8" s="6"/>
    </row>
    <row r="9" spans="1:11" ht="26.4">
      <c r="A9" s="96"/>
      <c r="B9" s="91"/>
      <c r="C9" s="88"/>
      <c r="D9" s="3" t="s">
        <v>88</v>
      </c>
      <c r="E9" s="20" t="s">
        <v>85</v>
      </c>
      <c r="F9" s="4" t="s">
        <v>78</v>
      </c>
      <c r="G9" s="21">
        <f>K1-G10-G8</f>
        <v>285</v>
      </c>
      <c r="H9" s="7" t="s">
        <v>14</v>
      </c>
      <c r="I9" s="52" t="s">
        <v>96</v>
      </c>
    </row>
    <row r="10" spans="1:11">
      <c r="A10" s="96"/>
      <c r="B10" s="91"/>
      <c r="C10" s="89"/>
      <c r="D10" s="3" t="s">
        <v>90</v>
      </c>
      <c r="E10" s="20" t="s">
        <v>85</v>
      </c>
      <c r="F10" s="4" t="s">
        <v>4</v>
      </c>
      <c r="G10" s="21">
        <v>60</v>
      </c>
      <c r="H10" s="7" t="s">
        <v>14</v>
      </c>
      <c r="I10" s="6" t="s">
        <v>76</v>
      </c>
    </row>
    <row r="11" spans="1:11">
      <c r="A11" s="95">
        <v>2</v>
      </c>
      <c r="B11" s="90" t="s">
        <v>89</v>
      </c>
      <c r="C11" s="87" t="s">
        <v>112</v>
      </c>
      <c r="D11" s="3" t="s">
        <v>75</v>
      </c>
      <c r="E11" s="20" t="s">
        <v>85</v>
      </c>
      <c r="F11" s="4" t="s">
        <v>21</v>
      </c>
      <c r="G11" s="21">
        <v>15</v>
      </c>
      <c r="H11" s="7" t="s">
        <v>14</v>
      </c>
      <c r="I11" s="5"/>
    </row>
    <row r="12" spans="1:11" ht="26.4">
      <c r="A12" s="96"/>
      <c r="B12" s="91"/>
      <c r="C12" s="100"/>
      <c r="D12" s="51" t="s">
        <v>91</v>
      </c>
      <c r="E12" s="20" t="s">
        <v>85</v>
      </c>
      <c r="F12" s="4" t="s">
        <v>78</v>
      </c>
      <c r="G12" s="21">
        <f>K1-G13-G11</f>
        <v>285</v>
      </c>
      <c r="H12" s="7" t="s">
        <v>14</v>
      </c>
      <c r="I12" s="52"/>
    </row>
    <row r="13" spans="1:11">
      <c r="A13" s="96"/>
      <c r="B13" s="91"/>
      <c r="C13" s="100"/>
      <c r="D13" s="3" t="s">
        <v>90</v>
      </c>
      <c r="E13" s="20" t="s">
        <v>85</v>
      </c>
      <c r="F13" s="4" t="s">
        <v>4</v>
      </c>
      <c r="G13" s="21">
        <v>60</v>
      </c>
      <c r="H13" s="7" t="s">
        <v>14</v>
      </c>
      <c r="I13" s="6"/>
    </row>
    <row r="14" spans="1:11">
      <c r="A14" s="96"/>
      <c r="B14" s="91"/>
      <c r="C14" s="90">
        <v>10</v>
      </c>
      <c r="D14" s="3" t="s">
        <v>75</v>
      </c>
      <c r="E14" s="20" t="s">
        <v>85</v>
      </c>
      <c r="F14" s="4" t="s">
        <v>21</v>
      </c>
      <c r="G14" s="21">
        <v>15</v>
      </c>
      <c r="H14" s="7" t="s">
        <v>14</v>
      </c>
      <c r="I14" s="6"/>
    </row>
    <row r="15" spans="1:11" ht="26.4">
      <c r="A15" s="96"/>
      <c r="B15" s="91"/>
      <c r="C15" s="91"/>
      <c r="D15" s="51" t="s">
        <v>91</v>
      </c>
      <c r="E15" s="20" t="s">
        <v>85</v>
      </c>
      <c r="F15" s="4" t="s">
        <v>78</v>
      </c>
      <c r="G15" s="21">
        <v>285</v>
      </c>
      <c r="H15" s="7" t="s">
        <v>14</v>
      </c>
      <c r="I15" s="6"/>
    </row>
    <row r="16" spans="1:11" ht="26.4">
      <c r="A16" s="96"/>
      <c r="B16" s="91"/>
      <c r="C16" s="92"/>
      <c r="D16" s="3" t="s">
        <v>90</v>
      </c>
      <c r="E16" s="20" t="s">
        <v>85</v>
      </c>
      <c r="F16" s="4" t="s">
        <v>4</v>
      </c>
      <c r="G16" s="21">
        <v>60</v>
      </c>
      <c r="H16" s="7" t="s">
        <v>14</v>
      </c>
      <c r="I16" s="52" t="s">
        <v>97</v>
      </c>
    </row>
    <row r="17" spans="1:9">
      <c r="A17" s="95">
        <v>3</v>
      </c>
      <c r="B17" s="90" t="s">
        <v>92</v>
      </c>
      <c r="C17" s="87" t="s">
        <v>113</v>
      </c>
      <c r="D17" s="3" t="s">
        <v>75</v>
      </c>
      <c r="E17" s="20" t="s">
        <v>85</v>
      </c>
      <c r="F17" s="4" t="s">
        <v>21</v>
      </c>
      <c r="G17" s="21">
        <v>15</v>
      </c>
      <c r="H17" s="7" t="s">
        <v>14</v>
      </c>
      <c r="I17" s="6"/>
    </row>
    <row r="18" spans="1:9" ht="14.7" customHeight="1">
      <c r="A18" s="96"/>
      <c r="B18" s="91"/>
      <c r="C18" s="88"/>
      <c r="D18" s="51" t="s">
        <v>93</v>
      </c>
      <c r="E18" s="20" t="s">
        <v>85</v>
      </c>
      <c r="F18" s="4" t="s">
        <v>78</v>
      </c>
      <c r="G18" s="21">
        <f>K1-G17-G19</f>
        <v>285</v>
      </c>
      <c r="H18" s="7" t="s">
        <v>14</v>
      </c>
      <c r="I18" s="5"/>
    </row>
    <row r="19" spans="1:9" ht="18.75" customHeight="1">
      <c r="A19" s="96"/>
      <c r="B19" s="91"/>
      <c r="C19" s="89"/>
      <c r="D19" s="3" t="s">
        <v>90</v>
      </c>
      <c r="E19" s="20" t="s">
        <v>85</v>
      </c>
      <c r="F19" s="4" t="s">
        <v>4</v>
      </c>
      <c r="G19" s="21">
        <v>60</v>
      </c>
      <c r="H19" s="7" t="s">
        <v>14</v>
      </c>
      <c r="I19" s="6"/>
    </row>
    <row r="20" spans="1:9" ht="46.95" customHeight="1">
      <c r="A20" s="96"/>
      <c r="B20" s="91"/>
      <c r="C20" s="90">
        <v>15</v>
      </c>
      <c r="D20" s="3" t="s">
        <v>75</v>
      </c>
      <c r="E20" s="20" t="s">
        <v>85</v>
      </c>
      <c r="F20" s="4" t="s">
        <v>21</v>
      </c>
      <c r="G20" s="21">
        <v>15</v>
      </c>
      <c r="H20" s="7" t="s">
        <v>14</v>
      </c>
      <c r="I20" s="6" t="s">
        <v>76</v>
      </c>
    </row>
    <row r="21" spans="1:9" ht="67.95" customHeight="1">
      <c r="A21" s="96"/>
      <c r="B21" s="91"/>
      <c r="C21" s="91"/>
      <c r="D21" s="51" t="s">
        <v>93</v>
      </c>
      <c r="E21" s="20" t="s">
        <v>85</v>
      </c>
      <c r="F21" s="4" t="s">
        <v>78</v>
      </c>
      <c r="G21" s="21">
        <v>285</v>
      </c>
      <c r="H21" s="7" t="s">
        <v>14</v>
      </c>
      <c r="I21" s="5" t="s">
        <v>98</v>
      </c>
    </row>
    <row r="22" spans="1:9">
      <c r="A22" s="96"/>
      <c r="B22" s="91"/>
      <c r="C22" s="92"/>
      <c r="D22" s="3" t="s">
        <v>90</v>
      </c>
      <c r="E22" s="20" t="s">
        <v>85</v>
      </c>
      <c r="F22" s="4" t="s">
        <v>4</v>
      </c>
      <c r="G22" s="21">
        <v>60</v>
      </c>
      <c r="H22" s="7" t="s">
        <v>14</v>
      </c>
      <c r="I22" s="6" t="s">
        <v>76</v>
      </c>
    </row>
    <row r="23" spans="1:9">
      <c r="A23" s="95">
        <v>4</v>
      </c>
      <c r="B23" s="90" t="s">
        <v>94</v>
      </c>
      <c r="C23" s="90" t="s">
        <v>114</v>
      </c>
      <c r="D23" s="3" t="s">
        <v>75</v>
      </c>
      <c r="E23" s="20" t="s">
        <v>85</v>
      </c>
      <c r="F23" s="4" t="s">
        <v>21</v>
      </c>
      <c r="G23" s="21">
        <v>15</v>
      </c>
      <c r="H23" s="7" t="s">
        <v>14</v>
      </c>
      <c r="I23" s="5"/>
    </row>
    <row r="24" spans="1:9">
      <c r="A24" s="96"/>
      <c r="B24" s="91"/>
      <c r="C24" s="91"/>
      <c r="D24" s="51" t="s">
        <v>95</v>
      </c>
      <c r="E24" s="20" t="s">
        <v>85</v>
      </c>
      <c r="F24" s="4" t="s">
        <v>78</v>
      </c>
      <c r="G24" s="21">
        <f>K1-G23-G25</f>
        <v>285</v>
      </c>
      <c r="H24" s="7" t="s">
        <v>14</v>
      </c>
      <c r="I24" s="5"/>
    </row>
    <row r="25" spans="1:9">
      <c r="A25" s="96"/>
      <c r="B25" s="91"/>
      <c r="C25" s="92"/>
      <c r="D25" s="3" t="s">
        <v>90</v>
      </c>
      <c r="E25" s="20" t="s">
        <v>85</v>
      </c>
      <c r="F25" s="4" t="s">
        <v>4</v>
      </c>
      <c r="G25" s="21">
        <v>60</v>
      </c>
      <c r="H25" s="7" t="s">
        <v>14</v>
      </c>
      <c r="I25" s="6"/>
    </row>
    <row r="26" spans="1:9">
      <c r="A26" s="96"/>
      <c r="B26" s="91"/>
      <c r="C26" s="90">
        <v>20</v>
      </c>
      <c r="D26" s="3" t="s">
        <v>75</v>
      </c>
      <c r="E26" s="20" t="s">
        <v>85</v>
      </c>
      <c r="F26" s="4" t="s">
        <v>21</v>
      </c>
      <c r="G26" s="21">
        <v>15</v>
      </c>
      <c r="H26" s="7" t="s">
        <v>14</v>
      </c>
      <c r="I26" s="6"/>
    </row>
    <row r="27" spans="1:9" ht="24.9" customHeight="1">
      <c r="A27" s="96"/>
      <c r="B27" s="91"/>
      <c r="C27" s="91"/>
      <c r="D27" s="51" t="s">
        <v>95</v>
      </c>
      <c r="E27" s="20" t="s">
        <v>85</v>
      </c>
      <c r="F27" s="4" t="s">
        <v>78</v>
      </c>
      <c r="G27" s="21">
        <v>285</v>
      </c>
      <c r="H27" s="7" t="s">
        <v>14</v>
      </c>
      <c r="I27" s="6" t="s">
        <v>115</v>
      </c>
    </row>
    <row r="28" spans="1:9">
      <c r="A28" s="96"/>
      <c r="B28" s="91"/>
      <c r="C28" s="92"/>
      <c r="D28" s="3" t="s">
        <v>90</v>
      </c>
      <c r="E28" s="20" t="s">
        <v>85</v>
      </c>
      <c r="F28" s="4" t="s">
        <v>4</v>
      </c>
      <c r="G28" s="21">
        <v>60</v>
      </c>
      <c r="H28" s="7" t="s">
        <v>14</v>
      </c>
      <c r="I28" s="5" t="s">
        <v>76</v>
      </c>
    </row>
    <row r="29" spans="1:9">
      <c r="A29" s="96"/>
      <c r="B29" s="91"/>
      <c r="C29" s="90" t="s">
        <v>117</v>
      </c>
      <c r="D29" s="3" t="s">
        <v>75</v>
      </c>
      <c r="E29" s="20" t="s">
        <v>85</v>
      </c>
      <c r="F29" s="4" t="s">
        <v>21</v>
      </c>
      <c r="G29" s="21">
        <v>15</v>
      </c>
      <c r="H29" s="7" t="s">
        <v>14</v>
      </c>
      <c r="I29" s="5"/>
    </row>
    <row r="30" spans="1:9" ht="26.4">
      <c r="A30" s="96"/>
      <c r="B30" s="91"/>
      <c r="C30" s="91"/>
      <c r="D30" s="51" t="s">
        <v>99</v>
      </c>
      <c r="E30" s="20" t="s">
        <v>85</v>
      </c>
      <c r="F30" s="4" t="s">
        <v>78</v>
      </c>
      <c r="G30" s="21">
        <f>K1-G29-G31</f>
        <v>285</v>
      </c>
      <c r="H30" s="7" t="s">
        <v>14</v>
      </c>
      <c r="I30" s="5"/>
    </row>
    <row r="31" spans="1:9">
      <c r="A31" s="96"/>
      <c r="B31" s="91"/>
      <c r="C31" s="92"/>
      <c r="D31" s="3" t="s">
        <v>90</v>
      </c>
      <c r="E31" s="20" t="s">
        <v>85</v>
      </c>
      <c r="F31" s="4" t="s">
        <v>4</v>
      </c>
      <c r="G31" s="21">
        <v>60</v>
      </c>
      <c r="H31" s="7" t="s">
        <v>14</v>
      </c>
      <c r="I31" s="6"/>
    </row>
    <row r="32" spans="1:9">
      <c r="A32" s="96"/>
      <c r="B32" s="91"/>
      <c r="C32" s="90">
        <v>25</v>
      </c>
      <c r="D32" s="3" t="s">
        <v>75</v>
      </c>
      <c r="E32" s="20" t="s">
        <v>85</v>
      </c>
      <c r="F32" s="4" t="s">
        <v>21</v>
      </c>
      <c r="G32" s="21">
        <v>15</v>
      </c>
      <c r="H32" s="7" t="s">
        <v>14</v>
      </c>
      <c r="I32" s="6"/>
    </row>
    <row r="33" spans="1:9" ht="52.8">
      <c r="A33" s="96"/>
      <c r="B33" s="91"/>
      <c r="C33" s="91"/>
      <c r="D33" s="51" t="s">
        <v>99</v>
      </c>
      <c r="E33" s="20" t="s">
        <v>85</v>
      </c>
      <c r="F33" s="4" t="s">
        <v>78</v>
      </c>
      <c r="G33" s="21">
        <v>285</v>
      </c>
      <c r="H33" s="7" t="s">
        <v>14</v>
      </c>
      <c r="I33" s="6" t="s">
        <v>116</v>
      </c>
    </row>
    <row r="34" spans="1:9">
      <c r="A34" s="96"/>
      <c r="B34" s="91"/>
      <c r="C34" s="92"/>
      <c r="D34" s="3" t="s">
        <v>90</v>
      </c>
      <c r="E34" s="20" t="s">
        <v>85</v>
      </c>
      <c r="F34" s="4" t="s">
        <v>4</v>
      </c>
      <c r="G34" s="21">
        <v>60</v>
      </c>
      <c r="H34" s="7" t="s">
        <v>14</v>
      </c>
      <c r="I34" s="5" t="s">
        <v>76</v>
      </c>
    </row>
    <row r="35" spans="1:9">
      <c r="A35" s="95">
        <v>5</v>
      </c>
      <c r="B35" s="90" t="s">
        <v>100</v>
      </c>
      <c r="C35" s="87" t="s">
        <v>119</v>
      </c>
      <c r="D35" s="3" t="s">
        <v>75</v>
      </c>
      <c r="E35" s="20" t="s">
        <v>85</v>
      </c>
      <c r="F35" s="4" t="s">
        <v>21</v>
      </c>
      <c r="G35" s="21">
        <v>15</v>
      </c>
      <c r="H35" s="7" t="s">
        <v>14</v>
      </c>
      <c r="I35" s="5"/>
    </row>
    <row r="36" spans="1:9" ht="22.5" customHeight="1">
      <c r="A36" s="96"/>
      <c r="B36" s="91"/>
      <c r="C36" s="88"/>
      <c r="D36" s="51" t="s">
        <v>77</v>
      </c>
      <c r="E36" s="20" t="s">
        <v>85</v>
      </c>
      <c r="F36" s="4" t="s">
        <v>78</v>
      </c>
      <c r="G36" s="21">
        <f>K1-G35-G37</f>
        <v>285</v>
      </c>
      <c r="H36" s="7" t="s">
        <v>14</v>
      </c>
      <c r="I36" s="5"/>
    </row>
    <row r="37" spans="1:9" ht="22.95" customHeight="1">
      <c r="A37" s="96"/>
      <c r="B37" s="91"/>
      <c r="C37" s="88"/>
      <c r="D37" s="3" t="s">
        <v>90</v>
      </c>
      <c r="E37" s="20" t="s">
        <v>85</v>
      </c>
      <c r="F37" s="4" t="s">
        <v>4</v>
      </c>
      <c r="G37" s="21">
        <v>60</v>
      </c>
      <c r="H37" s="7" t="s">
        <v>14</v>
      </c>
      <c r="I37" s="6"/>
    </row>
    <row r="38" spans="1:9" ht="22.95" customHeight="1">
      <c r="A38" s="96"/>
      <c r="B38" s="91"/>
      <c r="C38" s="90">
        <v>35</v>
      </c>
      <c r="D38" s="3" t="s">
        <v>75</v>
      </c>
      <c r="E38" s="20" t="s">
        <v>85</v>
      </c>
      <c r="F38" s="4" t="s">
        <v>21</v>
      </c>
      <c r="G38" s="21">
        <v>15</v>
      </c>
      <c r="H38" s="7" t="s">
        <v>14</v>
      </c>
      <c r="I38" s="6"/>
    </row>
    <row r="39" spans="1:9" ht="102" customHeight="1">
      <c r="A39" s="96"/>
      <c r="B39" s="91"/>
      <c r="C39" s="91"/>
      <c r="D39" s="51" t="s">
        <v>77</v>
      </c>
      <c r="E39" s="20" t="s">
        <v>85</v>
      </c>
      <c r="F39" s="4" t="s">
        <v>78</v>
      </c>
      <c r="G39" s="21">
        <v>285</v>
      </c>
      <c r="H39" s="7" t="s">
        <v>14</v>
      </c>
      <c r="I39" s="6" t="s">
        <v>118</v>
      </c>
    </row>
    <row r="40" spans="1:9">
      <c r="A40" s="96"/>
      <c r="B40" s="91"/>
      <c r="C40" s="92"/>
      <c r="D40" s="3" t="s">
        <v>90</v>
      </c>
      <c r="E40" s="20" t="s">
        <v>85</v>
      </c>
      <c r="F40" s="4" t="s">
        <v>4</v>
      </c>
      <c r="G40" s="21">
        <v>60</v>
      </c>
      <c r="H40" s="7" t="s">
        <v>14</v>
      </c>
      <c r="I40" s="5" t="s">
        <v>76</v>
      </c>
    </row>
    <row r="41" spans="1:9">
      <c r="A41" s="95">
        <v>6</v>
      </c>
      <c r="B41" s="90" t="s">
        <v>101</v>
      </c>
      <c r="C41" s="87" t="s">
        <v>121</v>
      </c>
      <c r="D41" s="3" t="s">
        <v>75</v>
      </c>
      <c r="E41" s="20" t="s">
        <v>85</v>
      </c>
      <c r="F41" s="4" t="s">
        <v>21</v>
      </c>
      <c r="G41" s="21">
        <v>15</v>
      </c>
      <c r="H41" s="7" t="s">
        <v>14</v>
      </c>
      <c r="I41" s="5"/>
    </row>
    <row r="42" spans="1:9">
      <c r="A42" s="96"/>
      <c r="B42" s="91"/>
      <c r="C42" s="88"/>
      <c r="D42" s="51" t="s">
        <v>77</v>
      </c>
      <c r="E42" s="20" t="s">
        <v>85</v>
      </c>
      <c r="F42" s="4" t="s">
        <v>78</v>
      </c>
      <c r="G42" s="21">
        <f>K1-G41-G43</f>
        <v>285</v>
      </c>
      <c r="H42" s="7" t="s">
        <v>14</v>
      </c>
      <c r="I42" s="5"/>
    </row>
    <row r="43" spans="1:9">
      <c r="A43" s="96"/>
      <c r="B43" s="91"/>
      <c r="C43" s="88"/>
      <c r="D43" s="3" t="s">
        <v>90</v>
      </c>
      <c r="E43" s="20" t="s">
        <v>85</v>
      </c>
      <c r="F43" s="4" t="s">
        <v>4</v>
      </c>
      <c r="G43" s="21">
        <v>60</v>
      </c>
      <c r="H43" s="7" t="s">
        <v>14</v>
      </c>
      <c r="I43" s="6"/>
    </row>
    <row r="44" spans="1:9">
      <c r="A44" s="96"/>
      <c r="B44" s="91"/>
      <c r="C44" s="90">
        <v>45</v>
      </c>
      <c r="D44" s="3" t="s">
        <v>75</v>
      </c>
      <c r="E44" s="20" t="s">
        <v>85</v>
      </c>
      <c r="F44" s="4" t="s">
        <v>21</v>
      </c>
      <c r="G44" s="21">
        <v>15</v>
      </c>
      <c r="H44" s="7" t="s">
        <v>14</v>
      </c>
      <c r="I44" s="6"/>
    </row>
    <row r="45" spans="1:9" ht="26.4">
      <c r="A45" s="96"/>
      <c r="B45" s="91"/>
      <c r="C45" s="91"/>
      <c r="D45" s="51" t="s">
        <v>77</v>
      </c>
      <c r="E45" s="20" t="s">
        <v>85</v>
      </c>
      <c r="F45" s="4" t="s">
        <v>78</v>
      </c>
      <c r="G45" s="21">
        <v>285</v>
      </c>
      <c r="H45" s="7" t="s">
        <v>14</v>
      </c>
      <c r="I45" s="6" t="s">
        <v>120</v>
      </c>
    </row>
    <row r="46" spans="1:9">
      <c r="A46" s="96"/>
      <c r="B46" s="91"/>
      <c r="C46" s="92"/>
      <c r="D46" s="3" t="s">
        <v>90</v>
      </c>
      <c r="E46" s="20" t="s">
        <v>85</v>
      </c>
      <c r="F46" s="4" t="s">
        <v>4</v>
      </c>
      <c r="G46" s="21">
        <v>60</v>
      </c>
      <c r="H46" s="7" t="s">
        <v>14</v>
      </c>
      <c r="I46" s="5" t="s">
        <v>76</v>
      </c>
    </row>
    <row r="47" spans="1:9">
      <c r="A47" s="95">
        <v>7</v>
      </c>
      <c r="B47" s="90" t="s">
        <v>102</v>
      </c>
      <c r="C47" s="87" t="s">
        <v>122</v>
      </c>
      <c r="D47" s="3" t="s">
        <v>75</v>
      </c>
      <c r="E47" s="20" t="s">
        <v>85</v>
      </c>
      <c r="F47" s="4" t="s">
        <v>21</v>
      </c>
      <c r="G47" s="21">
        <v>15</v>
      </c>
      <c r="H47" s="7" t="s">
        <v>14</v>
      </c>
      <c r="I47" s="5"/>
    </row>
    <row r="48" spans="1:9">
      <c r="A48" s="96"/>
      <c r="B48" s="91"/>
      <c r="C48" s="88"/>
      <c r="D48" s="51" t="s">
        <v>77</v>
      </c>
      <c r="E48" s="20" t="s">
        <v>85</v>
      </c>
      <c r="F48" s="4" t="s">
        <v>78</v>
      </c>
      <c r="G48" s="21">
        <f>K1-G47-G49</f>
        <v>285</v>
      </c>
      <c r="H48" s="7" t="s">
        <v>14</v>
      </c>
      <c r="I48" s="5"/>
    </row>
    <row r="49" spans="1:9">
      <c r="A49" s="96"/>
      <c r="B49" s="91"/>
      <c r="C49" s="89"/>
      <c r="D49" s="3" t="s">
        <v>90</v>
      </c>
      <c r="E49" s="20" t="s">
        <v>85</v>
      </c>
      <c r="F49" s="4" t="s">
        <v>4</v>
      </c>
      <c r="G49" s="21">
        <v>60</v>
      </c>
      <c r="H49" s="7" t="s">
        <v>14</v>
      </c>
      <c r="I49" s="6"/>
    </row>
    <row r="50" spans="1:9">
      <c r="A50" s="96"/>
      <c r="B50" s="91"/>
      <c r="C50" s="90">
        <v>55</v>
      </c>
      <c r="D50" s="3" t="s">
        <v>75</v>
      </c>
      <c r="E50" s="20" t="s">
        <v>85</v>
      </c>
      <c r="F50" s="4" t="s">
        <v>21</v>
      </c>
      <c r="G50" s="21">
        <v>15</v>
      </c>
      <c r="H50" s="7" t="s">
        <v>14</v>
      </c>
      <c r="I50" s="6"/>
    </row>
    <row r="51" spans="1:9" ht="26.4">
      <c r="A51" s="96"/>
      <c r="B51" s="91"/>
      <c r="C51" s="91"/>
      <c r="D51" s="51" t="s">
        <v>77</v>
      </c>
      <c r="E51" s="20" t="s">
        <v>85</v>
      </c>
      <c r="F51" s="4" t="s">
        <v>78</v>
      </c>
      <c r="G51" s="21">
        <v>285</v>
      </c>
      <c r="H51" s="7" t="s">
        <v>14</v>
      </c>
      <c r="I51" s="6" t="s">
        <v>123</v>
      </c>
    </row>
    <row r="52" spans="1:9">
      <c r="A52" s="96"/>
      <c r="B52" s="91"/>
      <c r="C52" s="92"/>
      <c r="D52" s="3" t="s">
        <v>90</v>
      </c>
      <c r="E52" s="20" t="s">
        <v>85</v>
      </c>
      <c r="F52" s="4" t="s">
        <v>4</v>
      </c>
      <c r="G52" s="21">
        <v>60</v>
      </c>
      <c r="H52" s="7" t="s">
        <v>14</v>
      </c>
      <c r="I52" s="5" t="s">
        <v>76</v>
      </c>
    </row>
    <row r="53" spans="1:9">
      <c r="A53" s="95">
        <v>8</v>
      </c>
      <c r="B53" s="90" t="s">
        <v>103</v>
      </c>
      <c r="C53" s="87" t="s">
        <v>124</v>
      </c>
      <c r="D53" s="3" t="s">
        <v>75</v>
      </c>
      <c r="E53" s="20" t="s">
        <v>85</v>
      </c>
      <c r="F53" s="4" t="s">
        <v>21</v>
      </c>
      <c r="G53" s="21">
        <v>15</v>
      </c>
      <c r="H53" s="7" t="s">
        <v>14</v>
      </c>
      <c r="I53" s="5"/>
    </row>
    <row r="54" spans="1:9">
      <c r="A54" s="96"/>
      <c r="B54" s="91"/>
      <c r="C54" s="88"/>
      <c r="D54" s="51" t="s">
        <v>77</v>
      </c>
      <c r="E54" s="20" t="s">
        <v>85</v>
      </c>
      <c r="F54" s="4" t="s">
        <v>78</v>
      </c>
      <c r="G54" s="21">
        <f>K1-G53-G55</f>
        <v>285</v>
      </c>
      <c r="H54" s="7" t="s">
        <v>14</v>
      </c>
      <c r="I54" s="5"/>
    </row>
    <row r="55" spans="1:9">
      <c r="A55" s="96"/>
      <c r="B55" s="91"/>
      <c r="C55" s="89"/>
      <c r="D55" s="3" t="s">
        <v>90</v>
      </c>
      <c r="E55" s="20" t="s">
        <v>85</v>
      </c>
      <c r="F55" s="4" t="s">
        <v>4</v>
      </c>
      <c r="G55" s="21">
        <v>60</v>
      </c>
      <c r="H55" s="7" t="s">
        <v>14</v>
      </c>
      <c r="I55" s="6"/>
    </row>
    <row r="56" spans="1:9">
      <c r="A56" s="96"/>
      <c r="B56" s="91"/>
      <c r="C56" s="90">
        <v>65</v>
      </c>
      <c r="D56" s="3" t="s">
        <v>75</v>
      </c>
      <c r="E56" s="20" t="s">
        <v>85</v>
      </c>
      <c r="F56" s="4" t="s">
        <v>21</v>
      </c>
      <c r="G56" s="21">
        <v>15</v>
      </c>
      <c r="H56" s="7" t="s">
        <v>14</v>
      </c>
      <c r="I56" s="6"/>
    </row>
    <row r="57" spans="1:9" ht="118.8">
      <c r="A57" s="96"/>
      <c r="B57" s="91"/>
      <c r="C57" s="91"/>
      <c r="D57" s="51" t="s">
        <v>77</v>
      </c>
      <c r="E57" s="20" t="s">
        <v>85</v>
      </c>
      <c r="F57" s="4" t="s">
        <v>78</v>
      </c>
      <c r="G57" s="21">
        <v>285</v>
      </c>
      <c r="H57" s="7" t="s">
        <v>14</v>
      </c>
      <c r="I57" s="6" t="s">
        <v>125</v>
      </c>
    </row>
    <row r="58" spans="1:9">
      <c r="A58" s="96"/>
      <c r="B58" s="91"/>
      <c r="C58" s="92"/>
      <c r="D58" s="3" t="s">
        <v>90</v>
      </c>
      <c r="E58" s="20" t="s">
        <v>85</v>
      </c>
      <c r="F58" s="4" t="s">
        <v>4</v>
      </c>
      <c r="G58" s="21">
        <v>60</v>
      </c>
      <c r="H58" s="7" t="s">
        <v>14</v>
      </c>
      <c r="I58" s="5" t="s">
        <v>76</v>
      </c>
    </row>
    <row r="59" spans="1:9">
      <c r="A59" s="95">
        <v>9</v>
      </c>
      <c r="B59" s="90" t="s">
        <v>106</v>
      </c>
      <c r="C59" s="87" t="s">
        <v>126</v>
      </c>
      <c r="D59" s="3" t="s">
        <v>75</v>
      </c>
      <c r="E59" s="20" t="s">
        <v>85</v>
      </c>
      <c r="F59" s="4" t="s">
        <v>21</v>
      </c>
      <c r="G59" s="21">
        <v>15</v>
      </c>
      <c r="H59" s="7" t="s">
        <v>14</v>
      </c>
      <c r="I59" s="5"/>
    </row>
    <row r="60" spans="1:9">
      <c r="A60" s="96"/>
      <c r="B60" s="91"/>
      <c r="C60" s="88"/>
      <c r="D60" s="51" t="s">
        <v>105</v>
      </c>
      <c r="E60" s="20" t="s">
        <v>85</v>
      </c>
      <c r="F60" s="4" t="s">
        <v>78</v>
      </c>
      <c r="G60" s="21">
        <f>K1-G59-G61</f>
        <v>285</v>
      </c>
      <c r="H60" s="7" t="s">
        <v>14</v>
      </c>
      <c r="I60" s="53"/>
    </row>
    <row r="61" spans="1:9">
      <c r="A61" s="96"/>
      <c r="B61" s="91"/>
      <c r="C61" s="89"/>
      <c r="D61" s="3" t="s">
        <v>90</v>
      </c>
      <c r="E61" s="20" t="s">
        <v>85</v>
      </c>
      <c r="F61" s="4" t="s">
        <v>4</v>
      </c>
      <c r="G61" s="21">
        <v>60</v>
      </c>
      <c r="H61" s="7" t="s">
        <v>14</v>
      </c>
      <c r="I61" s="6"/>
    </row>
    <row r="62" spans="1:9">
      <c r="A62" s="96"/>
      <c r="B62" s="91"/>
      <c r="C62" s="91">
        <v>70</v>
      </c>
      <c r="D62" s="3" t="s">
        <v>75</v>
      </c>
      <c r="E62" s="20" t="s">
        <v>85</v>
      </c>
      <c r="F62" s="4" t="s">
        <v>21</v>
      </c>
      <c r="G62" s="21">
        <v>15</v>
      </c>
      <c r="H62" s="7" t="s">
        <v>14</v>
      </c>
      <c r="I62" s="6"/>
    </row>
    <row r="63" spans="1:9" ht="52.8">
      <c r="A63" s="96"/>
      <c r="B63" s="91"/>
      <c r="C63" s="91"/>
      <c r="D63" s="51" t="s">
        <v>105</v>
      </c>
      <c r="E63" s="20" t="s">
        <v>85</v>
      </c>
      <c r="F63" s="4" t="s">
        <v>78</v>
      </c>
      <c r="G63" s="21">
        <v>285</v>
      </c>
      <c r="H63" s="7" t="s">
        <v>14</v>
      </c>
      <c r="I63" s="6" t="s">
        <v>104</v>
      </c>
    </row>
    <row r="64" spans="1:9">
      <c r="A64" s="96"/>
      <c r="B64" s="91"/>
      <c r="C64" s="92"/>
      <c r="D64" s="3" t="s">
        <v>90</v>
      </c>
      <c r="E64" s="20" t="s">
        <v>85</v>
      </c>
      <c r="F64" s="4" t="s">
        <v>4</v>
      </c>
      <c r="G64" s="21">
        <v>60</v>
      </c>
      <c r="H64" s="7" t="s">
        <v>14</v>
      </c>
      <c r="I64" s="5" t="s">
        <v>76</v>
      </c>
    </row>
    <row r="65" spans="1:9">
      <c r="A65" s="93">
        <v>10</v>
      </c>
      <c r="B65" s="94" t="s">
        <v>107</v>
      </c>
      <c r="C65" s="87" t="s">
        <v>126</v>
      </c>
      <c r="D65" s="3" t="s">
        <v>75</v>
      </c>
      <c r="E65" s="20" t="s">
        <v>85</v>
      </c>
      <c r="F65" s="4" t="s">
        <v>21</v>
      </c>
      <c r="G65" s="21">
        <v>15</v>
      </c>
      <c r="H65" s="7" t="s">
        <v>14</v>
      </c>
      <c r="I65" s="5"/>
    </row>
    <row r="66" spans="1:9" ht="19.95" customHeight="1">
      <c r="A66" s="93"/>
      <c r="B66" s="94"/>
      <c r="C66" s="88"/>
      <c r="D66" s="51" t="s">
        <v>108</v>
      </c>
      <c r="E66" s="20" t="s">
        <v>85</v>
      </c>
      <c r="F66" s="4" t="s">
        <v>78</v>
      </c>
      <c r="G66" s="21">
        <f>K1-G65-G67</f>
        <v>285</v>
      </c>
      <c r="H66" s="7" t="s">
        <v>14</v>
      </c>
      <c r="I66" s="53"/>
    </row>
    <row r="67" spans="1:9" ht="24" customHeight="1">
      <c r="A67" s="93"/>
      <c r="B67" s="94"/>
      <c r="C67" s="89"/>
      <c r="D67" s="3" t="s">
        <v>90</v>
      </c>
      <c r="E67" s="20" t="s">
        <v>85</v>
      </c>
      <c r="F67" s="4" t="s">
        <v>4</v>
      </c>
      <c r="G67" s="21">
        <v>60</v>
      </c>
      <c r="H67" s="7" t="s">
        <v>14</v>
      </c>
      <c r="I67" s="6"/>
    </row>
    <row r="68" spans="1:9" ht="19.2" customHeight="1">
      <c r="A68" s="93"/>
      <c r="B68" s="94"/>
      <c r="C68" s="90">
        <v>70</v>
      </c>
      <c r="D68" s="3" t="s">
        <v>75</v>
      </c>
      <c r="E68" s="20" t="s">
        <v>85</v>
      </c>
      <c r="F68" s="4" t="s">
        <v>21</v>
      </c>
      <c r="G68" s="21">
        <v>15</v>
      </c>
      <c r="H68" s="7" t="s">
        <v>14</v>
      </c>
      <c r="I68" s="6"/>
    </row>
    <row r="69" spans="1:9" ht="105" customHeight="1">
      <c r="A69" s="93"/>
      <c r="B69" s="94"/>
      <c r="C69" s="91"/>
      <c r="D69" s="51" t="s">
        <v>108</v>
      </c>
      <c r="E69" s="20" t="s">
        <v>85</v>
      </c>
      <c r="F69" s="4" t="s">
        <v>78</v>
      </c>
      <c r="G69" s="21">
        <v>285</v>
      </c>
      <c r="H69" s="7" t="s">
        <v>14</v>
      </c>
      <c r="I69" s="6" t="s">
        <v>127</v>
      </c>
    </row>
    <row r="70" spans="1:9">
      <c r="A70" s="93"/>
      <c r="B70" s="94"/>
      <c r="C70" s="92"/>
      <c r="D70" s="3" t="s">
        <v>90</v>
      </c>
      <c r="E70" s="20" t="s">
        <v>85</v>
      </c>
      <c r="F70" s="4" t="s">
        <v>4</v>
      </c>
      <c r="G70" s="21">
        <v>60</v>
      </c>
      <c r="H70" s="7" t="s">
        <v>14</v>
      </c>
      <c r="I70" s="53" t="s">
        <v>76</v>
      </c>
    </row>
    <row r="72" spans="1:9">
      <c r="F72" s="8" t="s">
        <v>3</v>
      </c>
      <c r="G72" s="11">
        <f>SUMIF(F$11:F$70,F72,G$11:G$70)</f>
        <v>0</v>
      </c>
      <c r="H72" s="12">
        <f>G72/$G$77</f>
        <v>0</v>
      </c>
    </row>
    <row r="73" spans="1:9">
      <c r="F73" s="8" t="s">
        <v>78</v>
      </c>
      <c r="G73" s="11">
        <f>SUMIF(F$11:F$70,F73,G$11:G$70)</f>
        <v>5700</v>
      </c>
      <c r="H73" s="12">
        <f>G73/$G$77</f>
        <v>0.79166666666666663</v>
      </c>
    </row>
    <row r="74" spans="1:9">
      <c r="F74" s="8" t="s">
        <v>4</v>
      </c>
      <c r="G74" s="11">
        <f>SUMIF(F$11:F$70,F74,G$11:G$70)</f>
        <v>1200</v>
      </c>
      <c r="H74" s="12">
        <f>G74/$G$77</f>
        <v>0.16666666666666666</v>
      </c>
    </row>
    <row r="75" spans="1:9">
      <c r="F75" s="8" t="s">
        <v>21</v>
      </c>
      <c r="G75" s="11">
        <f>SUMIF(F$11:F$70,F75,G$11:G$70)</f>
        <v>300</v>
      </c>
      <c r="H75" s="12">
        <f>G75/$G$77</f>
        <v>4.1666666666666664E-2</v>
      </c>
    </row>
    <row r="76" spans="1:9">
      <c r="F76" s="8" t="s">
        <v>20</v>
      </c>
      <c r="G76" s="11">
        <f>SUMIF(F$11:F$70,F76,G$11:G$70)</f>
        <v>0</v>
      </c>
      <c r="H76" s="12">
        <f>G76/$G$77</f>
        <v>0</v>
      </c>
    </row>
    <row r="77" spans="1:9">
      <c r="F77" s="8" t="s">
        <v>15</v>
      </c>
      <c r="G77" s="13">
        <f>SUM(G72:G76)</f>
        <v>7200</v>
      </c>
      <c r="H77" s="14">
        <f>SUM(H72:H76)</f>
        <v>0.99999999999999989</v>
      </c>
    </row>
  </sheetData>
  <dataConsolidate/>
  <mergeCells count="45">
    <mergeCell ref="A1:I1"/>
    <mergeCell ref="A2:B2"/>
    <mergeCell ref="B23:B34"/>
    <mergeCell ref="A23:A34"/>
    <mergeCell ref="A11:A16"/>
    <mergeCell ref="B11:B16"/>
    <mergeCell ref="C3:C4"/>
    <mergeCell ref="B3:B10"/>
    <mergeCell ref="A3:A10"/>
    <mergeCell ref="C8:C10"/>
    <mergeCell ref="A17:A22"/>
    <mergeCell ref="B17:B22"/>
    <mergeCell ref="C5:C7"/>
    <mergeCell ref="C11:C13"/>
    <mergeCell ref="C14:C16"/>
    <mergeCell ref="C17:C19"/>
    <mergeCell ref="A65:A70"/>
    <mergeCell ref="B65:B70"/>
    <mergeCell ref="A35:A40"/>
    <mergeCell ref="B35:B40"/>
    <mergeCell ref="A41:A46"/>
    <mergeCell ref="B41:B46"/>
    <mergeCell ref="A47:A52"/>
    <mergeCell ref="B47:B52"/>
    <mergeCell ref="A53:A58"/>
    <mergeCell ref="B53:B58"/>
    <mergeCell ref="A59:A64"/>
    <mergeCell ref="B59:B64"/>
    <mergeCell ref="C20:C22"/>
    <mergeCell ref="C23:C25"/>
    <mergeCell ref="C26:C28"/>
    <mergeCell ref="C29:C31"/>
    <mergeCell ref="C32:C34"/>
    <mergeCell ref="C35:C37"/>
    <mergeCell ref="C38:C40"/>
    <mergeCell ref="C41:C43"/>
    <mergeCell ref="C59:C61"/>
    <mergeCell ref="C62:C64"/>
    <mergeCell ref="C65:C67"/>
    <mergeCell ref="C68:C70"/>
    <mergeCell ref="C44:C46"/>
    <mergeCell ref="C47:C49"/>
    <mergeCell ref="C50:C52"/>
    <mergeCell ref="C53:C55"/>
    <mergeCell ref="C56:C58"/>
  </mergeCells>
  <conditionalFormatting sqref="H1:H1048576">
    <cfRule type="cellIs" dxfId="0" priority="14" operator="equal">
      <formula>"Online"</formula>
    </cfRule>
  </conditionalFormatting>
  <dataValidations count="2">
    <dataValidation type="list" allowBlank="1" showInputMessage="1" showErrorMessage="1" sqref="H3:H70" xr:uid="{00000000-0002-0000-0200-000000000000}">
      <formula1>"Online,Offline,Blended,Virtual training,Hybrid "</formula1>
    </dataValidation>
    <dataValidation type="list" allowBlank="1" showErrorMessage="1" sqref="F3:F70" xr:uid="{00000000-0002-0000-0200-000001000000}">
      <formula1>"Concept/Lecture, Assignment/Lab, Test/Quiz, Exam, Guides/Review, Seminar/Workshop, Class Meeting, Product Increment"</formula1>
    </dataValidation>
  </dataValidations>
  <pageMargins left="0.44" right="0.70866141732283505" top="0.47" bottom="0.55000000000000004" header="0.31496062992126" footer="0.31496062992126"/>
  <pageSetup paperSize="9" fitToHeight="2" orientation="landscape" r:id="rId1"/>
  <headerFooter>
    <oddFooter>&amp;L18e-BM/DT/FSOFT v1/1&amp;CInternal use&amp;R&amp;P/&amp;N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IF(Syllabus!1:1,"AAAAAH7b/wA=",0)</f>
        <v>#VALUE!</v>
      </c>
      <c r="B1" t="e">
        <f>AND(Syllabus!#REF!,"AAAAAH7b/wE=")</f>
        <v>#REF!</v>
      </c>
      <c r="C1" t="e">
        <f>AND(Syllabus!B1,"AAAAAH7b/wI=")</f>
        <v>#VALUE!</v>
      </c>
      <c r="D1" t="e">
        <f>AND(Syllabus!C1,"AAAAAH7b/wM=")</f>
        <v>#VALUE!</v>
      </c>
      <c r="E1" t="e">
        <f>AND(Syllabus!D1,"AAAAAH7b/wQ=")</f>
        <v>#VALUE!</v>
      </c>
      <c r="F1" t="e">
        <f>AND(Syllabus!E1,"AAAAAH7b/wU=")</f>
        <v>#VALUE!</v>
      </c>
      <c r="G1" t="e">
        <f>AND(Syllabus!F1,"AAAAAH7b/wY=")</f>
        <v>#VALUE!</v>
      </c>
      <c r="H1" t="e">
        <f>AND(Syllabus!G1,"AAAAAH7b/wc=")</f>
        <v>#VALUE!</v>
      </c>
      <c r="I1" t="e">
        <f>IF(Syllabus!#REF!,"AAAAAH7b/wg=",0)</f>
        <v>#REF!</v>
      </c>
      <c r="J1" t="e">
        <f>AND(Syllabus!#REF!,"AAAAAH7b/wk=")</f>
        <v>#REF!</v>
      </c>
      <c r="K1" t="e">
        <f>AND(Syllabus!#REF!,"AAAAAH7b/wo=")</f>
        <v>#REF!</v>
      </c>
      <c r="L1" t="e">
        <f>AND(Syllabus!#REF!,"AAAAAH7b/ws=")</f>
        <v>#REF!</v>
      </c>
      <c r="M1" t="e">
        <f>AND(Syllabus!#REF!,"AAAAAH7b/ww=")</f>
        <v>#REF!</v>
      </c>
      <c r="N1" t="e">
        <f>AND(Syllabus!#REF!,"AAAAAH7b/w0=")</f>
        <v>#REF!</v>
      </c>
      <c r="O1" t="e">
        <f>AND(Syllabus!#REF!,"AAAAAH7b/w4=")</f>
        <v>#REF!</v>
      </c>
      <c r="P1" t="e">
        <f>AND(Syllabus!#REF!,"AAAAAH7b/w8=")</f>
        <v>#REF!</v>
      </c>
      <c r="Q1">
        <f>IF(Syllabus!2:2,"AAAAAH7b/xA=",0)</f>
        <v>0</v>
      </c>
      <c r="R1" t="b">
        <f>AND(Syllabus!A2,"AAAAAH7b/xE=")</f>
        <v>1</v>
      </c>
      <c r="S1" t="e">
        <f>AND(Syllabus!B2,"AAAAAH7b/xI=")</f>
        <v>#VALUE!</v>
      </c>
      <c r="T1" t="e">
        <f>AND(Syllabus!C2,"AAAAAH7b/xM=")</f>
        <v>#VALUE!</v>
      </c>
      <c r="U1" t="e">
        <f>AND(Syllabus!D2,"AAAAAH7b/xQ=")</f>
        <v>#VALUE!</v>
      </c>
      <c r="V1" t="e">
        <f>AND(Syllabus!E2,"AAAAAH7b/xU=")</f>
        <v>#VALUE!</v>
      </c>
      <c r="W1" t="e">
        <f>AND(Syllabus!F2,"AAAAAH7b/xY=")</f>
        <v>#VALUE!</v>
      </c>
      <c r="X1" t="e">
        <f>AND(Syllabus!G2,"AAAAAH7b/xc=")</f>
        <v>#VALUE!</v>
      </c>
      <c r="Y1">
        <f>IF(Syllabus!4:4,"AAAAAH7b/xg=",0)</f>
        <v>0</v>
      </c>
      <c r="Z1" t="b">
        <f>AND(Syllabus!A4,"AAAAAH7b/xk=")</f>
        <v>1</v>
      </c>
      <c r="AA1" t="e">
        <f>AND(Syllabus!B4,"AAAAAH7b/xo=")</f>
        <v>#VALUE!</v>
      </c>
      <c r="AB1" t="e">
        <f>AND(Syllabus!C4,"AAAAAH7b/xs=")</f>
        <v>#VALUE!</v>
      </c>
      <c r="AC1" t="e">
        <f>AND(Syllabus!D4,"AAAAAH7b/xw=")</f>
        <v>#VALUE!</v>
      </c>
      <c r="AD1" t="e">
        <f>AND(Syllabus!E4,"AAAAAH7b/x0=")</f>
        <v>#VALUE!</v>
      </c>
      <c r="AE1" t="e">
        <f>AND(Syllabus!F4,"AAAAAH7b/x4=")</f>
        <v>#VALUE!</v>
      </c>
      <c r="AF1" t="e">
        <f>AND(Syllabus!G4,"AAAAAH7b/x8=")</f>
        <v>#VALUE!</v>
      </c>
      <c r="AG1">
        <f>IF(Syllabus!5:5,"AAAAAH7b/yA=",0)</f>
        <v>0</v>
      </c>
      <c r="AH1" t="b">
        <f>AND(Syllabus!A5,"AAAAAH7b/yE=")</f>
        <v>1</v>
      </c>
      <c r="AI1" t="e">
        <f>AND(Syllabus!B5,"AAAAAH7b/yI=")</f>
        <v>#VALUE!</v>
      </c>
      <c r="AJ1" t="b">
        <f>AND(Syllabus!C5,"AAAAAH7b/yM=")</f>
        <v>1</v>
      </c>
      <c r="AK1" t="e">
        <f>AND(Syllabus!D5,"AAAAAH7b/yQ=")</f>
        <v>#VALUE!</v>
      </c>
      <c r="AL1" t="e">
        <f>AND(Syllabus!E5,"AAAAAH7b/yU=")</f>
        <v>#VALUE!</v>
      </c>
      <c r="AM1" t="e">
        <f>AND(Syllabus!F5,"AAAAAH7b/yY=")</f>
        <v>#VALUE!</v>
      </c>
      <c r="AN1" t="e">
        <f>AND(Syllabus!G5,"AAAAAH7b/yc=")</f>
        <v>#VALUE!</v>
      </c>
      <c r="AO1" t="e">
        <f>IF(_xlfn.SINGLE(Syllabus!#REF!),"AAAAAH7b/yg=",0)</f>
        <v>#REF!</v>
      </c>
      <c r="AP1" t="e">
        <f>AND(Syllabus!#REF!,"AAAAAH7b/yk=")</f>
        <v>#REF!</v>
      </c>
      <c r="AQ1" t="e">
        <f>AND(Syllabus!#REF!,"AAAAAH7b/yo=")</f>
        <v>#REF!</v>
      </c>
      <c r="AR1" t="e">
        <f>AND(Syllabus!#REF!,"AAAAAH7b/ys=")</f>
        <v>#REF!</v>
      </c>
      <c r="AS1" t="e">
        <f>AND(Syllabus!#REF!,"AAAAAH7b/yw=")</f>
        <v>#REF!</v>
      </c>
      <c r="AT1" t="e">
        <f>AND(Syllabus!#REF!,"AAAAAH7b/y0=")</f>
        <v>#REF!</v>
      </c>
      <c r="AU1" t="e">
        <f>AND(Syllabus!#REF!,"AAAAAH7b/y4=")</f>
        <v>#REF!</v>
      </c>
      <c r="AV1" t="e">
        <f>AND(Syllabus!#REF!,"AAAAAH7b/y8=")</f>
        <v>#REF!</v>
      </c>
      <c r="AW1" t="e">
        <f>IF(_xlfn.SINGLE(Syllabus!#REF!),"AAAAAH7b/zA=",0)</f>
        <v>#REF!</v>
      </c>
      <c r="AX1" t="e">
        <f>AND(Syllabus!#REF!,"AAAAAH7b/zE=")</f>
        <v>#REF!</v>
      </c>
      <c r="AY1" t="e">
        <f>AND(Syllabus!#REF!,"AAAAAH7b/zI=")</f>
        <v>#REF!</v>
      </c>
      <c r="AZ1" t="e">
        <f>AND(Syllabus!#REF!,"AAAAAH7b/zM=")</f>
        <v>#REF!</v>
      </c>
      <c r="BA1" t="e">
        <f>AND(Syllabus!#REF!,"AAAAAH7b/zQ=")</f>
        <v>#REF!</v>
      </c>
      <c r="BB1" t="e">
        <f>AND(Syllabus!#REF!,"AAAAAH7b/zU=")</f>
        <v>#REF!</v>
      </c>
      <c r="BC1" t="e">
        <f>AND(Syllabus!#REF!,"AAAAAH7b/zY=")</f>
        <v>#REF!</v>
      </c>
      <c r="BD1" t="e">
        <f>AND(Syllabus!#REF!,"AAAAAH7b/zc=")</f>
        <v>#REF!</v>
      </c>
      <c r="BE1" t="e">
        <f>IF(_xlfn.SINGLE(Syllabus!#REF!),"AAAAAH7b/zg=",0)</f>
        <v>#REF!</v>
      </c>
      <c r="BF1" t="e">
        <f>AND(Syllabus!#REF!,"AAAAAH7b/zk=")</f>
        <v>#REF!</v>
      </c>
      <c r="BG1" t="e">
        <f>AND(Syllabus!#REF!,"AAAAAH7b/zo=")</f>
        <v>#REF!</v>
      </c>
      <c r="BH1" t="e">
        <f>AND(Syllabus!#REF!,"AAAAAH7b/zs=")</f>
        <v>#REF!</v>
      </c>
      <c r="BI1" t="e">
        <f>AND(Syllabus!#REF!,"AAAAAH7b/zw=")</f>
        <v>#REF!</v>
      </c>
      <c r="BJ1" t="e">
        <f>AND(Syllabus!#REF!,"AAAAAH7b/z0=")</f>
        <v>#REF!</v>
      </c>
      <c r="BK1" t="e">
        <f>AND(Syllabus!#REF!,"AAAAAH7b/z4=")</f>
        <v>#REF!</v>
      </c>
      <c r="BL1" t="e">
        <f>AND(Syllabus!#REF!,"AAAAAH7b/z8=")</f>
        <v>#REF!</v>
      </c>
      <c r="BM1" t="e">
        <f>IF(_xlfn.SINGLE(Syllabus!#REF!),"AAAAAH7b/0A=",0)</f>
        <v>#REF!</v>
      </c>
      <c r="BN1" t="e">
        <f>AND(Syllabus!#REF!,"AAAAAH7b/0E=")</f>
        <v>#REF!</v>
      </c>
      <c r="BO1" t="e">
        <f>AND(Syllabus!#REF!,"AAAAAH7b/0I=")</f>
        <v>#REF!</v>
      </c>
      <c r="BP1" t="e">
        <f>AND(Syllabus!#REF!,"AAAAAH7b/0M=")</f>
        <v>#REF!</v>
      </c>
      <c r="BQ1" t="e">
        <f>AND(Syllabus!#REF!,"AAAAAH7b/0Q=")</f>
        <v>#REF!</v>
      </c>
      <c r="BR1" t="e">
        <f>AND(Syllabus!#REF!,"AAAAAH7b/0U=")</f>
        <v>#REF!</v>
      </c>
      <c r="BS1" t="e">
        <f>AND(Syllabus!#REF!,"AAAAAH7b/0Y=")</f>
        <v>#REF!</v>
      </c>
      <c r="BT1" t="e">
        <f>AND(Syllabus!#REF!,"AAAAAH7b/0c=")</f>
        <v>#REF!</v>
      </c>
      <c r="BU1" t="e">
        <f>IF(_xlfn.SINGLE(Syllabus!#REF!),"AAAAAH7b/0g=",0)</f>
        <v>#REF!</v>
      </c>
      <c r="BV1" t="e">
        <f>AND(Syllabus!#REF!,"AAAAAH7b/0k=")</f>
        <v>#REF!</v>
      </c>
      <c r="BW1" t="e">
        <f>AND(Syllabus!#REF!,"AAAAAH7b/0o=")</f>
        <v>#REF!</v>
      </c>
      <c r="BX1" t="e">
        <f>AND(Syllabus!#REF!,"AAAAAH7b/0s=")</f>
        <v>#REF!</v>
      </c>
      <c r="BY1" t="e">
        <f>AND(Syllabus!#REF!,"AAAAAH7b/0w=")</f>
        <v>#REF!</v>
      </c>
      <c r="BZ1" t="e">
        <f>AND(Syllabus!#REF!,"AAAAAH7b/00=")</f>
        <v>#REF!</v>
      </c>
      <c r="CA1" t="e">
        <f>AND(Syllabus!#REF!,"AAAAAH7b/04=")</f>
        <v>#REF!</v>
      </c>
      <c r="CB1" t="e">
        <f>AND(Syllabus!#REF!,"AAAAAH7b/08=")</f>
        <v>#REF!</v>
      </c>
      <c r="CC1" t="e">
        <f>IF(_xlfn.SINGLE(Syllabus!#REF!),"AAAAAH7b/1A=",0)</f>
        <v>#REF!</v>
      </c>
      <c r="CD1" t="e">
        <f>AND(Syllabus!#REF!,"AAAAAH7b/1E=")</f>
        <v>#REF!</v>
      </c>
      <c r="CE1" t="e">
        <f>AND(Syllabus!#REF!,"AAAAAH7b/1I=")</f>
        <v>#REF!</v>
      </c>
      <c r="CF1" t="e">
        <f>AND(Syllabus!#REF!,"AAAAAH7b/1M=")</f>
        <v>#REF!</v>
      </c>
      <c r="CG1" t="e">
        <f>AND(Syllabus!#REF!,"AAAAAH7b/1Q=")</f>
        <v>#REF!</v>
      </c>
      <c r="CH1" t="e">
        <f>AND(Syllabus!#REF!,"AAAAAH7b/1U=")</f>
        <v>#REF!</v>
      </c>
      <c r="CI1" t="e">
        <f>AND(Syllabus!#REF!,"AAAAAH7b/1Y=")</f>
        <v>#REF!</v>
      </c>
      <c r="CJ1" t="e">
        <f>AND(Syllabus!#REF!,"AAAAAH7b/1c=")</f>
        <v>#REF!</v>
      </c>
      <c r="CK1" t="e">
        <f>IF(_xlfn.SINGLE(Syllabus!#REF!),"AAAAAH7b/1g=",0)</f>
        <v>#REF!</v>
      </c>
      <c r="CL1" t="e">
        <f>AND(Syllabus!#REF!,"AAAAAH7b/1k=")</f>
        <v>#REF!</v>
      </c>
      <c r="CM1" t="e">
        <f>AND(Syllabus!#REF!,"AAAAAH7b/1o=")</f>
        <v>#REF!</v>
      </c>
      <c r="CN1" t="e">
        <f>AND(Syllabus!#REF!,"AAAAAH7b/1s=")</f>
        <v>#REF!</v>
      </c>
      <c r="CO1" t="e">
        <f>AND(Syllabus!#REF!,"AAAAAH7b/1w=")</f>
        <v>#REF!</v>
      </c>
      <c r="CP1" t="e">
        <f>AND(Syllabus!#REF!,"AAAAAH7b/10=")</f>
        <v>#REF!</v>
      </c>
      <c r="CQ1" t="e">
        <f>AND(Syllabus!#REF!,"AAAAAH7b/14=")</f>
        <v>#REF!</v>
      </c>
      <c r="CR1" t="e">
        <f>AND(Syllabus!#REF!,"AAAAAH7b/18=")</f>
        <v>#REF!</v>
      </c>
      <c r="CS1" t="e">
        <f>IF(_xlfn.SINGLE(Syllabus!#REF!),"AAAAAH7b/2A=",0)</f>
        <v>#REF!</v>
      </c>
      <c r="CT1" t="e">
        <f>AND(Syllabus!#REF!,"AAAAAH7b/2E=")</f>
        <v>#REF!</v>
      </c>
      <c r="CU1" t="e">
        <f>AND(Syllabus!#REF!,"AAAAAH7b/2I=")</f>
        <v>#REF!</v>
      </c>
      <c r="CV1" t="e">
        <f>AND(Syllabus!#REF!,"AAAAAH7b/2M=")</f>
        <v>#REF!</v>
      </c>
      <c r="CW1" t="e">
        <f>AND(Syllabus!#REF!,"AAAAAH7b/2Q=")</f>
        <v>#REF!</v>
      </c>
      <c r="CX1" t="e">
        <f>AND(Syllabus!#REF!,"AAAAAH7b/2U=")</f>
        <v>#REF!</v>
      </c>
      <c r="CY1" t="e">
        <f>AND(Syllabus!#REF!,"AAAAAH7b/2Y=")</f>
        <v>#REF!</v>
      </c>
      <c r="CZ1" t="e">
        <f>AND(Syllabus!#REF!,"AAAAAH7b/2c=")</f>
        <v>#REF!</v>
      </c>
      <c r="DA1" t="e">
        <f>IF(_xlfn.SINGLE(Syllabus!#REF!),"AAAAAH7b/2g=",0)</f>
        <v>#REF!</v>
      </c>
      <c r="DB1" t="e">
        <f>AND(Syllabus!#REF!,"AAAAAH7b/2k=")</f>
        <v>#REF!</v>
      </c>
      <c r="DC1" t="e">
        <f>AND(Syllabus!#REF!,"AAAAAH7b/2o=")</f>
        <v>#REF!</v>
      </c>
      <c r="DD1" t="e">
        <f>AND(Syllabus!#REF!,"AAAAAH7b/2s=")</f>
        <v>#REF!</v>
      </c>
      <c r="DE1" t="e">
        <f>AND(Syllabus!#REF!,"AAAAAH7b/2w=")</f>
        <v>#REF!</v>
      </c>
      <c r="DF1" t="e">
        <f>AND(Syllabus!#REF!,"AAAAAH7b/20=")</f>
        <v>#REF!</v>
      </c>
      <c r="DG1" t="e">
        <f>AND(Syllabus!#REF!,"AAAAAH7b/24=")</f>
        <v>#REF!</v>
      </c>
      <c r="DH1" t="e">
        <f>AND(Syllabus!#REF!,"AAAAAH7b/28=")</f>
        <v>#REF!</v>
      </c>
      <c r="DI1" t="e">
        <f>IF(_xlfn.SINGLE(Syllabus!#REF!),"AAAAAH7b/3A=",0)</f>
        <v>#REF!</v>
      </c>
      <c r="DJ1" t="e">
        <f>AND(Syllabus!#REF!,"AAAAAH7b/3E=")</f>
        <v>#REF!</v>
      </c>
      <c r="DK1" t="e">
        <f>AND(Syllabus!#REF!,"AAAAAH7b/3I=")</f>
        <v>#REF!</v>
      </c>
      <c r="DL1" t="e">
        <f>AND(Syllabus!#REF!,"AAAAAH7b/3M=")</f>
        <v>#REF!</v>
      </c>
      <c r="DM1" t="e">
        <f>AND(Syllabus!#REF!,"AAAAAH7b/3Q=")</f>
        <v>#REF!</v>
      </c>
      <c r="DN1" t="e">
        <f>AND(Syllabus!#REF!,"AAAAAH7b/3U=")</f>
        <v>#REF!</v>
      </c>
      <c r="DO1" t="e">
        <f>AND(Syllabus!#REF!,"AAAAAH7b/3Y=")</f>
        <v>#REF!</v>
      </c>
      <c r="DP1" t="e">
        <f>AND(Syllabus!#REF!,"AAAAAH7b/3c=")</f>
        <v>#REF!</v>
      </c>
      <c r="DQ1" t="e">
        <f>IF(_xlfn.SINGLE(Syllabus!#REF!),"AAAAAH7b/3g=",0)</f>
        <v>#REF!</v>
      </c>
      <c r="DR1" t="e">
        <f>AND(Syllabus!#REF!,"AAAAAH7b/3k=")</f>
        <v>#REF!</v>
      </c>
      <c r="DS1" t="e">
        <f>AND(Syllabus!#REF!,"AAAAAH7b/3o=")</f>
        <v>#REF!</v>
      </c>
      <c r="DT1" t="e">
        <f>AND(Syllabus!#REF!,"AAAAAH7b/3s=")</f>
        <v>#REF!</v>
      </c>
      <c r="DU1" t="e">
        <f>AND(Syllabus!#REF!,"AAAAAH7b/3w=")</f>
        <v>#REF!</v>
      </c>
      <c r="DV1" t="e">
        <f>AND(Syllabus!#REF!,"AAAAAH7b/30=")</f>
        <v>#REF!</v>
      </c>
      <c r="DW1" t="e">
        <f>AND(Syllabus!#REF!,"AAAAAH7b/34=")</f>
        <v>#REF!</v>
      </c>
      <c r="DX1" t="e">
        <f>AND(Syllabus!#REF!,"AAAAAH7b/38=")</f>
        <v>#REF!</v>
      </c>
      <c r="DY1" t="e">
        <f>IF(_xlfn.SINGLE(Syllabus!#REF!),"AAAAAH7b/4A=",0)</f>
        <v>#REF!</v>
      </c>
      <c r="DZ1" t="e">
        <f>AND(Syllabus!#REF!,"AAAAAH7b/4E=")</f>
        <v>#REF!</v>
      </c>
      <c r="EA1" t="e">
        <f>AND(Syllabus!#REF!,"AAAAAH7b/4I=")</f>
        <v>#REF!</v>
      </c>
      <c r="EB1" t="e">
        <f>AND(Syllabus!#REF!,"AAAAAH7b/4M=")</f>
        <v>#REF!</v>
      </c>
      <c r="EC1" t="e">
        <f>AND(Syllabus!#REF!,"AAAAAH7b/4Q=")</f>
        <v>#REF!</v>
      </c>
      <c r="ED1" t="e">
        <f>AND(Syllabus!#REF!,"AAAAAH7b/4U=")</f>
        <v>#REF!</v>
      </c>
      <c r="EE1" t="e">
        <f>AND(Syllabus!#REF!,"AAAAAH7b/4Y=")</f>
        <v>#REF!</v>
      </c>
      <c r="EF1" t="e">
        <f>AND(Syllabus!#REF!,"AAAAAH7b/4c=")</f>
        <v>#REF!</v>
      </c>
      <c r="EG1" t="e">
        <f>IF(_xlfn.SINGLE(Syllabus!#REF!),"AAAAAH7b/4g=",0)</f>
        <v>#REF!</v>
      </c>
      <c r="EH1" t="e">
        <f>AND(Syllabus!#REF!,"AAAAAH7b/4k=")</f>
        <v>#REF!</v>
      </c>
      <c r="EI1" t="e">
        <f>AND(Syllabus!#REF!,"AAAAAH7b/4o=")</f>
        <v>#REF!</v>
      </c>
      <c r="EJ1" t="e">
        <f>AND(Syllabus!#REF!,"AAAAAH7b/4s=")</f>
        <v>#REF!</v>
      </c>
      <c r="EK1" t="e">
        <f>AND(Syllabus!#REF!,"AAAAAH7b/4w=")</f>
        <v>#REF!</v>
      </c>
      <c r="EL1" t="e">
        <f>AND(Syllabus!#REF!,"AAAAAH7b/40=")</f>
        <v>#REF!</v>
      </c>
      <c r="EM1" t="e">
        <f>AND(Syllabus!#REF!,"AAAAAH7b/44=")</f>
        <v>#REF!</v>
      </c>
      <c r="EN1" t="e">
        <f>AND(Syllabus!#REF!,"AAAAAH7b/48=")</f>
        <v>#REF!</v>
      </c>
      <c r="EO1" t="e">
        <f>IF(Syllabus!#REF!,"AAAAAH7b/5A=",0)</f>
        <v>#REF!</v>
      </c>
      <c r="EP1" t="e">
        <f>AND(Syllabus!#REF!,"AAAAAH7b/5E=")</f>
        <v>#REF!</v>
      </c>
      <c r="EQ1" t="e">
        <f>AND(Syllabus!#REF!,"AAAAAH7b/5I=")</f>
        <v>#REF!</v>
      </c>
      <c r="ER1" t="e">
        <f>AND(Syllabus!#REF!,"AAAAAH7b/5M=")</f>
        <v>#REF!</v>
      </c>
      <c r="ES1" t="e">
        <f>AND(Syllabus!#REF!,"AAAAAH7b/5Q=")</f>
        <v>#REF!</v>
      </c>
      <c r="ET1" t="e">
        <f>AND(Syllabus!#REF!,"AAAAAH7b/5U=")</f>
        <v>#REF!</v>
      </c>
      <c r="EU1" t="e">
        <f>AND(Syllabus!#REF!,"AAAAAH7b/5Y=")</f>
        <v>#REF!</v>
      </c>
      <c r="EV1" t="e">
        <f>AND(Syllabus!#REF!,"AAAAAH7b/5c=")</f>
        <v>#REF!</v>
      </c>
      <c r="EW1" t="e">
        <f>IF(_xlfn.SINGLE(Syllabus!#REF!),"AAAAAH7b/5g=",0)</f>
        <v>#REF!</v>
      </c>
      <c r="EX1" t="e">
        <f>AND(Syllabus!#REF!,"AAAAAH7b/5k=")</f>
        <v>#REF!</v>
      </c>
      <c r="EY1" t="e">
        <f>AND(Syllabus!#REF!,"AAAAAH7b/5o=")</f>
        <v>#REF!</v>
      </c>
      <c r="EZ1" t="e">
        <f>AND(Syllabus!#REF!,"AAAAAH7b/5s=")</f>
        <v>#REF!</v>
      </c>
      <c r="FA1" t="e">
        <f>AND(Syllabus!#REF!,"AAAAAH7b/5w=")</f>
        <v>#REF!</v>
      </c>
      <c r="FB1" t="e">
        <f>AND(Syllabus!#REF!,"AAAAAH7b/50=")</f>
        <v>#REF!</v>
      </c>
      <c r="FC1" t="e">
        <f>AND(Syllabus!#REF!,"AAAAAH7b/54=")</f>
        <v>#REF!</v>
      </c>
      <c r="FD1" t="e">
        <f>AND(Syllabus!#REF!,"AAAAAH7b/58=")</f>
        <v>#REF!</v>
      </c>
      <c r="FE1" t="e">
        <f>IF(Syllabus!#REF!,"AAAAAH7b/6A=",0)</f>
        <v>#REF!</v>
      </c>
      <c r="FF1" t="e">
        <f>AND(Syllabus!#REF!,"AAAAAH7b/6E=")</f>
        <v>#REF!</v>
      </c>
      <c r="FG1" t="e">
        <f>AND(Syllabus!#REF!,"AAAAAH7b/6I=")</f>
        <v>#REF!</v>
      </c>
      <c r="FH1" t="e">
        <f>AND(Syllabus!#REF!,"AAAAAH7b/6M=")</f>
        <v>#REF!</v>
      </c>
      <c r="FI1" t="e">
        <f>AND(Syllabus!#REF!,"AAAAAH7b/6Q=")</f>
        <v>#REF!</v>
      </c>
      <c r="FJ1" t="e">
        <f>AND(Syllabus!#REF!,"AAAAAH7b/6U=")</f>
        <v>#REF!</v>
      </c>
      <c r="FK1" t="e">
        <f>AND(Syllabus!#REF!,"AAAAAH7b/6Y=")</f>
        <v>#REF!</v>
      </c>
      <c r="FL1" t="e">
        <f>AND(Syllabus!#REF!,"AAAAAH7b/6c=")</f>
        <v>#REF!</v>
      </c>
      <c r="FM1" t="e">
        <f>IF(Syllabus!#REF!,"AAAAAH7b/6g=",0)</f>
        <v>#REF!</v>
      </c>
      <c r="FN1" t="e">
        <f>AND(Syllabus!#REF!,"AAAAAH7b/6k=")</f>
        <v>#REF!</v>
      </c>
      <c r="FO1" t="e">
        <f>AND(Syllabus!#REF!,"AAAAAH7b/6o=")</f>
        <v>#REF!</v>
      </c>
      <c r="FP1" t="e">
        <f>AND(Syllabus!#REF!,"AAAAAH7b/6s=")</f>
        <v>#REF!</v>
      </c>
      <c r="FQ1" t="e">
        <f>AND(Syllabus!#REF!,"AAAAAH7b/6w=")</f>
        <v>#REF!</v>
      </c>
      <c r="FR1" t="e">
        <f>AND(Syllabus!#REF!,"AAAAAH7b/60=")</f>
        <v>#REF!</v>
      </c>
      <c r="FS1" t="e">
        <f>AND(Syllabus!#REF!,"AAAAAH7b/64=")</f>
        <v>#REF!</v>
      </c>
      <c r="FT1" t="e">
        <f>AND(Syllabus!#REF!,"AAAAAH7b/68=")</f>
        <v>#REF!</v>
      </c>
      <c r="FU1" t="e">
        <f>IF(_xlfn.SINGLE(Syllabus!#REF!),"AAAAAH7b/7A=",0)</f>
        <v>#REF!</v>
      </c>
      <c r="FV1" t="e">
        <f>AND(Syllabus!#REF!,"AAAAAH7b/7E=")</f>
        <v>#REF!</v>
      </c>
      <c r="FW1" t="e">
        <f>AND(Syllabus!#REF!,"AAAAAH7b/7I=")</f>
        <v>#REF!</v>
      </c>
      <c r="FX1" t="e">
        <f>AND(Syllabus!#REF!,"AAAAAH7b/7M=")</f>
        <v>#REF!</v>
      </c>
      <c r="FY1" t="e">
        <f>AND(Syllabus!#REF!,"AAAAAH7b/7Q=")</f>
        <v>#REF!</v>
      </c>
      <c r="FZ1" t="e">
        <f>AND(Syllabus!#REF!,"AAAAAH7b/7U=")</f>
        <v>#REF!</v>
      </c>
      <c r="GA1" t="e">
        <f>AND(Syllabus!#REF!,"AAAAAH7b/7Y=")</f>
        <v>#REF!</v>
      </c>
      <c r="GB1" t="e">
        <f>AND(Syllabus!#REF!,"AAAAAH7b/7c=")</f>
        <v>#REF!</v>
      </c>
      <c r="GC1">
        <f>IF(Syllabus!6:6,"AAAAAH7b/7g=",0)</f>
        <v>0</v>
      </c>
      <c r="GD1" t="b">
        <f>AND(Syllabus!A6,"AAAAAH7b/7k=")</f>
        <v>1</v>
      </c>
      <c r="GE1" t="e">
        <f>AND(Syllabus!B6,"AAAAAH7b/7o=")</f>
        <v>#VALUE!</v>
      </c>
      <c r="GF1" t="e">
        <f>AND(Syllabus!C6,"AAAAAH7b/7s=")</f>
        <v>#VALUE!</v>
      </c>
      <c r="GG1" t="e">
        <f>AND(Syllabus!D6,"AAAAAH7b/7w=")</f>
        <v>#VALUE!</v>
      </c>
      <c r="GH1" t="e">
        <f>AND(Syllabus!E6,"AAAAAH7b/70=")</f>
        <v>#VALUE!</v>
      </c>
      <c r="GI1" t="e">
        <f>AND(Syllabus!F6,"AAAAAH7b/74=")</f>
        <v>#VALUE!</v>
      </c>
      <c r="GJ1" t="e">
        <f>AND(Syllabus!G6,"AAAAAH7b/78=")</f>
        <v>#VALUE!</v>
      </c>
      <c r="GK1">
        <f>IF(Syllabus!7:7,"AAAAAH7b/8A=",0)</f>
        <v>0</v>
      </c>
      <c r="GL1" t="e">
        <f>AND(Syllabus!A7,"AAAAAH7b/8E=")</f>
        <v>#VALUE!</v>
      </c>
      <c r="GM1" t="e">
        <f>AND(Syllabus!B7,"AAAAAH7b/8I=")</f>
        <v>#VALUE!</v>
      </c>
      <c r="GN1" t="e">
        <f>AND(Syllabus!C7,"AAAAAH7b/8M=")</f>
        <v>#VALUE!</v>
      </c>
      <c r="GO1" t="e">
        <f>AND(Syllabus!D7,"AAAAAH7b/8Q=")</f>
        <v>#VALUE!</v>
      </c>
      <c r="GP1" t="e">
        <f>AND(Syllabus!E7,"AAAAAH7b/8U=")</f>
        <v>#VALUE!</v>
      </c>
      <c r="GQ1" t="e">
        <f>AND(Syllabus!F7,"AAAAAH7b/8Y=")</f>
        <v>#VALUE!</v>
      </c>
      <c r="GR1" t="e">
        <f>AND(Syllabus!G7,"AAAAAH7b/8c=")</f>
        <v>#VALUE!</v>
      </c>
      <c r="GS1">
        <f>IF(Syllabus!9:9,"AAAAAH7b/8g=",0)</f>
        <v>0</v>
      </c>
      <c r="GT1" t="e">
        <f>AND(Syllabus!A9,"AAAAAH7b/8k=")</f>
        <v>#VALUE!</v>
      </c>
      <c r="GU1" t="e">
        <f>AND(Syllabus!B9,"AAAAAH7b/8o=")</f>
        <v>#VALUE!</v>
      </c>
      <c r="GV1" t="e">
        <f>AND(Syllabus!C9,"AAAAAH7b/8s=")</f>
        <v>#VALUE!</v>
      </c>
      <c r="GW1" t="b">
        <f>AND(Syllabus!D9,"AAAAAH7b/8w=")</f>
        <v>1</v>
      </c>
      <c r="GX1" t="b">
        <f>AND(Syllabus!E9,"AAAAAH7b/80=")</f>
        <v>1</v>
      </c>
      <c r="GY1" t="e">
        <f>AND(Syllabus!F9,"AAAAAH7b/84=")</f>
        <v>#VALUE!</v>
      </c>
      <c r="GZ1" t="e">
        <f>AND(Syllabus!G9,"AAAAAH7b/88=")</f>
        <v>#VALUE!</v>
      </c>
      <c r="HA1">
        <f>IF(Syllabus!10:10,"AAAAAH7b/9A=",0)</f>
        <v>0</v>
      </c>
      <c r="HB1" t="e">
        <f>AND(Syllabus!A10,"AAAAAH7b/9E=")</f>
        <v>#VALUE!</v>
      </c>
      <c r="HC1" t="e">
        <f>AND(Syllabus!B10,"AAAAAH7b/9I=")</f>
        <v>#VALUE!</v>
      </c>
      <c r="HD1" t="e">
        <f>AND(Syllabus!C10,"AAAAAH7b/9M=")</f>
        <v>#VALUE!</v>
      </c>
      <c r="HE1" t="b">
        <f>AND(Syllabus!D10,"AAAAAH7b/9Q=")</f>
        <v>1</v>
      </c>
      <c r="HF1" t="e">
        <f>AND(Syllabus!E10,"AAAAAH7b/9U=")</f>
        <v>#VALUE!</v>
      </c>
      <c r="HG1" t="e">
        <f>AND(Syllabus!F10,"AAAAAH7b/9Y=")</f>
        <v>#VALUE!</v>
      </c>
      <c r="HH1" t="e">
        <f>AND(Syllabus!G10,"AAAAAH7b/9c=")</f>
        <v>#VALUE!</v>
      </c>
      <c r="HI1" t="e">
        <f>IF(_xlfn.SINGLE(Syllabus!#REF!),"AAAAAH7b/9g=",0)</f>
        <v>#REF!</v>
      </c>
      <c r="HJ1" t="e">
        <f>AND(Syllabus!#REF!,"AAAAAH7b/9k=")</f>
        <v>#REF!</v>
      </c>
      <c r="HK1" t="e">
        <f>AND(Syllabus!#REF!,"AAAAAH7b/9o=")</f>
        <v>#REF!</v>
      </c>
      <c r="HL1" t="e">
        <f>AND(Syllabus!#REF!,"AAAAAH7b/9s=")</f>
        <v>#REF!</v>
      </c>
      <c r="HM1" t="e">
        <f>AND(Syllabus!#REF!,"AAAAAH7b/9w=")</f>
        <v>#REF!</v>
      </c>
      <c r="HN1" t="e">
        <f>AND(Syllabus!#REF!,"AAAAAH7b/90=")</f>
        <v>#REF!</v>
      </c>
      <c r="HO1" t="e">
        <f>AND(Syllabus!#REF!,"AAAAAH7b/94=")</f>
        <v>#REF!</v>
      </c>
      <c r="HP1" t="e">
        <f>AND(Syllabus!#REF!,"AAAAAH7b/98=")</f>
        <v>#REF!</v>
      </c>
      <c r="HQ1" t="e">
        <f>IF(_xlfn.SINGLE(Syllabus!#REF!),"AAAAAH7b/+A=",0)</f>
        <v>#REF!</v>
      </c>
      <c r="HR1" t="e">
        <f>AND(Syllabus!#REF!,"AAAAAH7b/+E=")</f>
        <v>#REF!</v>
      </c>
      <c r="HS1" t="e">
        <f>AND(Syllabus!#REF!,"AAAAAH7b/+I=")</f>
        <v>#REF!</v>
      </c>
      <c r="HT1" t="e">
        <f>AND(Syllabus!#REF!,"AAAAAH7b/+M=")</f>
        <v>#REF!</v>
      </c>
      <c r="HU1" t="e">
        <f>AND(Syllabus!#REF!,"AAAAAH7b/+Q=")</f>
        <v>#REF!</v>
      </c>
      <c r="HV1" t="e">
        <f>AND(Syllabus!#REF!,"AAAAAH7b/+U=")</f>
        <v>#REF!</v>
      </c>
      <c r="HW1" t="e">
        <f>AND(Syllabus!#REF!,"AAAAAH7b/+Y=")</f>
        <v>#REF!</v>
      </c>
      <c r="HX1" t="e">
        <f>AND(Syllabus!#REF!,"AAAAAH7b/+c=")</f>
        <v>#REF!</v>
      </c>
      <c r="HY1" t="e">
        <f>IF(_xlfn.SINGLE(Syllabus!#REF!),"AAAAAH7b/+g=",0)</f>
        <v>#REF!</v>
      </c>
      <c r="HZ1" t="e">
        <f>AND(Syllabus!#REF!,"AAAAAH7b/+k=")</f>
        <v>#REF!</v>
      </c>
      <c r="IA1" t="e">
        <f>AND(Syllabus!#REF!,"AAAAAH7b/+o=")</f>
        <v>#REF!</v>
      </c>
      <c r="IB1" t="e">
        <f>AND(Syllabus!#REF!,"AAAAAH7b/+s=")</f>
        <v>#REF!</v>
      </c>
      <c r="IC1" t="e">
        <f>AND(Syllabus!#REF!,"AAAAAH7b/+w=")</f>
        <v>#REF!</v>
      </c>
      <c r="ID1" t="e">
        <f>AND(Syllabus!#REF!,"AAAAAH7b/+0=")</f>
        <v>#REF!</v>
      </c>
      <c r="IE1" t="e">
        <f>AND(Syllabus!#REF!,"AAAAAH7b/+4=")</f>
        <v>#REF!</v>
      </c>
      <c r="IF1" t="e">
        <f>AND(Syllabus!#REF!,"AAAAAH7b/+8=")</f>
        <v>#REF!</v>
      </c>
      <c r="IG1" t="e">
        <f>IF(_xlfn.SINGLE(Syllabus!#REF!),"AAAAAH7b//A=",0)</f>
        <v>#REF!</v>
      </c>
      <c r="IH1" t="e">
        <f>AND(Syllabus!#REF!,"AAAAAH7b//E=")</f>
        <v>#REF!</v>
      </c>
      <c r="II1" t="e">
        <f>AND(Syllabus!#REF!,"AAAAAH7b//I=")</f>
        <v>#REF!</v>
      </c>
      <c r="IJ1" t="e">
        <f>AND(Syllabus!#REF!,"AAAAAH7b//M=")</f>
        <v>#REF!</v>
      </c>
      <c r="IK1" t="e">
        <f>AND(Syllabus!#REF!,"AAAAAH7b//Q=")</f>
        <v>#REF!</v>
      </c>
      <c r="IL1" t="e">
        <f>AND(Syllabus!#REF!,"AAAAAH7b//U=")</f>
        <v>#REF!</v>
      </c>
      <c r="IM1" t="e">
        <f>AND(Syllabus!#REF!,"AAAAAH7b//Y=")</f>
        <v>#REF!</v>
      </c>
      <c r="IN1" t="e">
        <f>AND(Syllabus!#REF!,"AAAAAH7b//c=")</f>
        <v>#REF!</v>
      </c>
      <c r="IO1" t="e">
        <f>IF(_xlfn.SINGLE(Syllabus!#REF!),"AAAAAH7b//g=",0)</f>
        <v>#REF!</v>
      </c>
      <c r="IP1" t="e">
        <f>AND(Syllabus!#REF!,"AAAAAH7b//k=")</f>
        <v>#REF!</v>
      </c>
      <c r="IQ1" t="e">
        <f>AND(Syllabus!#REF!,"AAAAAH7b//o=")</f>
        <v>#REF!</v>
      </c>
      <c r="IR1" t="e">
        <f>AND(Syllabus!#REF!,"AAAAAH7b//s=")</f>
        <v>#REF!</v>
      </c>
      <c r="IS1" t="e">
        <f>AND(Syllabus!#REF!,"AAAAAH7b//w=")</f>
        <v>#REF!</v>
      </c>
      <c r="IT1" t="e">
        <f>AND(Syllabus!#REF!,"AAAAAH7b//0=")</f>
        <v>#REF!</v>
      </c>
      <c r="IU1" t="e">
        <f>AND(Syllabus!#REF!,"AAAAAH7b//4=")</f>
        <v>#REF!</v>
      </c>
      <c r="IV1" t="e">
        <f>AND(Syllabus!#REF!,"AAAAAH7b//8=")</f>
        <v>#REF!</v>
      </c>
    </row>
    <row r="2" spans="1:256">
      <c r="A2" t="e">
        <f>IF(_xlfn.SINGLE(Syllabus!#REF!),"AAAAAH/vfwA=",0)</f>
        <v>#REF!</v>
      </c>
      <c r="B2" t="e">
        <f>AND(Syllabus!#REF!,"AAAAAH/vfwE=")</f>
        <v>#REF!</v>
      </c>
      <c r="C2" t="e">
        <f>AND(Syllabus!#REF!,"AAAAAH/vfwI=")</f>
        <v>#REF!</v>
      </c>
      <c r="D2" t="e">
        <f>AND(Syllabus!#REF!,"AAAAAH/vfwM=")</f>
        <v>#REF!</v>
      </c>
      <c r="E2" t="e">
        <f>AND(Syllabus!#REF!,"AAAAAH/vfwQ=")</f>
        <v>#REF!</v>
      </c>
      <c r="F2" t="e">
        <f>AND(Syllabus!#REF!,"AAAAAH/vfwU=")</f>
        <v>#REF!</v>
      </c>
      <c r="G2" t="e">
        <f>AND(Syllabus!#REF!,"AAAAAH/vfwY=")</f>
        <v>#REF!</v>
      </c>
      <c r="H2" t="e">
        <f>AND(Syllabus!#REF!,"AAAAAH/vfwc=")</f>
        <v>#REF!</v>
      </c>
      <c r="I2" t="e">
        <f>IF(_xlfn.SINGLE(Syllabus!#REF!),"AAAAAH/vfwg=",0)</f>
        <v>#REF!</v>
      </c>
      <c r="J2" t="e">
        <f>AND(Syllabus!#REF!,"AAAAAH/vfwk=")</f>
        <v>#REF!</v>
      </c>
      <c r="K2" t="e">
        <f>AND(Syllabus!#REF!,"AAAAAH/vfwo=")</f>
        <v>#REF!</v>
      </c>
      <c r="L2" t="e">
        <f>AND(Syllabus!#REF!,"AAAAAH/vfws=")</f>
        <v>#REF!</v>
      </c>
      <c r="M2" t="e">
        <f>AND(Syllabus!#REF!,"AAAAAH/vfww=")</f>
        <v>#REF!</v>
      </c>
      <c r="N2" t="e">
        <f>AND(Syllabus!#REF!,"AAAAAH/vfw0=")</f>
        <v>#REF!</v>
      </c>
      <c r="O2" t="e">
        <f>AND(Syllabus!#REF!,"AAAAAH/vfw4=")</f>
        <v>#REF!</v>
      </c>
      <c r="P2" t="e">
        <f>AND(Syllabus!#REF!,"AAAAAH/vfw8=")</f>
        <v>#REF!</v>
      </c>
      <c r="Q2" t="e">
        <f>IF(Syllabus!#REF!,"AAAAAH/vfxA=",0)</f>
        <v>#REF!</v>
      </c>
      <c r="R2" t="str">
        <f>IF(Syllabus!A:A,"AAAAAH/vfxE=",0)</f>
        <v>AAAAAH/vfxE=</v>
      </c>
      <c r="S2" t="e">
        <f>IF(Syllabus!B:B,"AAAAAH/vfxI=",0)</f>
        <v>#VALUE!</v>
      </c>
      <c r="T2" t="e">
        <f>IF(Syllabus!C:C,"AAAAAH/vfxM=",0)</f>
        <v>#VALUE!</v>
      </c>
      <c r="U2">
        <f>IF(Syllabus!D:D,"AAAAAH/vfxQ=",0)</f>
        <v>0</v>
      </c>
      <c r="V2">
        <f>IF(Syllabus!E:E,"AAAAAH/vfxU=",0)</f>
        <v>0</v>
      </c>
      <c r="W2">
        <f>IF(Syllabus!F:F,"AAAAAH/vfxY=",0)</f>
        <v>0</v>
      </c>
      <c r="X2">
        <f>IF(Syllabus!G:G,"AAAAAH/vfxc=",0)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16</v>
      </c>
      <c r="AK4" s="1" t="s">
        <v>17</v>
      </c>
      <c r="AL4" s="2" t="s">
        <v>18</v>
      </c>
      <c r="AM4" t="e">
        <f>IF("N",[0]!_xlnm._FilterDatabase,"AAAAAH/rVCY=")</f>
        <v>#VALUE!</v>
      </c>
    </row>
    <row r="5" spans="1:256">
      <c r="A5" t="e">
        <f>AND(Syllabus!A1,"AAAAACvx+wA=")</f>
        <v>#VALUE!</v>
      </c>
      <c r="B5" t="e">
        <f>IF(Syllabus!#REF!,"AAAAACvx+wE=",0)</f>
        <v>#REF!</v>
      </c>
      <c r="C5" t="e">
        <f>AND(Syllabus!#REF!,"AAAAACvx+wI=")</f>
        <v>#REF!</v>
      </c>
      <c r="D5" t="e">
        <f>AND(Syllabus!#REF!,"AAAAACvx+wM=")</f>
        <v>#REF!</v>
      </c>
      <c r="E5" t="e">
        <f>AND(Syllabus!#REF!,"AAAAACvx+wQ=")</f>
        <v>#REF!</v>
      </c>
      <c r="F5" t="e">
        <f>AND(Syllabus!#REF!,"AAAAACvx+wU=")</f>
        <v>#REF!</v>
      </c>
      <c r="G5" t="e">
        <f>AND(Syllabus!#REF!,"AAAAACvx+wY=")</f>
        <v>#REF!</v>
      </c>
      <c r="H5" t="e">
        <f>AND(Syllabus!#REF!,"AAAAACvx+wc=")</f>
        <v>#REF!</v>
      </c>
      <c r="I5" t="e">
        <f>AND(Syllabus!#REF!,"AAAAACvx+wg=")</f>
        <v>#REF!</v>
      </c>
      <c r="J5" t="e">
        <f>IF(Syllabus!#REF!,"AAAAACvx+wk=",0)</f>
        <v>#REF!</v>
      </c>
      <c r="K5" t="e">
        <f>AND(Syllabus!#REF!,"AAAAACvx+wo=")</f>
        <v>#REF!</v>
      </c>
      <c r="L5" t="e">
        <f>AND(Syllabus!#REF!,"AAAAACvx+ws=")</f>
        <v>#REF!</v>
      </c>
      <c r="M5" t="e">
        <f>AND(Syllabus!#REF!,"AAAAACvx+ww=")</f>
        <v>#REF!</v>
      </c>
      <c r="N5" t="e">
        <f>AND(Syllabus!#REF!,"AAAAACvx+w0=")</f>
        <v>#REF!</v>
      </c>
      <c r="O5" t="e">
        <f>AND(Syllabus!#REF!,"AAAAACvx+w4=")</f>
        <v>#REF!</v>
      </c>
      <c r="P5" t="e">
        <f>AND(Syllabus!#REF!,"AAAAACvx+w8=")</f>
        <v>#REF!</v>
      </c>
      <c r="Q5" t="e">
        <f>AND(Syllabus!#REF!,"AAAAACvx+xA=")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Syllabus</vt:lpstr>
      <vt:lpstr>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Đạt Hoàng</cp:lastModifiedBy>
  <cp:revision/>
  <cp:lastPrinted>2023-03-06T04:34:57Z</cp:lastPrinted>
  <dcterms:created xsi:type="dcterms:W3CDTF">2010-11-19T03:46:05Z</dcterms:created>
  <dcterms:modified xsi:type="dcterms:W3CDTF">2024-09-28T13:07:25Z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2023-03-17T11:59:23Z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3bbd178d-1e10-4aad-9ba8-77d9a7cbca87</vt:lpwstr>
  </property>
  <property fmtid="{D5CDD505-2E9C-101B-9397-08002B2CF9AE}" pid="8" name="MSIP_Label_defa4170-0d19-0005-0004-bc88714345d2_ContentBits">
    <vt:lpwstr>0</vt:lpwstr>
  </property>
</Properties>
</file>