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ac\Home\ELEC\AtmelICE-Octopus\ATMEL-ICE-Octopus\"/>
    </mc:Choice>
  </mc:AlternateContent>
  <xr:revisionPtr revIDLastSave="0" documentId="13_ncr:1_{9D31B38B-90F6-4D4D-B97C-0861168FA293}" xr6:coauthVersionLast="47" xr6:coauthVersionMax="47" xr10:uidLastSave="{00000000-0000-0000-0000-000000000000}"/>
  <bookViews>
    <workbookView xWindow="-98" yWindow="277" windowWidth="23236" windowHeight="14220" xr2:uid="{00000000-000D-0000-FFFF-FFFF00000000}"/>
  </bookViews>
  <sheets>
    <sheet name="Limiter" sheetId="7" r:id="rId1"/>
  </sheets>
  <definedNames>
    <definedName name="_R22">Limiter!$B$9</definedName>
    <definedName name="_R23">Limiter!$B$7</definedName>
    <definedName name="Comp_error">Limiter!$B$13</definedName>
    <definedName name="R_precision">Limiter!$B$14</definedName>
    <definedName name="Rdiv_precision">Limiter!$B$15</definedName>
    <definedName name="Vref">Limiter!$B$2</definedName>
    <definedName name="Vref_error">Limiter!$B$3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G40" i="7"/>
  <c r="F40" i="7"/>
  <c r="E40" i="7"/>
  <c r="D40" i="7"/>
  <c r="C40" i="7"/>
  <c r="B40" i="7"/>
  <c r="B10" i="7"/>
  <c r="B8" i="7"/>
  <c r="G37" i="7"/>
  <c r="F37" i="7"/>
  <c r="E37" i="7"/>
  <c r="D37" i="7"/>
  <c r="C37" i="7"/>
  <c r="B37" i="7"/>
  <c r="G38" i="7"/>
  <c r="F38" i="7"/>
  <c r="E38" i="7"/>
  <c r="D38" i="7"/>
  <c r="C38" i="7"/>
  <c r="B38" i="7"/>
  <c r="G24" i="7"/>
  <c r="F24" i="7"/>
  <c r="E24" i="7"/>
  <c r="D24" i="7"/>
  <c r="C24" i="7"/>
  <c r="B24" i="7"/>
  <c r="B27" i="7"/>
  <c r="B21" i="7"/>
  <c r="G34" i="7"/>
  <c r="G35" i="7"/>
  <c r="F34" i="7"/>
  <c r="F35" i="7"/>
  <c r="E34" i="7"/>
  <c r="E35" i="7"/>
  <c r="D34" i="7"/>
  <c r="D35" i="7"/>
  <c r="C34" i="7"/>
  <c r="C35" i="7"/>
  <c r="B34" i="7"/>
  <c r="B35" i="7"/>
  <c r="G30" i="7"/>
  <c r="G31" i="7"/>
  <c r="F30" i="7"/>
  <c r="F31" i="7"/>
  <c r="E30" i="7"/>
  <c r="E31" i="7"/>
  <c r="D30" i="7"/>
  <c r="D31" i="7"/>
  <c r="C30" i="7"/>
  <c r="C31" i="7"/>
  <c r="G21" i="7"/>
  <c r="F21" i="7"/>
  <c r="E21" i="7"/>
  <c r="D21" i="7"/>
  <c r="C21" i="7"/>
</calcChain>
</file>

<file path=xl/sharedStrings.xml><?xml version="1.0" encoding="utf-8"?>
<sst xmlns="http://schemas.openxmlformats.org/spreadsheetml/2006/main" count="30" uniqueCount="30">
  <si>
    <t>Vref [V]</t>
  </si>
  <si>
    <t>Nominal VIN [V]</t>
  </si>
  <si>
    <t>Effective nominal ratio</t>
  </si>
  <si>
    <t>Vref error [mV]</t>
  </si>
  <si>
    <t>Comparator error [mV]</t>
  </si>
  <si>
    <t>Resistor precision [%]</t>
  </si>
  <si>
    <t>Divider precision [%]</t>
  </si>
  <si>
    <t>Vmax error [mV]</t>
  </si>
  <si>
    <t>Voltage reference</t>
  </si>
  <si>
    <t>Comparator and resistor precision</t>
  </si>
  <si>
    <t>Vmin voltage reference</t>
  </si>
  <si>
    <r>
      <t>Effective R31 // R3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</si>
  <si>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r>
      <t>R31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</si>
  <si>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r>
      <t>R3x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</si>
  <si>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r>
      <t>R39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</si>
  <si>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=&gt; theoretical R31 // R3x</t>
  </si>
  <si>
    <t>=&gt; theoretical R3x</t>
  </si>
  <si>
    <r>
      <t>R22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</si>
  <si>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r>
      <t>R23 [k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</si>
  <si>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=&gt; theoretical R22</t>
  </si>
  <si>
    <t>Intended Min/Max ratio (global)</t>
  </si>
  <si>
    <t>Effective Min/Max ratio (global)</t>
  </si>
  <si>
    <t>VIN/VIN_SCALED Ratio</t>
  </si>
  <si>
    <t>Effective nominal Vmax [V]</t>
  </si>
  <si>
    <t>Effective nominal Vmin [V]</t>
  </si>
  <si>
    <t>Chosen Vmax VIN [V]</t>
  </si>
  <si>
    <t>Ideal Vmax [V]</t>
  </si>
  <si>
    <t>Ideal Vmin [V]</t>
  </si>
  <si>
    <t>Ideal Min/Max ratio [V]</t>
  </si>
  <si>
    <t>=&gt; theoretical 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</si>
</sst>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theme="0" tint="-0.499984740745262"/>
      </right>
      <top style="thick">
        <color auto="1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auto="1"/>
      </top>
      <bottom/>
      <diagonal/>
    </border>
    <border>
      <left style="dotted">
        <color theme="0" tint="-0.499984740745262"/>
      </left>
      <right style="thick">
        <color auto="1"/>
      </right>
      <top style="thick">
        <color auto="1"/>
      </top>
      <bottom/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 style="thick">
        <color auto="1"/>
      </right>
      <top/>
      <bottom/>
      <diagonal/>
    </border>
    <border>
      <left/>
      <right style="dotted">
        <color theme="0" tint="-0.499984740745262"/>
      </right>
      <top/>
      <bottom style="thick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ck">
        <color auto="1"/>
      </bottom>
      <diagonal/>
    </border>
    <border>
      <left style="dotted">
        <color theme="0" tint="-0.499984740745262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4" xfId="0" applyBorder="1"/>
    <xf numFmtId="10" fontId="0" fillId="0" borderId="6" xfId="0" applyNumberFormat="1" applyBorder="1"/>
    <xf numFmtId="10" fontId="0" fillId="0" borderId="4" xfId="0" applyNumberFormat="1" applyBorder="1"/>
    <xf numFmtId="0" fontId="0" fillId="2" borderId="2" xfId="0" applyFill="1" applyBorder="1"/>
    <xf numFmtId="0" fontId="0" fillId="3" borderId="3" xfId="0" applyFill="1" applyBorder="1"/>
    <xf numFmtId="0" fontId="0" fillId="3" borderId="5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quotePrefix="1" applyFill="1" applyBorder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167" fontId="0" fillId="0" borderId="4" xfId="0" applyNumberFormat="1" applyBorder="1" applyProtection="1">
      <protection locked="0"/>
    </xf>
    <xf numFmtId="10" fontId="4" fillId="4" borderId="6" xfId="0" applyNumberFormat="1" applyFont="1" applyFill="1" applyBorder="1"/>
    <xf numFmtId="2" fontId="4" fillId="4" borderId="4" xfId="0" applyNumberFormat="1" applyFont="1" applyFill="1" applyBorder="1"/>
    <xf numFmtId="0" fontId="2" fillId="5" borderId="1" xfId="0" applyFont="1" applyFill="1" applyBorder="1"/>
    <xf numFmtId="0" fontId="0" fillId="6" borderId="3" xfId="0" applyFill="1" applyBorder="1"/>
    <xf numFmtId="0" fontId="0" fillId="6" borderId="3" xfId="0" quotePrefix="1" applyFill="1" applyBorder="1"/>
    <xf numFmtId="0" fontId="3" fillId="6" borderId="3" xfId="0" applyFont="1" applyFill="1" applyBorder="1"/>
    <xf numFmtId="0" fontId="0" fillId="6" borderId="5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10" fontId="4" fillId="7" borderId="10" xfId="0" applyNumberFormat="1" applyFont="1" applyFill="1" applyBorder="1"/>
    <xf numFmtId="10" fontId="4" fillId="7" borderId="11" xfId="0" applyNumberFormat="1" applyFont="1" applyFill="1" applyBorder="1"/>
    <xf numFmtId="10" fontId="4" fillId="7" borderId="12" xfId="0" applyNumberFormat="1" applyFont="1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4" fillId="7" borderId="10" xfId="0" applyFont="1" applyFill="1" applyBorder="1"/>
    <xf numFmtId="0" fontId="4" fillId="7" borderId="11" xfId="0" applyFont="1" applyFill="1" applyBorder="1"/>
    <xf numFmtId="0" fontId="4" fillId="7" borderId="12" xfId="0" applyFont="1" applyFill="1" applyBorder="1"/>
    <xf numFmtId="2" fontId="0" fillId="6" borderId="10" xfId="0" applyNumberFormat="1" applyFill="1" applyBorder="1"/>
    <xf numFmtId="11" fontId="0" fillId="6" borderId="10" xfId="0" applyNumberFormat="1" applyFill="1" applyBorder="1"/>
    <xf numFmtId="164" fontId="4" fillId="6" borderId="10" xfId="0" applyNumberFormat="1" applyFont="1" applyFill="1" applyBorder="1"/>
    <xf numFmtId="164" fontId="4" fillId="6" borderId="11" xfId="0" applyNumberFormat="1" applyFont="1" applyFill="1" applyBorder="1"/>
    <xf numFmtId="164" fontId="4" fillId="6" borderId="12" xfId="0" applyNumberFormat="1" applyFont="1" applyFill="1" applyBorder="1"/>
    <xf numFmtId="164" fontId="4" fillId="7" borderId="10" xfId="0" applyNumberFormat="1" applyFont="1" applyFill="1" applyBorder="1"/>
    <xf numFmtId="164" fontId="4" fillId="7" borderId="11" xfId="0" applyNumberFormat="1" applyFont="1" applyFill="1" applyBorder="1"/>
    <xf numFmtId="164" fontId="4" fillId="7" borderId="12" xfId="0" applyNumberFormat="1" applyFont="1" applyFill="1" applyBorder="1"/>
    <xf numFmtId="164" fontId="5" fillId="7" borderId="10" xfId="0" applyNumberFormat="1" applyFont="1" applyFill="1" applyBorder="1"/>
    <xf numFmtId="164" fontId="5" fillId="7" borderId="11" xfId="0" applyNumberFormat="1" applyFont="1" applyFill="1" applyBorder="1"/>
    <xf numFmtId="164" fontId="5" fillId="7" borderId="12" xfId="0" applyNumberFormat="1" applyFont="1" applyFill="1" applyBorder="1"/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2" fontId="4" fillId="7" borderId="10" xfId="0" applyNumberFormat="1" applyFont="1" applyFill="1" applyBorder="1"/>
    <xf numFmtId="2" fontId="4" fillId="7" borderId="11" xfId="0" applyNumberFormat="1" applyFont="1" applyFill="1" applyBorder="1"/>
    <xf numFmtId="2" fontId="4" fillId="7" borderId="12" xfId="0" applyNumberFormat="1" applyFont="1" applyFill="1" applyBorder="1"/>
    <xf numFmtId="0" fontId="0" fillId="0" borderId="10" xfId="0" applyFont="1" applyFill="1" applyBorder="1" applyProtection="1">
      <protection locked="0"/>
    </xf>
    <xf numFmtId="0" fontId="0" fillId="0" borderId="11" xfId="0" applyFont="1" applyFill="1" applyBorder="1" applyProtection="1">
      <protection locked="0"/>
    </xf>
    <xf numFmtId="0" fontId="0" fillId="0" borderId="12" xfId="0" applyFont="1" applyFill="1" applyBorder="1" applyProtection="1">
      <protection locked="0"/>
    </xf>
    <xf numFmtId="164" fontId="0" fillId="6" borderId="11" xfId="0" applyNumberFormat="1" applyFill="1" applyBorder="1"/>
    <xf numFmtId="164" fontId="0" fillId="6" borderId="12" xfId="0" applyNumberFormat="1" applyFill="1" applyBorder="1"/>
    <xf numFmtId="164" fontId="0" fillId="6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abSelected="1" topLeftCell="A6" workbookViewId="0">
      <selection activeCell="B19" sqref="B19"/>
    </sheetView>
  </sheetViews>
  <sheetFormatPr defaultColWidth="11.3984375" defaultRowHeight="14.25" x14ac:dyDescent="0.45"/>
  <cols>
    <col min="1" max="1" width="31" customWidth="1"/>
  </cols>
  <sheetData>
    <row r="1" spans="1:2" ht="14.65" thickTop="1" x14ac:dyDescent="0.45">
      <c r="A1" s="8" t="s">
        <v>8</v>
      </c>
      <c r="B1" s="5"/>
    </row>
    <row r="2" spans="1:2" x14ac:dyDescent="0.45">
      <c r="A2" s="6" t="s">
        <v>0</v>
      </c>
      <c r="B2" s="11">
        <v>1.25</v>
      </c>
    </row>
    <row r="3" spans="1:2" ht="14.65" thickBot="1" x14ac:dyDescent="0.5">
      <c r="A3" s="7" t="s">
        <v>3</v>
      </c>
      <c r="B3" s="12">
        <v>2.5</v>
      </c>
    </row>
    <row r="4" spans="1:2" ht="15" thickTop="1" thickBot="1" x14ac:dyDescent="0.5">
      <c r="A4" s="1"/>
      <c r="B4" s="1"/>
    </row>
    <row r="5" spans="1:2" ht="14.65" thickTop="1" x14ac:dyDescent="0.45">
      <c r="A5" s="8" t="s">
        <v>10</v>
      </c>
      <c r="B5" s="9"/>
    </row>
    <row r="6" spans="1:2" x14ac:dyDescent="0.45">
      <c r="A6" s="6" t="s">
        <v>20</v>
      </c>
      <c r="B6" s="13">
        <v>-0.152</v>
      </c>
    </row>
    <row r="7" spans="1:2" ht="14.65" x14ac:dyDescent="0.45">
      <c r="A7" s="6" t="s">
        <v>18</v>
      </c>
      <c r="B7" s="11">
        <v>72.3</v>
      </c>
    </row>
    <row r="8" spans="1:2" x14ac:dyDescent="0.45">
      <c r="A8" s="10" t="s">
        <v>19</v>
      </c>
      <c r="B8" s="15">
        <f>(1/(1+B6)-1)*_R23</f>
        <v>12.959433962264155</v>
      </c>
    </row>
    <row r="9" spans="1:2" ht="14.65" x14ac:dyDescent="0.45">
      <c r="A9" s="6" t="s">
        <v>17</v>
      </c>
      <c r="B9" s="11">
        <v>13</v>
      </c>
    </row>
    <row r="10" spans="1:2" ht="14.65" thickBot="1" x14ac:dyDescent="0.5">
      <c r="A10" s="7" t="s">
        <v>21</v>
      </c>
      <c r="B10" s="14">
        <f>-(_R22)/(_R23+_R22)</f>
        <v>-0.15240328253223917</v>
      </c>
    </row>
    <row r="11" spans="1:2" ht="15" thickTop="1" thickBot="1" x14ac:dyDescent="0.5">
      <c r="A11" s="1"/>
      <c r="B11" s="1"/>
    </row>
    <row r="12" spans="1:2" ht="14.65" thickTop="1" x14ac:dyDescent="0.45">
      <c r="A12" s="8" t="s">
        <v>9</v>
      </c>
      <c r="B12" s="9"/>
    </row>
    <row r="13" spans="1:2" x14ac:dyDescent="0.45">
      <c r="A13" s="6" t="s">
        <v>4</v>
      </c>
      <c r="B13" s="2">
        <v>8</v>
      </c>
    </row>
    <row r="14" spans="1:2" x14ac:dyDescent="0.45">
      <c r="A14" s="6" t="s">
        <v>5</v>
      </c>
      <c r="B14" s="4">
        <v>1E-3</v>
      </c>
    </row>
    <row r="15" spans="1:2" ht="14.65" thickBot="1" x14ac:dyDescent="0.5">
      <c r="A15" s="7" t="s">
        <v>6</v>
      </c>
      <c r="B15" s="3">
        <f>MAX( ABS((1+R_precision)/(1-R_precision)-1), ABS((1-R_precision)/(1+R_precision)-1) )</f>
        <v>2.0020020020019569E-3</v>
      </c>
    </row>
    <row r="16" spans="1:2" ht="14.65" thickTop="1" x14ac:dyDescent="0.45"/>
    <row r="17" spans="1:7" ht="14.65" thickBot="1" x14ac:dyDescent="0.5"/>
    <row r="18" spans="1:7" ht="14.65" thickTop="1" x14ac:dyDescent="0.45">
      <c r="A18" s="16" t="s">
        <v>1</v>
      </c>
      <c r="B18" s="21">
        <v>1.8</v>
      </c>
      <c r="C18" s="22">
        <v>2.5</v>
      </c>
      <c r="D18" s="22">
        <v>3</v>
      </c>
      <c r="E18" s="22">
        <v>3.3</v>
      </c>
      <c r="F18" s="22">
        <v>3.7</v>
      </c>
      <c r="G18" s="23">
        <v>5</v>
      </c>
    </row>
    <row r="19" spans="1:7" x14ac:dyDescent="0.45">
      <c r="A19" s="17" t="s">
        <v>26</v>
      </c>
      <c r="B19" s="24">
        <v>1.95</v>
      </c>
      <c r="C19" s="25">
        <v>2.7</v>
      </c>
      <c r="D19" s="25">
        <v>3.3</v>
      </c>
      <c r="E19" s="25">
        <v>3.6</v>
      </c>
      <c r="F19" s="25">
        <v>4</v>
      </c>
      <c r="G19" s="26">
        <v>5.5</v>
      </c>
    </row>
    <row r="20" spans="1:7" x14ac:dyDescent="0.45">
      <c r="A20" s="17" t="s">
        <v>27</v>
      </c>
      <c r="B20" s="24">
        <v>1.62</v>
      </c>
      <c r="C20" s="25">
        <v>2.2999999999999998</v>
      </c>
      <c r="D20" s="25">
        <v>2.7</v>
      </c>
      <c r="E20" s="25">
        <v>3</v>
      </c>
      <c r="F20" s="25">
        <v>3.4</v>
      </c>
      <c r="G20" s="26">
        <v>4.5999999999999996</v>
      </c>
    </row>
    <row r="21" spans="1:7" x14ac:dyDescent="0.45">
      <c r="A21" s="17" t="s">
        <v>28</v>
      </c>
      <c r="B21" s="27">
        <f t="shared" ref="B21:G21" si="0">(B19-B20)/B23</f>
        <v>0.16923076923076916</v>
      </c>
      <c r="C21" s="28">
        <f t="shared" si="0"/>
        <v>0.14814814814814828</v>
      </c>
      <c r="D21" s="28">
        <f t="shared" si="0"/>
        <v>0.18749999999999989</v>
      </c>
      <c r="E21" s="28">
        <f t="shared" si="0"/>
        <v>0.16901408450704228</v>
      </c>
      <c r="F21" s="28">
        <f t="shared" si="0"/>
        <v>0.15189873417721519</v>
      </c>
      <c r="G21" s="29">
        <f t="shared" si="0"/>
        <v>0.16666666666666671</v>
      </c>
    </row>
    <row r="22" spans="1:7" ht="6" customHeight="1" x14ac:dyDescent="0.45">
      <c r="A22" s="17"/>
      <c r="B22" s="30"/>
      <c r="C22" s="31"/>
      <c r="D22" s="31"/>
      <c r="E22" s="31"/>
      <c r="F22" s="31"/>
      <c r="G22" s="32"/>
    </row>
    <row r="23" spans="1:7" x14ac:dyDescent="0.45">
      <c r="A23" s="17" t="s">
        <v>25</v>
      </c>
      <c r="B23" s="56">
        <v>1.95</v>
      </c>
      <c r="C23" s="57">
        <v>2.7</v>
      </c>
      <c r="D23" s="57">
        <v>3.2</v>
      </c>
      <c r="E23" s="57">
        <v>3.55</v>
      </c>
      <c r="F23" s="57">
        <v>3.95</v>
      </c>
      <c r="G23" s="58">
        <v>5.4</v>
      </c>
    </row>
    <row r="24" spans="1:7" x14ac:dyDescent="0.45">
      <c r="A24" s="17" t="s">
        <v>22</v>
      </c>
      <c r="B24" s="33">
        <f>B23/Vref</f>
        <v>1.56</v>
      </c>
      <c r="C24" s="34">
        <f>C23/Vref</f>
        <v>2.16</v>
      </c>
      <c r="D24" s="34">
        <f>D23/Vref</f>
        <v>2.56</v>
      </c>
      <c r="E24" s="34">
        <f>E23/Vref</f>
        <v>2.84</v>
      </c>
      <c r="F24" s="34">
        <f>F23/Vref</f>
        <v>3.16</v>
      </c>
      <c r="G24" s="35">
        <f>G23/Vref</f>
        <v>4.32</v>
      </c>
    </row>
    <row r="25" spans="1:7" ht="6.4" customHeight="1" x14ac:dyDescent="0.45">
      <c r="A25" s="17"/>
      <c r="B25" s="30"/>
      <c r="C25" s="31"/>
      <c r="D25" s="31"/>
      <c r="E25" s="31"/>
      <c r="F25" s="31"/>
      <c r="G25" s="32"/>
    </row>
    <row r="26" spans="1:7" ht="14.65" x14ac:dyDescent="0.45">
      <c r="A26" s="17" t="s">
        <v>14</v>
      </c>
      <c r="B26" s="24">
        <v>48.1</v>
      </c>
      <c r="C26" s="31"/>
      <c r="D26" s="31"/>
      <c r="E26" s="31"/>
      <c r="F26" s="31"/>
      <c r="G26" s="32"/>
    </row>
    <row r="27" spans="1:7" x14ac:dyDescent="0.45">
      <c r="A27" s="18" t="s">
        <v>29</v>
      </c>
      <c r="B27" s="41">
        <f>IF($B24&gt;0,$B26/(B24-1),"")</f>
        <v>85.892857142857139</v>
      </c>
      <c r="C27" s="59"/>
      <c r="D27" s="59"/>
      <c r="E27" s="59"/>
      <c r="F27" s="59"/>
      <c r="G27" s="60"/>
    </row>
    <row r="28" spans="1:7" ht="14.65" x14ac:dyDescent="0.45">
      <c r="A28" s="17" t="s">
        <v>12</v>
      </c>
      <c r="B28" s="24">
        <v>85.6</v>
      </c>
      <c r="C28" s="31"/>
      <c r="D28" s="31"/>
      <c r="E28" s="31"/>
      <c r="F28" s="31"/>
      <c r="G28" s="32"/>
    </row>
    <row r="29" spans="1:7" ht="6.4" customHeight="1" x14ac:dyDescent="0.45">
      <c r="A29" s="17"/>
      <c r="B29" s="30"/>
      <c r="C29" s="31"/>
      <c r="D29" s="31"/>
      <c r="E29" s="31"/>
      <c r="F29" s="31"/>
      <c r="G29" s="32"/>
    </row>
    <row r="30" spans="1:7" x14ac:dyDescent="0.45">
      <c r="A30" s="18" t="s">
        <v>15</v>
      </c>
      <c r="B30" s="61"/>
      <c r="C30" s="42">
        <f>IF($B26&gt;0,$B26/(C24-1),"")</f>
        <v>41.46551724137931</v>
      </c>
      <c r="D30" s="42">
        <f>IF($B26&gt;0,$B26/(D24-1),"")</f>
        <v>30.833333333333332</v>
      </c>
      <c r="E30" s="42">
        <f>IF($B26&gt;0,$B26/(E24-1),"")</f>
        <v>26.14130434782609</v>
      </c>
      <c r="F30" s="42">
        <f>IF($B26&gt;0,$B26/(F24-1),"")</f>
        <v>22.268518518518519</v>
      </c>
      <c r="G30" s="43">
        <f>IF($B26&gt;0,$B26/(G24-1),"")</f>
        <v>14.487951807228916</v>
      </c>
    </row>
    <row r="31" spans="1:7" x14ac:dyDescent="0.45">
      <c r="A31" s="18" t="s">
        <v>16</v>
      </c>
      <c r="B31" s="36"/>
      <c r="C31" s="42">
        <f>IF($B$26*$B$28&gt;0,1/(1/C30-1/$B28),0)</f>
        <v>80.423470583639343</v>
      </c>
      <c r="D31" s="42">
        <f>IF($B$26*$B$28&gt;0,1/(1/D30-1/$B28),0)</f>
        <v>48.192331101643333</v>
      </c>
      <c r="E31" s="42">
        <f>IF($B$26*$B$28&gt;0,1/(1/E30-1/$B28),0)</f>
        <v>37.634455778582144</v>
      </c>
      <c r="F31" s="42">
        <f>IF($B$26*$B$28&gt;0,1/(1/F30-1/$B28),0)</f>
        <v>30.098540893008572</v>
      </c>
      <c r="G31" s="43">
        <f>IF($B$26*$B$28&gt;0,1/(1/G30-1/$B28),0)</f>
        <v>17.439642173390034</v>
      </c>
    </row>
    <row r="32" spans="1:7" ht="14.65" x14ac:dyDescent="0.45">
      <c r="A32" s="17" t="s">
        <v>13</v>
      </c>
      <c r="B32" s="37"/>
      <c r="C32" s="25">
        <v>80.599999999999994</v>
      </c>
      <c r="D32" s="25">
        <v>48.7</v>
      </c>
      <c r="E32" s="25">
        <v>37.4</v>
      </c>
      <c r="F32" s="25">
        <v>30.1</v>
      </c>
      <c r="G32" s="26">
        <v>17.399999999999999</v>
      </c>
    </row>
    <row r="33" spans="1:7" ht="4.9000000000000004" customHeight="1" x14ac:dyDescent="0.45">
      <c r="A33" s="17"/>
      <c r="B33" s="38"/>
      <c r="C33" s="39"/>
      <c r="D33" s="39"/>
      <c r="E33" s="39"/>
      <c r="F33" s="39"/>
      <c r="G33" s="40"/>
    </row>
    <row r="34" spans="1:7" ht="14.65" x14ac:dyDescent="0.45">
      <c r="A34" s="17" t="s">
        <v>11</v>
      </c>
      <c r="B34" s="41">
        <f>IFERROR(1/(1/$B$28+1/B32),B28)</f>
        <v>85.6</v>
      </c>
      <c r="C34" s="42">
        <f>IFERROR(1/(1/$B$28+1/C32),C28)</f>
        <v>41.512394705174486</v>
      </c>
      <c r="D34" s="42">
        <f>IFERROR(1/(1/$B$28+1/D32),D28)</f>
        <v>31.040357408786299</v>
      </c>
      <c r="E34" s="42">
        <f>IFERROR(1/(1/$B$28+1/E32),E28)</f>
        <v>26.0279674796748</v>
      </c>
      <c r="F34" s="42">
        <f>IFERROR(1/(1/$B$28+1/F32),F28)</f>
        <v>22.269317199654282</v>
      </c>
      <c r="G34" s="43">
        <f>IFERROR(1/(1/$B$28+1/G32),G28)</f>
        <v>14.460582524271842</v>
      </c>
    </row>
    <row r="35" spans="1:7" x14ac:dyDescent="0.45">
      <c r="A35" s="17" t="s">
        <v>2</v>
      </c>
      <c r="B35" s="53">
        <f>$B$26/B34+1</f>
        <v>1.5619158878504673</v>
      </c>
      <c r="C35" s="54">
        <f>$B$26/C34+1</f>
        <v>2.1586900813988548</v>
      </c>
      <c r="D35" s="54">
        <f>$B$26/D34+1</f>
        <v>2.549595559308373</v>
      </c>
      <c r="E35" s="54">
        <f>$B$26/E34+1</f>
        <v>2.8480121445349589</v>
      </c>
      <c r="F35" s="54">
        <f>$B$26/F34+1</f>
        <v>3.1599225323687397</v>
      </c>
      <c r="G35" s="55">
        <f>$B$26/G34+1</f>
        <v>4.3262837039424218</v>
      </c>
    </row>
    <row r="36" spans="1:7" x14ac:dyDescent="0.45">
      <c r="A36" s="17"/>
      <c r="B36" s="38"/>
      <c r="C36" s="39"/>
      <c r="D36" s="39"/>
      <c r="E36" s="39"/>
      <c r="F36" s="39"/>
      <c r="G36" s="40"/>
    </row>
    <row r="37" spans="1:7" x14ac:dyDescent="0.45">
      <c r="A37" s="19" t="s">
        <v>23</v>
      </c>
      <c r="B37" s="44">
        <f>Vref*B$35</f>
        <v>1.9523948598130842</v>
      </c>
      <c r="C37" s="45">
        <f>Vref*C$35</f>
        <v>2.6983626017485687</v>
      </c>
      <c r="D37" s="45">
        <f>Vref*D$35</f>
        <v>3.186994449135466</v>
      </c>
      <c r="E37" s="45">
        <f>Vref*E$35</f>
        <v>3.5600151806686986</v>
      </c>
      <c r="F37" s="45">
        <f>Vref*F$35</f>
        <v>3.9499031654609245</v>
      </c>
      <c r="G37" s="46">
        <f>Vref*G$35</f>
        <v>5.4078546299280275</v>
      </c>
    </row>
    <row r="38" spans="1:7" x14ac:dyDescent="0.45">
      <c r="A38" s="19" t="s">
        <v>24</v>
      </c>
      <c r="B38" s="44">
        <f>Vref*(1+$B$10)*B$35</f>
        <v>1.6548434743784992</v>
      </c>
      <c r="C38" s="45">
        <f>Vref*(1+$B$10)*C$35</f>
        <v>2.2871232837798532</v>
      </c>
      <c r="D38" s="45">
        <f>Vref*(1+$B$10)*D$35</f>
        <v>2.7012860336751956</v>
      </c>
      <c r="E38" s="45">
        <f>Vref*(1+$B$10)*E$35</f>
        <v>3.0174571812701863</v>
      </c>
      <c r="F38" s="45">
        <f>Vref*(1+$B$10)*F$35</f>
        <v>3.3479249573601972</v>
      </c>
      <c r="G38" s="46">
        <f>Vref*(1+$B$10)*G$35</f>
        <v>4.5836798328698283</v>
      </c>
    </row>
    <row r="39" spans="1:7" ht="5.25" customHeight="1" x14ac:dyDescent="0.45">
      <c r="A39" s="17"/>
      <c r="B39" s="47"/>
      <c r="C39" s="48"/>
      <c r="D39" s="48"/>
      <c r="E39" s="48"/>
      <c r="F39" s="48"/>
      <c r="G39" s="49"/>
    </row>
    <row r="40" spans="1:7" ht="14.65" thickBot="1" x14ac:dyDescent="0.5">
      <c r="A40" s="20" t="s">
        <v>7</v>
      </c>
      <c r="B40" s="50">
        <f>_xlfn.CEILING.MATH(MAX(ABS((Vref+(Vref_error+Comp_error)/1000)*B$35*(1+Rdiv_precision)-B$37),ABS((Vref-(Vref_error+Comp_error)/1000)*B$35*(1-Rdiv_precision)-B$37))*1000)</f>
        <v>21</v>
      </c>
      <c r="C40" s="51">
        <f>_xlfn.CEILING.MATH(MAX(ABS((Vref+(Vref_error+Comp_error)/1000)*C$35*(1+Rdiv_precision)-C$37),ABS((Vref-(Vref_error+Comp_error)/1000)*C$35*(1-Rdiv_precision)-C$37))*1000)</f>
        <v>29</v>
      </c>
      <c r="D40" s="51">
        <f>_xlfn.CEILING.MATH(MAX(ABS((Vref+(Vref_error+Comp_error)/1000)*D$35*(1+Rdiv_precision)-D$37),ABS((Vref-(Vref_error+Comp_error)/1000)*D$35*(1-Rdiv_precision)-D$37))*1000)</f>
        <v>34</v>
      </c>
      <c r="E40" s="51">
        <f>_xlfn.CEILING.MATH(MAX(ABS((Vref+(Vref_error+Comp_error)/1000)*E$35*(1+Rdiv_precision)-E$37),ABS((Vref-(Vref_error+Comp_error)/1000)*E$35*(1-Rdiv_precision)-E$37))*1000)</f>
        <v>38</v>
      </c>
      <c r="F40" s="51">
        <f>_xlfn.CEILING.MATH(MAX(ABS((Vref+(Vref_error+Comp_error)/1000)*F$35*(1+Rdiv_precision)-F$37),ABS((Vref-(Vref_error+Comp_error)/1000)*F$35*(1-Rdiv_precision)-F$37))*1000)</f>
        <v>42</v>
      </c>
      <c r="G40" s="52">
        <f>_xlfn.CEILING.MATH(MAX(ABS((Vref+(Vref_error+Comp_error)/1000)*G$35*(1+Rdiv_precision)-G$37),ABS((Vref-(Vref_error+Comp_error)/1000)*G$35*(1-Rdiv_precision)-G$37))*1000)</f>
        <v>57</v>
      </c>
    </row>
    <row r="41" spans="1:7" ht="14.65" thickTop="1" x14ac:dyDescent="0.4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Limiter</vt:lpstr>
      <vt:lpstr>_R22</vt:lpstr>
      <vt:lpstr>_R23</vt:lpstr>
      <vt:lpstr>Comp_error</vt:lpstr>
      <vt:lpstr>R_precision</vt:lpstr>
      <vt:lpstr>Rdiv_precision</vt:lpstr>
      <vt:lpstr>Vref</vt:lpstr>
      <vt:lpstr>Vref_error</vt:lpstr>
    </vt:vector>
  </TitlesOfParts>
  <Company>Banque Cantonale Vaudoise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SAUDAN OLIVIER  (U18161)</dc:creator>
  <cp:lastModifiedBy>osa</cp:lastModifiedBy>
  <dcterms:created xsi:type="dcterms:W3CDTF">2022-10-13T15:24:12Z</dcterms:created>
  <dcterms:modified xsi:type="dcterms:W3CDTF">2022-12-22T11:01:02Z</dcterms:modified>
</cp:coreProperties>
</file>