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926" activeTab="2"/>
  </bookViews>
  <sheets>
    <sheet name="Data Capture Sheet" sheetId="1" r:id="rId1"/>
    <sheet name="Logic Page+ Weightage" sheetId="2" r:id="rId2"/>
    <sheet name="Reasoning for Value_Full" sheetId="3" r:id="rId3"/>
    <sheet name="Set1" sheetId="4" r:id="rId4"/>
    <sheet name="Set 2" sheetId="5" r:id="rId5"/>
    <sheet name="Family Details " sheetId="7" r:id="rId6"/>
    <sheet name="Crop and Cultivation Data" sheetId="9" r:id="rId7"/>
    <sheet name="Asset Details" sheetId="10" r:id="rId8"/>
    <sheet name="Financial History" sheetId="12" r:id="rId9"/>
    <sheet name="Sheet10" sheetId="13" r:id="rId10"/>
  </sheets>
  <definedNames>
    <definedName name="Crop">'Logic Page+ Weightage'!#REF!</definedName>
    <definedName name="Crop_diseases">'Logic Page+ Weightage'!$B$388:$B$392</definedName>
    <definedName name="Education">'Logic Page+ Weightage'!$B$25:$B$29</definedName>
    <definedName name="Education1">'Logic Page+ Weightage'!$B$25:$B$29</definedName>
    <definedName name="English">'Logic Page+ Weightage'!$B$31:$B$35</definedName>
    <definedName name="Fertilizers">'Logic Page+ Weightage'!$B$397:$B$407</definedName>
    <definedName name="Irrigation">'Logic Page+ Weightage'!$B$311:$B$323</definedName>
    <definedName name="L_Fert">'Logic Page+ Weightage'!$B$434:$B$435</definedName>
    <definedName name="Last_year_crop">'Logic Page+ Weightage'!$B$411:$B$417</definedName>
    <definedName name="Loan">'Logic Page+ Weightage'!$B$129:$B$132</definedName>
    <definedName name="Loan_Bank">'Logic Page+ Weightage'!$B$492:$B$498</definedName>
    <definedName name="Loan_purpose">'Logic Page+ Weightage'!$B$91:$B$92</definedName>
    <definedName name="Loan_Type">'Logic Page+ Weightage'!$B$129:$B$141</definedName>
    <definedName name="Machinery">'Logic Page+ Weightage'!$B$467:$B$469</definedName>
    <definedName name="Net">'Logic Page+ Weightage'!$B$179:$B$181</definedName>
    <definedName name="Occupation">'Logic Page+ Weightage'!$B$65:$B$72</definedName>
    <definedName name="Phone">'Logic Page+ Weightage'!$B$172:$B$173</definedName>
    <definedName name="Potential_market">'Logic Page+ Weightage'!$B$366:$B$370</definedName>
    <definedName name="Potential_market1">'Logic Page+ Weightage'!$B$372:$B$376</definedName>
    <definedName name="Reagional">'Logic Page+ Weightage'!#REF!</definedName>
    <definedName name="Residence">'Logic Page+ Weightage'!$B$203:$B$205</definedName>
    <definedName name="RICE">'Logic Page+ Weightage'!$B$326</definedName>
    <definedName name="Soil">'Logic Page+ Weightage'!$B$295:$B$301</definedName>
    <definedName name="Source">'Logic Page+ Weightage'!#REF!</definedName>
    <definedName name="Stage_crop">'Logic Page+ Weightage'!$B$352:$B$358</definedName>
    <definedName name="Type_land">'Logic Page+ Weightage'!$B$266:$B$269</definedName>
    <definedName name="Types_rice">'Logic Page+ Weightage'!$B$327:$B$350</definedName>
    <definedName name="Vehicle">'Logic Page+ Weightage'!$B$463:$B$465</definedName>
    <definedName name="YN">'Logic Page+ Weightage'!$B$14:$B$15</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C45" i="3" l="1"/>
  <c r="D36" i="3"/>
  <c r="D32" i="3"/>
  <c r="D24" i="3"/>
  <c r="D22" i="3"/>
  <c r="D21" i="3"/>
  <c r="K175" i="3" l="1"/>
  <c r="K166" i="3"/>
  <c r="K154" i="3"/>
  <c r="J138" i="3"/>
  <c r="J25" i="3"/>
  <c r="J20" i="3"/>
  <c r="K124" i="3"/>
  <c r="J58" i="3"/>
  <c r="J139" i="3"/>
  <c r="K94" i="3"/>
  <c r="J122" i="3"/>
  <c r="J121" i="3"/>
  <c r="J120" i="3"/>
  <c r="J116" i="3"/>
  <c r="J115" i="3"/>
  <c r="J114" i="3"/>
  <c r="J109" i="3"/>
  <c r="J108" i="3"/>
  <c r="J107" i="3"/>
  <c r="J102" i="3"/>
  <c r="J101" i="3"/>
  <c r="J100" i="3"/>
  <c r="K62" i="3"/>
  <c r="K58" i="3"/>
  <c r="J61" i="3"/>
  <c r="J60" i="3"/>
  <c r="K50" i="3"/>
  <c r="J43" i="3"/>
  <c r="J44" i="3"/>
  <c r="J45" i="3"/>
  <c r="K43" i="3"/>
  <c r="J32" i="3"/>
  <c r="J29" i="3"/>
  <c r="J34" i="3"/>
  <c r="J35" i="3"/>
  <c r="K25" i="3"/>
  <c r="K2" i="3"/>
  <c r="D122" i="3"/>
  <c r="D116" i="3"/>
  <c r="G116" i="3"/>
  <c r="D115" i="3"/>
  <c r="D114" i="3"/>
  <c r="D109" i="3"/>
  <c r="D102" i="3"/>
  <c r="G109" i="3"/>
  <c r="D113" i="3"/>
  <c r="D112" i="3"/>
  <c r="D110" i="3"/>
  <c r="G102" i="3"/>
  <c r="D106" i="3"/>
  <c r="D108" i="3"/>
  <c r="D107" i="3"/>
  <c r="D105" i="3"/>
  <c r="J94" i="3"/>
  <c r="G122" i="3"/>
  <c r="G111" i="3"/>
  <c r="G104" i="3"/>
  <c r="D103" i="3"/>
  <c r="D99" i="3"/>
  <c r="D96" i="3"/>
  <c r="H42" i="3"/>
  <c r="J42" i="3"/>
  <c r="J41" i="3"/>
  <c r="D121" i="3"/>
  <c r="J40" i="3"/>
  <c r="D98" i="3"/>
  <c r="G42" i="3"/>
  <c r="D101" i="3"/>
  <c r="D100" i="3"/>
  <c r="G88" i="3"/>
  <c r="J88" i="3"/>
  <c r="D88" i="3"/>
  <c r="J86" i="3"/>
  <c r="J87" i="3"/>
  <c r="D86" i="3"/>
  <c r="D19" i="4"/>
  <c r="C18" i="4"/>
  <c r="D13" i="4"/>
  <c r="C12" i="4"/>
  <c r="D6" i="4"/>
  <c r="C5" i="4"/>
  <c r="G37" i="3"/>
  <c r="D12" i="3"/>
  <c r="D193" i="3"/>
  <c r="D192" i="3"/>
  <c r="D191" i="3"/>
  <c r="D190" i="3"/>
  <c r="D189" i="3"/>
  <c r="D188" i="3"/>
  <c r="D185" i="3"/>
  <c r="D186" i="3"/>
  <c r="L171" i="3"/>
  <c r="M171" i="3"/>
  <c r="N171" i="3"/>
  <c r="J171" i="3"/>
  <c r="L167" i="3"/>
  <c r="M167" i="3"/>
  <c r="N167" i="3"/>
  <c r="J167" i="3"/>
  <c r="L168" i="3"/>
  <c r="M168" i="3"/>
  <c r="N168" i="3"/>
  <c r="J168" i="3"/>
  <c r="L172" i="3"/>
  <c r="M172" i="3"/>
  <c r="N172" i="3"/>
  <c r="J172" i="3"/>
  <c r="L169" i="3"/>
  <c r="M169" i="3"/>
  <c r="N169" i="3"/>
  <c r="J169" i="3"/>
  <c r="J7" i="3"/>
  <c r="J17" i="3"/>
  <c r="D61" i="3"/>
  <c r="J89" i="3"/>
  <c r="J90" i="3"/>
  <c r="J125" i="3"/>
  <c r="J126" i="3"/>
  <c r="D127" i="3"/>
  <c r="J127" i="3"/>
  <c r="D128" i="3"/>
  <c r="J128" i="3"/>
  <c r="L158" i="3"/>
  <c r="M158" i="3"/>
  <c r="N158" i="3"/>
  <c r="J158" i="3"/>
  <c r="L161" i="3"/>
  <c r="M161" i="3"/>
  <c r="N161" i="3"/>
  <c r="J161" i="3"/>
  <c r="L162" i="3"/>
  <c r="M162" i="3"/>
  <c r="N162" i="3"/>
  <c r="J162" i="3"/>
  <c r="L155" i="3"/>
  <c r="M155" i="3"/>
  <c r="N155" i="3"/>
  <c r="J155" i="3"/>
  <c r="L157" i="3"/>
  <c r="M157" i="3"/>
  <c r="N157" i="3"/>
  <c r="J157" i="3"/>
  <c r="L163" i="3"/>
  <c r="M163" i="3"/>
  <c r="N163" i="3"/>
  <c r="J163" i="3"/>
  <c r="L164" i="3"/>
  <c r="M164" i="3"/>
  <c r="N164" i="3"/>
  <c r="J164" i="3"/>
  <c r="J18" i="3"/>
  <c r="K18" i="3" s="1"/>
  <c r="L2" i="3" s="1"/>
  <c r="J19" i="3"/>
  <c r="J62" i="3"/>
  <c r="D123" i="3"/>
  <c r="D120" i="3"/>
  <c r="D119" i="3"/>
  <c r="D118" i="3"/>
  <c r="G97" i="3"/>
  <c r="D92" i="3"/>
  <c r="D91" i="3"/>
  <c r="C89" i="3"/>
  <c r="D87" i="3"/>
  <c r="D85" i="3"/>
  <c r="D84" i="3"/>
  <c r="C61" i="3"/>
  <c r="C60" i="3"/>
  <c r="D59" i="3"/>
  <c r="D56" i="3"/>
  <c r="D55" i="3"/>
  <c r="G54" i="3"/>
  <c r="D53" i="3"/>
  <c r="D52" i="3"/>
  <c r="D51" i="3"/>
  <c r="D50" i="3"/>
  <c r="D49" i="3"/>
  <c r="D48" i="3"/>
  <c r="D47" i="3"/>
  <c r="D46" i="3"/>
  <c r="D26" i="3"/>
  <c r="C44" i="3"/>
  <c r="C43" i="3"/>
  <c r="G41" i="3"/>
  <c r="G40" i="3"/>
  <c r="G39" i="3"/>
  <c r="G38" i="3"/>
  <c r="D35" i="3"/>
  <c r="D34" i="3"/>
  <c r="G33" i="3"/>
  <c r="D31" i="3"/>
  <c r="D30" i="3"/>
  <c r="D29" i="3"/>
  <c r="D28" i="3"/>
  <c r="D27" i="3"/>
  <c r="D23" i="3"/>
  <c r="G14" i="3"/>
  <c r="G15" i="3"/>
  <c r="G16" i="3"/>
  <c r="G12" i="3"/>
  <c r="G13" i="3"/>
  <c r="G8" i="12"/>
</calcChain>
</file>

<file path=xl/sharedStrings.xml><?xml version="1.0" encoding="utf-8"?>
<sst xmlns="http://schemas.openxmlformats.org/spreadsheetml/2006/main" count="1365" uniqueCount="533">
  <si>
    <t>The fields typed in red are a part of the questionnaire, but carry no value</t>
  </si>
  <si>
    <t>The fields typed in blue and underlined are also a part of the questionnaire but they have dropdown options</t>
  </si>
  <si>
    <t>The fields in black italic are the ones which carry value and also are the options to the questions asked in Blue</t>
  </si>
  <si>
    <t>WEIGHTAGE FACTORS</t>
  </si>
  <si>
    <t>VALUE</t>
  </si>
  <si>
    <t>Personal Details</t>
  </si>
  <si>
    <t>Name</t>
  </si>
  <si>
    <t>-</t>
  </si>
  <si>
    <t>Father's Name</t>
  </si>
  <si>
    <t>Mother's Name</t>
  </si>
  <si>
    <t>Age</t>
  </si>
  <si>
    <t>Mobile Number</t>
  </si>
  <si>
    <t>yes</t>
  </si>
  <si>
    <t>no</t>
  </si>
  <si>
    <t>Alternate Number</t>
  </si>
  <si>
    <t>Adhar Number</t>
  </si>
  <si>
    <t>Other ID Proof</t>
  </si>
  <si>
    <t>Are You Married?</t>
  </si>
  <si>
    <t>Wife's Name</t>
  </si>
  <si>
    <t>Wife's Age</t>
  </si>
  <si>
    <t>Wife's Mobile Number</t>
  </si>
  <si>
    <t>Wife's Adhar Number</t>
  </si>
  <si>
    <t>Is your wife a part of any SHG [Self Help Groups]?</t>
  </si>
  <si>
    <t>Mention the name of the SHG</t>
  </si>
  <si>
    <t>Wife's Occupation?</t>
  </si>
  <si>
    <t>housewife</t>
  </si>
  <si>
    <t>farmer</t>
  </si>
  <si>
    <t>others</t>
  </si>
  <si>
    <t>Any microfinance help taken?</t>
  </si>
  <si>
    <t>Mention the name of the microfinance</t>
  </si>
  <si>
    <t>How much money taken from the microfinance firm?</t>
  </si>
  <si>
    <t>Any Loans taken?</t>
  </si>
  <si>
    <t>If Yes, which loan? - Education, Farming, Personal</t>
  </si>
  <si>
    <t>Wife's Income [Per Month]</t>
  </si>
  <si>
    <t>500-5000</t>
  </si>
  <si>
    <t>5001-10000</t>
  </si>
  <si>
    <t>10000-20000</t>
  </si>
  <si>
    <t>20000-30000</t>
  </si>
  <si>
    <t>Source of Income</t>
  </si>
  <si>
    <t>Farming</t>
  </si>
  <si>
    <t>Residence status</t>
  </si>
  <si>
    <t>Rented</t>
  </si>
  <si>
    <t>Owned</t>
  </si>
  <si>
    <t>Ancestral</t>
  </si>
  <si>
    <t>Resident Address</t>
  </si>
  <si>
    <t>Affliation to Any Association?</t>
  </si>
  <si>
    <t>FPO/FPC Name</t>
  </si>
  <si>
    <t>Co-operative Society/Bank Name</t>
  </si>
  <si>
    <t>Experience in Farming</t>
  </si>
  <si>
    <t>0-2 years</t>
  </si>
  <si>
    <t>2-5 years</t>
  </si>
  <si>
    <t>5-8 years</t>
  </si>
  <si>
    <t>8-12 years</t>
  </si>
  <si>
    <t>12 years or more</t>
  </si>
  <si>
    <t>Farm Land Details:</t>
  </si>
  <si>
    <t>CLIMATE</t>
  </si>
  <si>
    <t xml:space="preserve">Size in Acres: </t>
  </si>
  <si>
    <t>Type of Land Acquisition</t>
  </si>
  <si>
    <t>Leased</t>
  </si>
  <si>
    <t xml:space="preserve">If leased, for How many years? </t>
  </si>
  <si>
    <t>Contracted</t>
  </si>
  <si>
    <t xml:space="preserve">If contract, for How many years? </t>
  </si>
  <si>
    <t>Farm Land Address</t>
  </si>
  <si>
    <t>Have you had the soil tested in your land ?</t>
  </si>
  <si>
    <t>Type of Soil</t>
  </si>
  <si>
    <t>Alluvial Soil</t>
  </si>
  <si>
    <t>Black Soil</t>
  </si>
  <si>
    <t>Red Soil</t>
  </si>
  <si>
    <t>Mountain Soil</t>
  </si>
  <si>
    <t>Peat</t>
  </si>
  <si>
    <t>Laterite Soil</t>
  </si>
  <si>
    <t>Desert Soil</t>
  </si>
  <si>
    <t>Soil PH Level</t>
  </si>
  <si>
    <t>Type Of Irrigation</t>
  </si>
  <si>
    <t>Tube Well</t>
  </si>
  <si>
    <t>Canals</t>
  </si>
  <si>
    <t>Multipurpose River Valley</t>
  </si>
  <si>
    <t>Rain-fed</t>
  </si>
  <si>
    <t>Drip Irrigation</t>
  </si>
  <si>
    <t xml:space="preserve">Personal Knowledge: </t>
  </si>
  <si>
    <t>Educational Qualification Details:</t>
  </si>
  <si>
    <t>Illiterate</t>
  </si>
  <si>
    <t>Primary Education</t>
  </si>
  <si>
    <t>Matriculate</t>
  </si>
  <si>
    <t>Graduate</t>
  </si>
  <si>
    <t>Post Graduate</t>
  </si>
  <si>
    <t>Regional Language Knowledge</t>
  </si>
  <si>
    <t>Read and Write</t>
  </si>
  <si>
    <t>Read only</t>
  </si>
  <si>
    <t>Understand only</t>
  </si>
  <si>
    <t xml:space="preserve">What is your proficiency in English? </t>
  </si>
  <si>
    <t xml:space="preserve">Fluent </t>
  </si>
  <si>
    <t>Read</t>
  </si>
  <si>
    <t>Write</t>
  </si>
  <si>
    <t>Speak</t>
  </si>
  <si>
    <t>Understand Only</t>
  </si>
  <si>
    <t>Participation in Farming Programs</t>
  </si>
  <si>
    <t>If Yes, then Please specify the type of training Programs</t>
  </si>
  <si>
    <t>What was the duration of the program?</t>
  </si>
  <si>
    <t xml:space="preserve">Who conducted the programs? </t>
  </si>
  <si>
    <t>Type of Phone Ownership</t>
  </si>
  <si>
    <t>Smartphone</t>
  </si>
  <si>
    <t>Featurephone</t>
  </si>
  <si>
    <t>Does any of your family member own a Smart Phone?</t>
  </si>
  <si>
    <t xml:space="preserve">Who is the service Provider? </t>
  </si>
  <si>
    <t>Do you receive sufficeint network Coverage?</t>
  </si>
  <si>
    <t>Do you have Data Pack on your Phone ?</t>
  </si>
  <si>
    <t xml:space="preserve">Specify if it is - 2G / 3G / 4G </t>
  </si>
  <si>
    <t>What apps do you use regularly?</t>
  </si>
  <si>
    <t xml:space="preserve">If yes, please specify tbe name of the app: </t>
  </si>
  <si>
    <t>Subscriptions to Farming Advisory Apps?</t>
  </si>
  <si>
    <t xml:space="preserve">Family Details: </t>
  </si>
  <si>
    <t>Do you live in a Joint Family?</t>
  </si>
  <si>
    <t>If yes, then how many members are there in your family</t>
  </si>
  <si>
    <t>Number of Children the Farmer Has</t>
  </si>
  <si>
    <t>0-2</t>
  </si>
  <si>
    <t>3-5</t>
  </si>
  <si>
    <t>6-7</t>
  </si>
  <si>
    <t>7+</t>
  </si>
  <si>
    <t xml:space="preserve">Any of your children use Smart Phones? </t>
  </si>
  <si>
    <t xml:space="preserve">Crop and Cultivation Data: </t>
  </si>
  <si>
    <t>RICE</t>
  </si>
  <si>
    <t>A.P.H.R-1 Hybrid</t>
  </si>
  <si>
    <t>A.P.H.R-2 Hybrid</t>
  </si>
  <si>
    <t>Bhadrakali (WGL-3962)</t>
  </si>
  <si>
    <t>Chandana (RNR-74802)</t>
  </si>
  <si>
    <t>D.R.R.H-1 Hybrid</t>
  </si>
  <si>
    <t>Divya (WGL-44645)</t>
  </si>
  <si>
    <t>Indursamba (RDR-763)</t>
  </si>
  <si>
    <t>IR-64</t>
  </si>
  <si>
    <t>Kavya (WGL-48684)</t>
  </si>
  <si>
    <t>Kesava (WGL-3825)</t>
  </si>
  <si>
    <t>Phalguna (RP-6-17)</t>
  </si>
  <si>
    <t>Pothana (WGL-22245)</t>
  </si>
  <si>
    <t>Rajavadlu (RNR-99377)</t>
  </si>
  <si>
    <t>Rasi (IET-1444)</t>
  </si>
  <si>
    <t>Sagar samba (RNR-52147)</t>
  </si>
  <si>
    <t>Saleema (RNR- 29692)</t>
  </si>
  <si>
    <t>Sambamashuri (BPT-5204)</t>
  </si>
  <si>
    <t>Satya (RNR-1446)</t>
  </si>
  <si>
    <t>Siva (WGL-3943)</t>
  </si>
  <si>
    <t>Surekha (IET- 7946)</t>
  </si>
  <si>
    <t>Tellahamsa</t>
  </si>
  <si>
    <t>Varsha (RDR-355)</t>
  </si>
  <si>
    <t>Vijetha (MTU-1001)</t>
  </si>
  <si>
    <t>Yerramallelu (WGL-20471)</t>
  </si>
  <si>
    <t>Land Preparation</t>
  </si>
  <si>
    <t> Irrigation</t>
  </si>
  <si>
    <t> Crop Growth</t>
  </si>
  <si>
    <t> Fertilizing</t>
  </si>
  <si>
    <t> Harvesting</t>
  </si>
  <si>
    <t>Potential market (MANDI)</t>
  </si>
  <si>
    <t>Pre-Harvest Contractors</t>
  </si>
  <si>
    <t>Local Traders</t>
  </si>
  <si>
    <t>Comission Mandis</t>
  </si>
  <si>
    <t>Farmer's Market</t>
  </si>
  <si>
    <t>APMC</t>
  </si>
  <si>
    <t>Potential market (REGION)</t>
  </si>
  <si>
    <t>Potential crop diseases</t>
  </si>
  <si>
    <t>Potential pest control problems</t>
  </si>
  <si>
    <t>What Kind of Fertilizers being used?</t>
  </si>
  <si>
    <t>Sodium Nitrate</t>
  </si>
  <si>
    <t>Ammonium Sulphate</t>
  </si>
  <si>
    <t>Ammonia</t>
  </si>
  <si>
    <t>Urea</t>
  </si>
  <si>
    <t>Nitrogen</t>
  </si>
  <si>
    <t>Phosphorous</t>
  </si>
  <si>
    <t>Potash</t>
  </si>
  <si>
    <t>DAP</t>
  </si>
  <si>
    <t>SSP</t>
  </si>
  <si>
    <t>NPK</t>
  </si>
  <si>
    <t>Organic Fertilizers</t>
  </si>
  <si>
    <t>Previous Year Yield Details</t>
  </si>
  <si>
    <t>Type of crop cultivated last year:</t>
  </si>
  <si>
    <t>cereal</t>
  </si>
  <si>
    <t>millets</t>
  </si>
  <si>
    <t>pulses</t>
  </si>
  <si>
    <t>plantation crops</t>
  </si>
  <si>
    <t>cash crops</t>
  </si>
  <si>
    <t>vegetables</t>
  </si>
  <si>
    <t>fruits</t>
  </si>
  <si>
    <t>Any pest or diseases that the yield was prone to?</t>
  </si>
  <si>
    <t xml:space="preserve">What kind of Fertilizers did you use? </t>
  </si>
  <si>
    <t>inorganic</t>
  </si>
  <si>
    <t>Any Loans Taken</t>
  </si>
  <si>
    <t>0-50,000</t>
  </si>
  <si>
    <t>50,001 - 1 Lac</t>
  </si>
  <si>
    <t>1 Lac - 5 Lacs</t>
  </si>
  <si>
    <t>5 Lacs - 10 lacs</t>
  </si>
  <si>
    <t>10 lacs - 20 lacs</t>
  </si>
  <si>
    <t>20 lacs +</t>
  </si>
  <si>
    <t>&lt; 25 % paid</t>
  </si>
  <si>
    <t>25 - 50 % paid</t>
  </si>
  <si>
    <t>50 - 75 % paid</t>
  </si>
  <si>
    <t>&gt; 75 % paid</t>
  </si>
  <si>
    <t>unpaid</t>
  </si>
  <si>
    <t>cleared</t>
  </si>
  <si>
    <t>Asset Details</t>
  </si>
  <si>
    <t>Vehicles Owned with Value</t>
  </si>
  <si>
    <t>1 Vehicle below 5 lacs</t>
  </si>
  <si>
    <t>1 Vehicle above 5 lacs</t>
  </si>
  <si>
    <t>2 + Vehicles</t>
  </si>
  <si>
    <t>Machinery Owned with Value</t>
  </si>
  <si>
    <t>1 Machine below 5 lacs</t>
  </si>
  <si>
    <t>1 Machine above 5 lacs</t>
  </si>
  <si>
    <t>2 + Machines</t>
  </si>
  <si>
    <t>Livestock Asset Details</t>
  </si>
  <si>
    <t>Type of Livestock</t>
  </si>
  <si>
    <t>Dairy Cattle</t>
  </si>
  <si>
    <t>Draft Cattle</t>
  </si>
  <si>
    <t>Buffalo</t>
  </si>
  <si>
    <t>Ox</t>
  </si>
  <si>
    <t>Sheep</t>
  </si>
  <si>
    <t>Goat</t>
  </si>
  <si>
    <t>Pig</t>
  </si>
  <si>
    <t>Poultry [ chicken, geese, turkey, duck]</t>
  </si>
  <si>
    <t>Donkeys</t>
  </si>
  <si>
    <t>Livestock Count</t>
  </si>
  <si>
    <t>0-50</t>
  </si>
  <si>
    <t>50-100</t>
  </si>
  <si>
    <t>100-150</t>
  </si>
  <si>
    <t>0-5000</t>
  </si>
  <si>
    <t>5000-20000</t>
  </si>
  <si>
    <t>20000-50000</t>
  </si>
  <si>
    <t>50000+</t>
  </si>
  <si>
    <t>Financial History</t>
  </si>
  <si>
    <t>Loans Borrowed From</t>
  </si>
  <si>
    <t>Pvt Banks</t>
  </si>
  <si>
    <t>MFI</t>
  </si>
  <si>
    <t>Co-Operative Societies</t>
  </si>
  <si>
    <t>NABARD</t>
  </si>
  <si>
    <t>NBFC</t>
  </si>
  <si>
    <t>Private</t>
  </si>
  <si>
    <t xml:space="preserve">Pvt Banks          _ _ _ _ _ _ _  _ _ _ _ </t>
  </si>
  <si>
    <t xml:space="preserve">MFI         _ _ _ _ _ _ _ _ _ _ </t>
  </si>
  <si>
    <t xml:space="preserve">Co-Operative Societies               _ _ _ _ _ _ _ _ _ _ </t>
  </si>
  <si>
    <t xml:space="preserve">NABARD      _ _ _ _ _ _ _ _ _ </t>
  </si>
  <si>
    <t>NBFC        _ _ _ _ _ _ _ _ _ _</t>
  </si>
  <si>
    <t xml:space="preserve">Private      _ _ _ _ _ _ _ _ _ </t>
  </si>
  <si>
    <t>The total should be given the rating</t>
  </si>
  <si>
    <t>Outstanding Loan Percentage</t>
  </si>
  <si>
    <t>0-25%</t>
  </si>
  <si>
    <t>26-50%</t>
  </si>
  <si>
    <t>50-75%</t>
  </si>
  <si>
    <t>75-100%</t>
  </si>
  <si>
    <t>Any Private Borrowing?</t>
  </si>
  <si>
    <t>Outstanding Private Borrowing Percentage</t>
  </si>
  <si>
    <t xml:space="preserve">Did you borrow Loans from </t>
  </si>
  <si>
    <t xml:space="preserve">Cooperative Society:                      Private Bank:                        NBFC:                         MFI:               Private: </t>
  </si>
  <si>
    <t xml:space="preserve">What is the amount of loan taken from each institution? </t>
  </si>
  <si>
    <t>What previous Loans have you taken:</t>
  </si>
  <si>
    <t xml:space="preserve">What did you use these loan amount for? </t>
  </si>
  <si>
    <t xml:space="preserve">How much is the current Loan outstanding? </t>
  </si>
  <si>
    <t>Any Subsidies Received</t>
  </si>
  <si>
    <t>Any Waivers Received</t>
  </si>
  <si>
    <t>Do you have any private borrowing. If so how much?</t>
  </si>
  <si>
    <t xml:space="preserve">How much is the private borrowing outstanding? </t>
  </si>
  <si>
    <t>Current year forcast</t>
  </si>
  <si>
    <t>What type of crop planned (Commercial Or Seasonal)</t>
  </si>
  <si>
    <t>What is the variety of Crop have you chosen to plant?</t>
  </si>
  <si>
    <t>What is the total acrage you are planning for Crop 1</t>
  </si>
  <si>
    <t>What is the total acrage you are planning for Crop 2</t>
  </si>
  <si>
    <t>What is the total acrage you are planning for Crop 3</t>
  </si>
  <si>
    <t xml:space="preserve">How much yeild you are expecting from Crop 1: </t>
  </si>
  <si>
    <t xml:space="preserve">How much yeild you are expecting from Crop 2: </t>
  </si>
  <si>
    <t xml:space="preserve">How much yeild you are expecting from Crop 3: </t>
  </si>
  <si>
    <t>What type of Seeds you plan to buy / bought?</t>
  </si>
  <si>
    <t>How much is the quantity bought?</t>
  </si>
  <si>
    <t xml:space="preserve">How much money did you spend in buying Seed? </t>
  </si>
  <si>
    <t>Do you use self grown seeds from previous crops ?</t>
  </si>
  <si>
    <t>How much quantity in Kg seeds buy?</t>
  </si>
  <si>
    <t>What do you find better - Own / Market seeds ?</t>
  </si>
  <si>
    <t>Why  / How is this better ?</t>
  </si>
  <si>
    <t xml:space="preserve">Did you take loan to buy seeds? </t>
  </si>
  <si>
    <t xml:space="preserve">How much is the amount? </t>
  </si>
  <si>
    <t>Where did you borrow the loan from?</t>
  </si>
  <si>
    <t xml:space="preserve">What type of Fertilizer you are planning for Crop 1 &amp; how much quantity? </t>
  </si>
  <si>
    <t xml:space="preserve">What type of Fertilizer you are planning for Crop 2 &amp; how much quantity? </t>
  </si>
  <si>
    <t xml:space="preserve">What type of Fertilizer you are planning for Crop 3 &amp; how much quantity? </t>
  </si>
  <si>
    <t>What are potential diseases you foresee for Crop 1</t>
  </si>
  <si>
    <t>What are potential diseases you foresee for Crop 2</t>
  </si>
  <si>
    <t>What are potential diseases you foresee for Crop 3</t>
  </si>
  <si>
    <t>What type of water sources you are depending on?</t>
  </si>
  <si>
    <t>When is the harvest date / Month?</t>
  </si>
  <si>
    <t>What is the approximate income you are expecting for Crop 1</t>
  </si>
  <si>
    <t>What is the approximate income you are expecting for Crop 2</t>
  </si>
  <si>
    <t>What is the approximate income you are expecting for Crop 3</t>
  </si>
  <si>
    <t>What is the net total income you are expecting this year?</t>
  </si>
  <si>
    <t>Are you looking to borrow loans from Banks?</t>
  </si>
  <si>
    <t xml:space="preserve">If Yes,what is the expected rate of interest you are ready to pay? </t>
  </si>
  <si>
    <t xml:space="preserve">What is the repayment time needed? </t>
  </si>
  <si>
    <t xml:space="preserve">How much amount are looking to Borrow? </t>
  </si>
  <si>
    <r>
      <t>yes</t>
    </r>
    <r>
      <rPr>
        <i/>
        <sz val="10"/>
        <color rgb="FFFF0000"/>
        <rFont val="Calibri"/>
        <family val="2"/>
        <scheme val="minor"/>
      </rPr>
      <t>*as he clickes 'yes' a drop down with new set of questions about his wife will appear</t>
    </r>
  </si>
  <si>
    <r>
      <t xml:space="preserve">Type of crop cultivating this year </t>
    </r>
    <r>
      <rPr>
        <b/>
        <u/>
        <sz val="10"/>
        <color theme="3"/>
        <rFont val="Calibri"/>
        <family val="2"/>
        <scheme val="minor"/>
      </rPr>
      <t>[Per Acre Per Crop]</t>
    </r>
    <r>
      <rPr>
        <u/>
        <sz val="10"/>
        <color theme="3"/>
        <rFont val="Calibri"/>
        <family val="2"/>
        <scheme val="minor"/>
      </rPr>
      <t>:</t>
    </r>
  </si>
  <si>
    <r>
      <t xml:space="preserve">Current stage of crop </t>
    </r>
    <r>
      <rPr>
        <b/>
        <u/>
        <sz val="10"/>
        <color theme="3"/>
        <rFont val="Calibri"/>
        <family val="2"/>
        <scheme val="minor"/>
      </rPr>
      <t>[Per Acre]</t>
    </r>
  </si>
  <si>
    <r>
      <t xml:space="preserve">Total Yield Expected </t>
    </r>
    <r>
      <rPr>
        <b/>
        <u/>
        <sz val="10"/>
        <color theme="3"/>
        <rFont val="Calibri"/>
        <family val="2"/>
        <scheme val="minor"/>
      </rPr>
      <t>[Per Acre Per Crop]</t>
    </r>
    <r>
      <rPr>
        <u/>
        <sz val="10"/>
        <color theme="3"/>
        <rFont val="Calibri"/>
        <family val="2"/>
        <scheme val="minor"/>
      </rPr>
      <t xml:space="preserve">: </t>
    </r>
  </si>
  <si>
    <r>
      <t xml:space="preserve">Expected price this year </t>
    </r>
    <r>
      <rPr>
        <b/>
        <u/>
        <sz val="10"/>
        <color theme="3"/>
        <rFont val="Calibri"/>
        <family val="2"/>
        <scheme val="minor"/>
      </rPr>
      <t xml:space="preserve">[ Per Ton Per Crop ] </t>
    </r>
  </si>
  <si>
    <r>
      <t>Total Income Expected this year</t>
    </r>
    <r>
      <rPr>
        <b/>
        <u/>
        <sz val="10"/>
        <color theme="3"/>
        <rFont val="Calibri"/>
        <family val="2"/>
        <scheme val="minor"/>
      </rPr>
      <t xml:space="preserve"> [ Per Acre Per Crop ] </t>
    </r>
  </si>
  <si>
    <r>
      <t xml:space="preserve">Yield Achieved Last Year </t>
    </r>
    <r>
      <rPr>
        <b/>
        <u/>
        <sz val="10"/>
        <color theme="3"/>
        <rFont val="Calibri"/>
        <family val="2"/>
        <scheme val="minor"/>
      </rPr>
      <t>[ Per Acre Per Crop ]</t>
    </r>
    <r>
      <rPr>
        <u/>
        <sz val="10"/>
        <color theme="3"/>
        <rFont val="Calibri"/>
        <family val="2"/>
        <scheme val="minor"/>
      </rPr>
      <t xml:space="preserve"> :</t>
    </r>
  </si>
  <si>
    <r>
      <t xml:space="preserve">Income Achieved Last Year </t>
    </r>
    <r>
      <rPr>
        <b/>
        <u/>
        <sz val="10"/>
        <color theme="3"/>
        <rFont val="Calibri"/>
        <family val="2"/>
        <scheme val="minor"/>
      </rPr>
      <t xml:space="preserve">[ Per Acre Per Crop </t>
    </r>
    <r>
      <rPr>
        <u/>
        <sz val="10"/>
        <color theme="3"/>
        <rFont val="Calibri"/>
        <family val="2"/>
        <scheme val="minor"/>
      </rPr>
      <t>] :</t>
    </r>
  </si>
  <si>
    <r>
      <t xml:space="preserve">Income Gained From Livestock </t>
    </r>
    <r>
      <rPr>
        <b/>
        <u/>
        <sz val="10"/>
        <color theme="3"/>
        <rFont val="Calibri"/>
        <family val="2"/>
        <scheme val="minor"/>
      </rPr>
      <t>[per livestock]</t>
    </r>
  </si>
  <si>
    <r>
      <t xml:space="preserve">Total Amount Taken </t>
    </r>
    <r>
      <rPr>
        <u/>
        <sz val="10"/>
        <color rgb="FFFF0000"/>
        <rFont val="Calibri"/>
        <family val="2"/>
        <scheme val="minor"/>
      </rPr>
      <t>*A box next to each fund source will be given where the farmer can enter the amount</t>
    </r>
  </si>
  <si>
    <t>Spouse Details</t>
  </si>
  <si>
    <t>Mandatory</t>
  </si>
  <si>
    <t>Y</t>
  </si>
  <si>
    <t>Primary Key 1</t>
  </si>
  <si>
    <t>Land 1</t>
  </si>
  <si>
    <t>Land 2</t>
  </si>
  <si>
    <t>Land 3</t>
  </si>
  <si>
    <t>Size in Acres</t>
  </si>
  <si>
    <t>Ownership</t>
  </si>
  <si>
    <t>No of Years Under Leasing</t>
  </si>
  <si>
    <t>No of Years Under Contract</t>
  </si>
  <si>
    <t>Land Address</t>
  </si>
  <si>
    <t>Village</t>
  </si>
  <si>
    <t>District</t>
  </si>
  <si>
    <t>State</t>
  </si>
  <si>
    <t>Pin Code</t>
  </si>
  <si>
    <t>Taluka/ Mandal</t>
  </si>
  <si>
    <t>Lat / Long</t>
  </si>
  <si>
    <t>Geo Tag</t>
  </si>
  <si>
    <t>Soil Depth</t>
  </si>
  <si>
    <t>Have you tested the Soil?</t>
  </si>
  <si>
    <r>
      <t>How Much Loan Taken</t>
    </r>
    <r>
      <rPr>
        <b/>
        <u/>
        <sz val="10"/>
        <color theme="3"/>
        <rFont val="Calibri"/>
        <family val="2"/>
        <scheme val="minor"/>
      </rPr>
      <t xml:space="preserve"> </t>
    </r>
  </si>
  <si>
    <t xml:space="preserve">Duration of The Loan </t>
  </si>
  <si>
    <t>Current Loan Status</t>
  </si>
  <si>
    <t xml:space="preserve">Personal Knowledge:+B77:B125 Personal Knowledge: </t>
  </si>
  <si>
    <r>
      <t xml:space="preserve">How much was the total consumption of Fertilizer in KGs </t>
    </r>
    <r>
      <rPr>
        <b/>
        <sz val="10"/>
        <color theme="3"/>
        <rFont val="Calibri"/>
        <family val="2"/>
        <scheme val="minor"/>
      </rPr>
      <t>[ Per Acre Per Crop ]</t>
    </r>
  </si>
  <si>
    <t>Any other inputs you would like to provide ?</t>
  </si>
  <si>
    <r>
      <t xml:space="preserve">Type of crop cultivating this year </t>
    </r>
    <r>
      <rPr>
        <b/>
        <u/>
        <sz val="12"/>
        <color theme="3"/>
        <rFont val="Calibri"/>
        <family val="2"/>
        <scheme val="minor"/>
      </rPr>
      <t>[Per Acre Per Crop]</t>
    </r>
    <r>
      <rPr>
        <u/>
        <sz val="12"/>
        <color theme="3"/>
        <rFont val="Calibri"/>
        <family val="2"/>
        <scheme val="minor"/>
      </rPr>
      <t>:</t>
    </r>
  </si>
  <si>
    <r>
      <t xml:space="preserve">Current stage of crop </t>
    </r>
    <r>
      <rPr>
        <b/>
        <u/>
        <sz val="12"/>
        <color theme="3"/>
        <rFont val="Calibri"/>
        <family val="2"/>
        <scheme val="minor"/>
      </rPr>
      <t>[Per Acre]</t>
    </r>
  </si>
  <si>
    <r>
      <t xml:space="preserve">Total Yield Expected </t>
    </r>
    <r>
      <rPr>
        <b/>
        <u/>
        <sz val="12"/>
        <color theme="3"/>
        <rFont val="Calibri"/>
        <family val="2"/>
        <scheme val="minor"/>
      </rPr>
      <t>[Per Acre Per Crop]</t>
    </r>
    <r>
      <rPr>
        <u/>
        <sz val="12"/>
        <color theme="3"/>
        <rFont val="Calibri"/>
        <family val="2"/>
        <scheme val="minor"/>
      </rPr>
      <t xml:space="preserve">: </t>
    </r>
  </si>
  <si>
    <r>
      <t xml:space="preserve">Expected price this year </t>
    </r>
    <r>
      <rPr>
        <b/>
        <u/>
        <sz val="12"/>
        <color theme="3"/>
        <rFont val="Calibri"/>
        <family val="2"/>
        <scheme val="minor"/>
      </rPr>
      <t xml:space="preserve">[ Per Ton Per Crop ] </t>
    </r>
  </si>
  <si>
    <r>
      <t>Total Income Expected this year</t>
    </r>
    <r>
      <rPr>
        <b/>
        <u/>
        <sz val="12"/>
        <color theme="3"/>
        <rFont val="Calibri"/>
        <family val="2"/>
        <scheme val="minor"/>
      </rPr>
      <t xml:space="preserve"> [ Per Acre Per Crop ] </t>
    </r>
  </si>
  <si>
    <r>
      <t xml:space="preserve">Yield Achieved Last Year </t>
    </r>
    <r>
      <rPr>
        <b/>
        <u/>
        <sz val="12"/>
        <color theme="3"/>
        <rFont val="Calibri"/>
        <family val="2"/>
        <scheme val="minor"/>
      </rPr>
      <t>[ Per Acre Per Crop ]</t>
    </r>
    <r>
      <rPr>
        <u/>
        <sz val="12"/>
        <color theme="3"/>
        <rFont val="Calibri"/>
        <family val="2"/>
        <scheme val="minor"/>
      </rPr>
      <t xml:space="preserve"> :</t>
    </r>
  </si>
  <si>
    <r>
      <t xml:space="preserve">Income Achieved Last Year </t>
    </r>
    <r>
      <rPr>
        <b/>
        <u/>
        <sz val="12"/>
        <color theme="3"/>
        <rFont val="Calibri"/>
        <family val="2"/>
        <scheme val="minor"/>
      </rPr>
      <t xml:space="preserve">[ Per Acre Per Crop </t>
    </r>
    <r>
      <rPr>
        <u/>
        <sz val="12"/>
        <color theme="3"/>
        <rFont val="Calibri"/>
        <family val="2"/>
        <scheme val="minor"/>
      </rPr>
      <t>] :</t>
    </r>
  </si>
  <si>
    <r>
      <t xml:space="preserve">How much was the total consumption of Fertilizer in KGs </t>
    </r>
    <r>
      <rPr>
        <b/>
        <sz val="12"/>
        <color theme="3"/>
        <rFont val="Calibri"/>
        <family val="2"/>
        <scheme val="minor"/>
      </rPr>
      <t>[ Per Acre Per Crop ]</t>
    </r>
  </si>
  <si>
    <r>
      <t>How Much Loan Taken</t>
    </r>
    <r>
      <rPr>
        <b/>
        <u/>
        <sz val="12"/>
        <color theme="3"/>
        <rFont val="Calibri"/>
        <family val="2"/>
        <scheme val="minor"/>
      </rPr>
      <t xml:space="preserve"> </t>
    </r>
  </si>
  <si>
    <r>
      <t xml:space="preserve">Income Gained From Livestock </t>
    </r>
    <r>
      <rPr>
        <b/>
        <u/>
        <sz val="12"/>
        <color theme="3"/>
        <rFont val="Calibri"/>
        <family val="2"/>
        <scheme val="minor"/>
      </rPr>
      <t>[per livestock]</t>
    </r>
  </si>
  <si>
    <r>
      <t xml:space="preserve">Total Amount Taken </t>
    </r>
    <r>
      <rPr>
        <u/>
        <sz val="12"/>
        <color rgb="FFFF0000"/>
        <rFont val="Calibri"/>
        <family val="2"/>
        <scheme val="minor"/>
      </rPr>
      <t>*A box next to each fund source will be given where the farmer can enter the amount</t>
    </r>
  </si>
  <si>
    <r>
      <t xml:space="preserve">How much was the total consumption of Fertilizer in KGs         </t>
    </r>
    <r>
      <rPr>
        <b/>
        <sz val="12"/>
        <color theme="3"/>
        <rFont val="Calibri"/>
        <family val="2"/>
        <scheme val="minor"/>
      </rPr>
      <t>[ Per Acre Per Crop ]</t>
    </r>
  </si>
  <si>
    <r>
      <t xml:space="preserve">Current Loan Status </t>
    </r>
    <r>
      <rPr>
        <b/>
        <u/>
        <sz val="12"/>
        <color theme="3"/>
        <rFont val="Calibri"/>
        <family val="2"/>
        <scheme val="minor"/>
      </rPr>
      <t>[Per Acre Per Crop]</t>
    </r>
  </si>
  <si>
    <t>Yes</t>
  </si>
  <si>
    <t>No</t>
  </si>
  <si>
    <t>Rating as per weightage factors</t>
  </si>
  <si>
    <t>Data provided by Farmer</t>
  </si>
  <si>
    <t>NA</t>
  </si>
  <si>
    <t>Devi</t>
  </si>
  <si>
    <t>Anita</t>
  </si>
  <si>
    <t>Housewife</t>
  </si>
  <si>
    <t>Farmer</t>
  </si>
  <si>
    <t>Others</t>
  </si>
  <si>
    <t>State bank</t>
  </si>
  <si>
    <t>HDFL</t>
  </si>
  <si>
    <t>Fluent</t>
  </si>
  <si>
    <t>Tata</t>
  </si>
  <si>
    <t>2G</t>
  </si>
  <si>
    <t>3G</t>
  </si>
  <si>
    <t>4G</t>
  </si>
  <si>
    <t>Bhandup</t>
  </si>
  <si>
    <t>Rating</t>
  </si>
  <si>
    <t>No Lease year</t>
  </si>
  <si>
    <t>No Contract year</t>
  </si>
  <si>
    <t>Kurla</t>
  </si>
  <si>
    <t>Maharashtra</t>
  </si>
  <si>
    <t>Rice</t>
  </si>
  <si>
    <t>Seed Sowing</t>
  </si>
  <si>
    <t>Seed Selection</t>
  </si>
  <si>
    <t>Fungal</t>
  </si>
  <si>
    <t>Non-fungal</t>
  </si>
  <si>
    <t>Severe</t>
  </si>
  <si>
    <t>Treatable</t>
  </si>
  <si>
    <t>No potential of diseases</t>
  </si>
  <si>
    <t>Inorganic</t>
  </si>
  <si>
    <t>How much was the total consumption of Fertilizer in KGs [ Per Acre Per Crop ]</t>
  </si>
  <si>
    <t>Adhar Number (12 digit number)</t>
  </si>
  <si>
    <t>ABD</t>
  </si>
  <si>
    <t>Vijay</t>
  </si>
  <si>
    <t>Surname</t>
  </si>
  <si>
    <t>Singh</t>
  </si>
  <si>
    <t>*</t>
  </si>
  <si>
    <t>Arvind</t>
  </si>
  <si>
    <t xml:space="preserve">Other ID proof </t>
  </si>
  <si>
    <r>
      <t>Yes</t>
    </r>
    <r>
      <rPr>
        <i/>
        <sz val="12"/>
        <color rgb="FFFF0000"/>
        <rFont val="Calibri"/>
        <family val="2"/>
        <scheme val="minor"/>
      </rPr>
      <t>*as he clickes 'yes' a drop down with new set of questions about his wife will appear</t>
    </r>
  </si>
  <si>
    <t>Tailoring</t>
  </si>
  <si>
    <t>Weaving</t>
  </si>
  <si>
    <t>Handicrafts</t>
  </si>
  <si>
    <t>Seller/ Vendor</t>
  </si>
  <si>
    <t>House Wife is defined as non-earning member of the family in this context</t>
  </si>
  <si>
    <t>Farmer - As she would be working on her own farmland, additional earning possibilities are lower</t>
  </si>
  <si>
    <t>Daily Wage worker</t>
  </si>
  <si>
    <t>Any Microfinance help taken?</t>
  </si>
  <si>
    <t>Amount taken from Microfinance Firm</t>
  </si>
  <si>
    <t>Financial Details</t>
  </si>
  <si>
    <t>Mention name of the SHG</t>
  </si>
  <si>
    <t>Is your Spouse part of any SHG [Self Help Groups]?</t>
  </si>
  <si>
    <t>Spouse Adhar Number</t>
  </si>
  <si>
    <t>Spouse Mobile Number</t>
  </si>
  <si>
    <t>Spouse's Age</t>
  </si>
  <si>
    <t>Spouse's Full Name</t>
  </si>
  <si>
    <t>Spouse income per month</t>
  </si>
  <si>
    <t>Mention name of the Microfinance Firm</t>
  </si>
  <si>
    <t>Any other Loans taken?</t>
  </si>
  <si>
    <t>Equipment</t>
  </si>
  <si>
    <t>Two Wheeler</t>
  </si>
  <si>
    <t>Purpose for Which the loan was taken</t>
  </si>
  <si>
    <t>Agriculture</t>
  </si>
  <si>
    <t xml:space="preserve">Small Vendor </t>
  </si>
  <si>
    <t>Irrigation</t>
  </si>
  <si>
    <t>Fencing</t>
  </si>
  <si>
    <t>Housing</t>
  </si>
  <si>
    <t>Four Wheeler</t>
  </si>
  <si>
    <t>Electronics</t>
  </si>
  <si>
    <t>if Others, Please mention</t>
  </si>
  <si>
    <t>If Yes, Please mention the Loan Type, total amount, EMI value, Bank Name</t>
  </si>
  <si>
    <t>Total Loan Amount</t>
  </si>
  <si>
    <t>How Much is your Avg or Fixed Monthly Income?</t>
  </si>
  <si>
    <t>More the EMI / Loan amount taken already by the applicant means that the there is higher risk for lending New Loan to the same applicant. The repayment amount is mappaed to the income generated, so the rating is also tallied with the income column</t>
  </si>
  <si>
    <t xml:space="preserve">Note: None of these numbers mentined in the value column are Rankings. These all values are RATINGS. </t>
  </si>
  <si>
    <t xml:space="preserve">Which Bank do you Bank with? </t>
  </si>
  <si>
    <t>Any Loans Taken against House Construction</t>
  </si>
  <si>
    <t>Current Outstanding Loan Amount</t>
  </si>
  <si>
    <t xml:space="preserve">Please Mention the Amount: </t>
  </si>
  <si>
    <t>How much amount is due to be Paid Back to the MFI</t>
  </si>
  <si>
    <t xml:space="preserve">Please mention the Amount: </t>
  </si>
  <si>
    <t>Please mention the Loan Amount Borrowed</t>
  </si>
  <si>
    <t>How much loan is Outstanding to be paid?</t>
  </si>
  <si>
    <t>What was the Percentage Interest of the loan?</t>
  </si>
  <si>
    <t>If Yes, Please mention the total amount, EMI value, Bank Name, Duration Remaining of the Loan</t>
  </si>
  <si>
    <t>When did you borrow the loan?</t>
  </si>
  <si>
    <t xml:space="preserve">If Yes, </t>
  </si>
  <si>
    <t>More the EMI / Loan amount taken already by the applicant, there is higher risk for lending New Loan to the same applicant. The repayment amount is mappaed to the income generated, so the rating is also tallied with the income column</t>
  </si>
  <si>
    <t>Did you Amount Borrowed from the Private Lenders / Friends and Family / Pawn Brokers</t>
  </si>
  <si>
    <t>SUB SETS</t>
  </si>
  <si>
    <t>Reasoning and Explanation for Rating / Value</t>
  </si>
  <si>
    <t xml:space="preserve">Please Mention the Percentage: </t>
  </si>
  <si>
    <t xml:space="preserve">EMI Amount Paid per Month: </t>
  </si>
  <si>
    <t>House No:</t>
  </si>
  <si>
    <t>Street Name</t>
  </si>
  <si>
    <t>Area Name</t>
  </si>
  <si>
    <t>Village Name</t>
  </si>
  <si>
    <t>Taluka</t>
  </si>
  <si>
    <t>Geo Tag / Lat Long</t>
  </si>
  <si>
    <t xml:space="preserve">If Rented, Rental Amount per month: </t>
  </si>
  <si>
    <t>Residence Status</t>
  </si>
  <si>
    <t>Permanent Resident Address</t>
  </si>
  <si>
    <t>Current Resident Address</t>
  </si>
  <si>
    <t>Survey Number</t>
  </si>
  <si>
    <t>Lat Long</t>
  </si>
  <si>
    <t>Tank Water</t>
  </si>
  <si>
    <t>Source Of Water</t>
  </si>
  <si>
    <t>Well Water</t>
  </si>
  <si>
    <t>Perennial Canal</t>
  </si>
  <si>
    <t xml:space="preserve">Sprinkler </t>
  </si>
  <si>
    <t xml:space="preserve">Furrow </t>
  </si>
  <si>
    <t xml:space="preserve">Ditch </t>
  </si>
  <si>
    <t>Surge</t>
  </si>
  <si>
    <t>Seepage</t>
  </si>
  <si>
    <t xml:space="preserve">Current stage of crop </t>
  </si>
  <si>
    <t>Tonnes</t>
  </si>
  <si>
    <t>Total Yield Expected  (in tonnes Per Acre)</t>
  </si>
  <si>
    <t>Yield Achieved Last Year</t>
  </si>
  <si>
    <r>
      <t>Income Achieved Last Year</t>
    </r>
    <r>
      <rPr>
        <u/>
        <sz val="12"/>
        <color theme="3"/>
        <rFont val="Calibri"/>
        <family val="2"/>
        <scheme val="minor"/>
      </rPr>
      <t xml:space="preserve"> :</t>
    </r>
  </si>
  <si>
    <t xml:space="preserve">What kind of Pesicide did you use to treat the disease or Pest? </t>
  </si>
  <si>
    <t>Expected price this year</t>
  </si>
  <si>
    <t xml:space="preserve">Any Subsidies Received from the Government? Name the Scheme </t>
  </si>
  <si>
    <t>Any Loan Waivers Received? Name the Scheme</t>
  </si>
  <si>
    <t>Rating by individual form</t>
  </si>
  <si>
    <t>Total Rating</t>
  </si>
  <si>
    <t>Mother's First name</t>
  </si>
  <si>
    <t>Mother's middle name</t>
  </si>
  <si>
    <t>RR Training program</t>
  </si>
  <si>
    <t>RR group</t>
  </si>
  <si>
    <t>First name</t>
  </si>
  <si>
    <t xml:space="preserve">Middle name </t>
  </si>
  <si>
    <t>Spouse First name</t>
  </si>
  <si>
    <t>Spouse Middle name</t>
  </si>
  <si>
    <t>Spouse Surname</t>
  </si>
  <si>
    <t>Spouse Age</t>
  </si>
  <si>
    <t>Spouse Occupation</t>
  </si>
  <si>
    <t>facebook</t>
  </si>
  <si>
    <t>Permanent Resident Address:</t>
  </si>
  <si>
    <t xml:space="preserve">If Yes, Please mention the total amount, </t>
  </si>
  <si>
    <t>Bank Name</t>
  </si>
  <si>
    <t>PMC bank</t>
  </si>
  <si>
    <t>Education</t>
  </si>
  <si>
    <t>Book</t>
  </si>
  <si>
    <t>Mumbai</t>
  </si>
  <si>
    <t>Have you had the soil tested im your land?</t>
  </si>
  <si>
    <t>ND</t>
  </si>
  <si>
    <t>Source of Water</t>
  </si>
  <si>
    <t>Land  1 (Part 1)</t>
  </si>
  <si>
    <t>Land  1 (Part 2)</t>
  </si>
  <si>
    <t>Land  1 (Part 3)</t>
  </si>
  <si>
    <r>
      <t xml:space="preserve">Total Yield Expected </t>
    </r>
    <r>
      <rPr>
        <b/>
        <u/>
        <sz val="12"/>
        <color theme="3"/>
        <rFont val="Calibri"/>
        <family val="2"/>
        <scheme val="minor"/>
      </rPr>
      <t>[In tonnes Per Acre]</t>
    </r>
    <r>
      <rPr>
        <u/>
        <sz val="12"/>
        <color theme="3"/>
        <rFont val="Calibri"/>
        <family val="2"/>
        <scheme val="minor"/>
      </rPr>
      <t xml:space="preserve">: </t>
    </r>
  </si>
  <si>
    <t xml:space="preserve">Expected price this year </t>
  </si>
  <si>
    <r>
      <t>Yield Achieved Last Year</t>
    </r>
    <r>
      <rPr>
        <u/>
        <sz val="12"/>
        <color theme="3"/>
        <rFont val="Calibri"/>
        <family val="2"/>
        <scheme val="minor"/>
      </rPr>
      <t>:</t>
    </r>
  </si>
  <si>
    <r>
      <t xml:space="preserve">Income Achieved Last Year </t>
    </r>
    <r>
      <rPr>
        <u/>
        <sz val="12"/>
        <color theme="3"/>
        <rFont val="Calibri"/>
        <family val="2"/>
        <scheme val="minor"/>
      </rPr>
      <t xml:space="preserve"> :</t>
    </r>
  </si>
  <si>
    <t>Organic</t>
  </si>
  <si>
    <t>EMI</t>
  </si>
  <si>
    <t>Month</t>
  </si>
  <si>
    <t>Outstanding</t>
  </si>
  <si>
    <t>Balance Payable in Months (Number)</t>
  </si>
  <si>
    <t>For What crop the program?</t>
  </si>
  <si>
    <t>EMI Month</t>
  </si>
  <si>
    <t>1. Personal Details</t>
  </si>
  <si>
    <t xml:space="preserve">2. Aplicant /Knowledge </t>
  </si>
  <si>
    <t>3. Spouse Details</t>
  </si>
  <si>
    <t>4. Spouse Knowledge</t>
  </si>
  <si>
    <t>Outstanding loan amount</t>
  </si>
  <si>
    <t>10. Farm Land 1 Details:</t>
  </si>
  <si>
    <t xml:space="preserve">11. Crop and Cultivation Data: </t>
  </si>
  <si>
    <t>12. Previous Year Yield Details</t>
  </si>
  <si>
    <t>13. Asset Details</t>
  </si>
  <si>
    <t>14. Livestock Asset Details</t>
  </si>
  <si>
    <t>15. Financial History</t>
  </si>
  <si>
    <t>16. Current year forcast</t>
  </si>
  <si>
    <t>1. Applicant's Personal Details</t>
  </si>
  <si>
    <t xml:space="preserve">6. Family Details: </t>
  </si>
  <si>
    <t>Any Loan taken?</t>
  </si>
  <si>
    <t>9. Financial Details
(Loan and liabilities)</t>
  </si>
  <si>
    <t>Land</t>
  </si>
  <si>
    <t>Construction/Renovation</t>
  </si>
  <si>
    <t>Loan 1</t>
  </si>
  <si>
    <t>Loan 2</t>
  </si>
  <si>
    <t>Loan 3</t>
  </si>
  <si>
    <t>Amount Borrowed from the Private Lenders / Friends and Family / Pawn Brokers?</t>
  </si>
  <si>
    <t>Experience in Farming (in years)</t>
  </si>
  <si>
    <t xml:space="preserve">2. Applicant's Knowledge </t>
  </si>
  <si>
    <t xml:space="preserve">4. Spouse's Knowledge </t>
  </si>
  <si>
    <t xml:space="preserve">5. Details of Applicant's Phone </t>
  </si>
  <si>
    <t>7. Residence Status &amp; Details</t>
  </si>
  <si>
    <t>8. Home Loan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</si>
</sst>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62" x14ac:knownFonts="1">
    <font>
      <sz val="11"/>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i/>
      <sz val="10"/>
      <color theme="5" tint="-0.249977111117893"/>
      <name val="Calibri"/>
      <family val="2"/>
      <scheme val="minor"/>
    </font>
    <font>
      <b/>
      <i/>
      <sz val="10"/>
      <color theme="0"/>
      <name val="Calibri"/>
      <family val="2"/>
      <scheme val="minor"/>
    </font>
    <font>
      <i/>
      <sz val="10"/>
      <color theme="3"/>
      <name val="Calibri"/>
      <family val="2"/>
      <scheme val="minor"/>
    </font>
    <font>
      <sz val="10"/>
      <color theme="5" tint="-0.249977111117893"/>
      <name val="Calibri"/>
      <family val="2"/>
      <scheme val="minor"/>
    </font>
    <font>
      <i/>
      <sz val="10"/>
      <color theme="1"/>
      <name val="Calibri"/>
      <family val="2"/>
      <scheme val="minor"/>
    </font>
    <font>
      <b/>
      <i/>
      <sz val="10"/>
      <color theme="1"/>
      <name val="Calibri"/>
      <family val="2"/>
      <scheme val="minor"/>
    </font>
    <font>
      <u/>
      <sz val="10"/>
      <color theme="3"/>
      <name val="Calibri"/>
      <family val="2"/>
      <scheme val="minor"/>
    </font>
    <font>
      <i/>
      <sz val="10"/>
      <color rgb="FFFF0000"/>
      <name val="Calibri"/>
      <family val="2"/>
      <scheme val="minor"/>
    </font>
    <font>
      <i/>
      <sz val="10"/>
      <name val="Calibri"/>
      <family val="2"/>
      <scheme val="minor"/>
    </font>
    <font>
      <b/>
      <i/>
      <sz val="10"/>
      <color rgb="FF00B050"/>
      <name val="Calibri"/>
      <family val="2"/>
      <scheme val="minor"/>
    </font>
    <font>
      <b/>
      <u/>
      <sz val="10"/>
      <color theme="3"/>
      <name val="Calibri"/>
      <family val="2"/>
      <scheme val="minor"/>
    </font>
    <font>
      <b/>
      <sz val="10"/>
      <color theme="3"/>
      <name val="Calibri"/>
      <family val="2"/>
      <scheme val="minor"/>
    </font>
    <font>
      <u/>
      <sz val="10"/>
      <color rgb="FFFF0000"/>
      <name val="Calibri"/>
      <family val="2"/>
      <scheme val="minor"/>
    </font>
    <font>
      <sz val="10"/>
      <color rgb="FFFF0000"/>
      <name val="Calibri"/>
      <family val="2"/>
      <scheme val="minor"/>
    </font>
    <font>
      <b/>
      <sz val="10"/>
      <color theme="5" tint="-0.249977111117893"/>
      <name val="Calibri"/>
      <family val="2"/>
      <scheme val="minor"/>
    </font>
    <font>
      <b/>
      <sz val="15"/>
      <color theme="1"/>
      <name val="Calibri"/>
      <family val="2"/>
      <scheme val="minor"/>
    </font>
    <font>
      <b/>
      <sz val="12"/>
      <color theme="1"/>
      <name val="Calibri"/>
      <family val="2"/>
      <scheme val="minor"/>
    </font>
    <font>
      <b/>
      <i/>
      <sz val="12"/>
      <color theme="0"/>
      <name val="Calibri"/>
      <family val="2"/>
      <scheme val="minor"/>
    </font>
    <font>
      <sz val="12"/>
      <color theme="5" tint="-0.249977111117893"/>
      <name val="Calibri"/>
      <family val="2"/>
      <scheme val="minor"/>
    </font>
    <font>
      <u/>
      <sz val="12"/>
      <color theme="3"/>
      <name val="Calibri"/>
      <family val="2"/>
      <scheme val="minor"/>
    </font>
    <font>
      <i/>
      <sz val="12"/>
      <color theme="1"/>
      <name val="Calibri"/>
      <family val="2"/>
      <scheme val="minor"/>
    </font>
    <font>
      <sz val="12"/>
      <color theme="1"/>
      <name val="Calibri"/>
      <family val="2"/>
      <scheme val="minor"/>
    </font>
    <font>
      <b/>
      <i/>
      <sz val="15"/>
      <color rgb="FF00B050"/>
      <name val="Calibri"/>
      <family val="2"/>
      <scheme val="minor"/>
    </font>
    <font>
      <b/>
      <i/>
      <sz val="12"/>
      <color rgb="FF00B050"/>
      <name val="Calibri"/>
      <family val="2"/>
      <scheme val="minor"/>
    </font>
    <font>
      <i/>
      <sz val="12"/>
      <color theme="5" tint="-0.249977111117893"/>
      <name val="Calibri"/>
      <family val="2"/>
      <scheme val="minor"/>
    </font>
    <font>
      <i/>
      <sz val="12"/>
      <name val="Calibri"/>
      <family val="2"/>
      <scheme val="minor"/>
    </font>
    <font>
      <b/>
      <u/>
      <sz val="12"/>
      <color theme="3"/>
      <name val="Calibri"/>
      <family val="2"/>
      <scheme val="minor"/>
    </font>
    <font>
      <b/>
      <sz val="12"/>
      <color theme="3"/>
      <name val="Calibri"/>
      <family val="2"/>
      <scheme val="minor"/>
    </font>
    <font>
      <u/>
      <sz val="12"/>
      <color rgb="FFFF0000"/>
      <name val="Calibri"/>
      <family val="2"/>
      <scheme val="minor"/>
    </font>
    <font>
      <i/>
      <sz val="12"/>
      <color rgb="FFFF0000"/>
      <name val="Calibri"/>
      <family val="2"/>
      <scheme val="minor"/>
    </font>
    <font>
      <b/>
      <sz val="12"/>
      <color theme="5" tint="-0.249977111117893"/>
      <name val="Calibri"/>
      <family val="2"/>
      <scheme val="minor"/>
    </font>
    <font>
      <i/>
      <u/>
      <sz val="12"/>
      <color theme="3"/>
      <name val="Calibri"/>
      <family val="2"/>
      <scheme val="minor"/>
    </font>
    <font>
      <b/>
      <i/>
      <sz val="12"/>
      <name val="Calibri"/>
      <family val="2"/>
      <scheme val="minor"/>
    </font>
    <font>
      <b/>
      <sz val="12"/>
      <name val="Calibri"/>
      <family val="2"/>
      <scheme val="minor"/>
    </font>
    <font>
      <sz val="12"/>
      <name val="Calibri"/>
      <family val="2"/>
      <scheme val="minor"/>
    </font>
    <font>
      <b/>
      <sz val="12"/>
      <color rgb="FFFF0000"/>
      <name val="Calibri"/>
      <family val="2"/>
      <scheme val="minor"/>
    </font>
    <font>
      <b/>
      <u/>
      <sz val="12"/>
      <color rgb="FFFF0000"/>
      <name val="Calibri"/>
      <family val="2"/>
      <scheme val="minor"/>
    </font>
    <font>
      <sz val="14"/>
      <color theme="1"/>
      <name val="Calibri"/>
      <family val="2"/>
      <scheme val="minor"/>
    </font>
    <font>
      <b/>
      <sz val="14"/>
      <color theme="1"/>
      <name val="Calibri"/>
      <family val="2"/>
      <scheme val="minor"/>
    </font>
    <font>
      <i/>
      <sz val="12"/>
      <color theme="3"/>
      <name val="Calibri"/>
      <family val="2"/>
      <scheme val="minor"/>
    </font>
    <font>
      <b/>
      <i/>
      <sz val="12"/>
      <color theme="3"/>
      <name val="Calibri"/>
      <family val="2"/>
      <scheme val="minor"/>
    </font>
    <font>
      <i/>
      <sz val="12"/>
      <color rgb="FFC00000"/>
      <name val="Calibri"/>
      <family val="2"/>
      <scheme val="minor"/>
    </font>
    <font>
      <sz val="12"/>
      <color rgb="FFC00000"/>
      <name val="Calibri"/>
      <family val="2"/>
      <scheme val="minor"/>
    </font>
    <font>
      <sz val="12"/>
      <color theme="4"/>
      <name val="Calibri"/>
      <family val="2"/>
      <scheme val="minor"/>
    </font>
    <font>
      <sz val="15"/>
      <name val="Calibri"/>
      <family val="2"/>
      <scheme val="minor"/>
    </font>
    <font>
      <b/>
      <sz val="15"/>
      <name val="Calibri"/>
      <family val="2"/>
      <scheme val="minor"/>
    </font>
    <font>
      <b/>
      <i/>
      <sz val="15"/>
      <name val="Calibri"/>
      <family val="2"/>
      <scheme val="minor"/>
    </font>
    <font>
      <sz val="12"/>
      <color theme="0"/>
      <name val="Calibri"/>
      <family val="2"/>
      <scheme val="minor"/>
    </font>
    <font>
      <u/>
      <sz val="12"/>
      <color theme="0"/>
      <name val="Calibri"/>
      <family val="2"/>
      <scheme val="minor"/>
    </font>
    <font>
      <b/>
      <i/>
      <sz val="12"/>
      <color theme="3"/>
      <name val="Calibri"/>
      <family val="2"/>
      <scheme val="minor"/>
    </font>
    <font>
      <sz val="12"/>
      <color theme="3"/>
      <name val="Calibri"/>
      <family val="2"/>
      <scheme val="minor"/>
    </font>
    <font>
      <b/>
      <sz val="13"/>
      <color theme="5" tint="-0.249977111117893"/>
      <name val="Calibri"/>
      <family val="2"/>
      <scheme val="minor"/>
    </font>
    <font>
      <sz val="12"/>
      <color rgb="FFFF0000"/>
      <name val="Calibri"/>
      <family val="2"/>
      <scheme val="minor"/>
    </font>
    <font>
      <b/>
      <u/>
      <sz val="15"/>
      <color theme="3"/>
      <name val="Calibri"/>
      <family val="2"/>
      <scheme val="minor"/>
    </font>
    <font>
      <b/>
      <sz val="11"/>
      <color theme="1"/>
      <name val="Calibri"/>
      <family val="2"/>
      <scheme val="minor"/>
    </font>
    <font>
      <b/>
      <i/>
      <sz val="12"/>
      <color rgb="FFFF0000"/>
      <name val="Calibri"/>
      <family val="2"/>
      <scheme val="minor"/>
    </font>
    <font>
      <b/>
      <i/>
      <sz val="15"/>
      <color rgb="FFFF0000"/>
      <name val="Calibri"/>
      <family val="2"/>
      <scheme val="minor"/>
    </font>
    <font>
      <sz val="11"/>
      <color rgb="FFFF0000"/>
      <name val="Calibri"/>
      <family val="2"/>
      <scheme val="minor"/>
    </font>
  </fonts>
  <fills count="13">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4"/>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medium">
        <color auto="1"/>
      </top>
      <bottom style="thin">
        <color auto="1"/>
      </bottom>
      <diagonal/>
    </border>
    <border>
      <left/>
      <right/>
      <top style="thin">
        <color auto="1"/>
      </top>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top/>
      <bottom/>
      <diagonal/>
    </border>
    <border>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indexed="64"/>
      </left>
      <right style="thin">
        <color auto="1"/>
      </right>
      <top/>
      <bottom style="medium">
        <color indexed="64"/>
      </bottom>
      <diagonal/>
    </border>
    <border>
      <left/>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auto="1"/>
      </top>
      <bottom/>
      <diagonal/>
    </border>
    <border>
      <left/>
      <right style="medium">
        <color indexed="64"/>
      </right>
      <top/>
      <bottom/>
      <diagonal/>
    </border>
    <border>
      <left/>
      <right style="medium">
        <color indexed="64"/>
      </right>
      <top/>
      <bottom style="medium">
        <color auto="1"/>
      </bottom>
      <diagonal/>
    </border>
    <border>
      <left/>
      <right style="thin">
        <color auto="1"/>
      </right>
      <top style="medium">
        <color auto="1"/>
      </top>
      <bottom style="thin">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diagonal/>
    </border>
  </borders>
  <cellStyleXfs count="1">
    <xf numFmtId="0" fontId="0" fillId="0" borderId="0"/>
  </cellStyleXfs>
  <cellXfs count="433">
    <xf numFmtId="0" fontId="0" fillId="0" borderId="0" xfId="0"/>
    <xf numFmtId="0" fontId="2" fillId="0" borderId="0" xfId="0" applyFont="1" applyBorder="1"/>
    <xf numFmtId="0" fontId="4" fillId="0" borderId="0" xfId="0" applyFont="1" applyBorder="1"/>
    <xf numFmtId="0" fontId="6" fillId="0" borderId="0" xfId="0" applyFont="1" applyBorder="1"/>
    <xf numFmtId="0" fontId="8" fillId="0" borderId="0" xfId="0" applyFont="1" applyBorder="1"/>
    <xf numFmtId="0" fontId="2" fillId="0" borderId="0" xfId="0" applyFont="1" applyBorder="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xf>
    <xf numFmtId="0" fontId="2" fillId="0" borderId="1" xfId="0" applyFont="1" applyBorder="1"/>
    <xf numFmtId="0" fontId="2" fillId="0" borderId="1" xfId="0" applyFont="1" applyBorder="1" applyAlignment="1">
      <alignment vertical="center" wrapText="1"/>
    </xf>
    <xf numFmtId="0" fontId="5" fillId="4" borderId="1" xfId="0" applyFont="1" applyFill="1" applyBorder="1" applyAlignment="1">
      <alignment horizontal="center" vertical="center"/>
    </xf>
    <xf numFmtId="0" fontId="7" fillId="2" borderId="1" xfId="0" applyFont="1" applyFill="1" applyBorder="1" applyAlignment="1">
      <alignment horizontal="left" vertical="center"/>
    </xf>
    <xf numFmtId="0" fontId="10" fillId="2" borderId="1" xfId="0" applyFont="1" applyFill="1" applyBorder="1"/>
    <xf numFmtId="0" fontId="10" fillId="2" borderId="1" xfId="0" applyFont="1" applyFill="1" applyBorder="1" applyAlignment="1"/>
    <xf numFmtId="0" fontId="8" fillId="2" borderId="1" xfId="0" applyFont="1" applyFill="1" applyBorder="1" applyAlignment="1">
      <alignment horizontal="left" indent="2"/>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Fill="1" applyBorder="1" applyAlignment="1"/>
    <xf numFmtId="0" fontId="8" fillId="0" borderId="1" xfId="0" applyFont="1" applyFill="1" applyBorder="1" applyAlignment="1">
      <alignment horizontal="left" indent="2"/>
    </xf>
    <xf numFmtId="0" fontId="10" fillId="0" borderId="1" xfId="0" applyFont="1" applyFill="1" applyBorder="1" applyAlignment="1">
      <alignment horizontal="left" vertical="top"/>
    </xf>
    <xf numFmtId="0" fontId="8" fillId="0" borderId="1" xfId="0" applyFont="1" applyFill="1" applyBorder="1" applyAlignment="1">
      <alignment horizontal="left" vertical="top" indent="2"/>
    </xf>
    <xf numFmtId="0" fontId="10" fillId="0" borderId="1" xfId="0" applyFont="1" applyFill="1" applyBorder="1" applyAlignment="1">
      <alignment vertical="top"/>
    </xf>
    <xf numFmtId="0" fontId="7" fillId="0" borderId="1" xfId="0" applyFont="1" applyBorder="1" applyAlignment="1">
      <alignment horizontal="left" vertical="center"/>
    </xf>
    <xf numFmtId="0" fontId="7" fillId="2" borderId="1" xfId="0" applyFont="1" applyFill="1" applyBorder="1" applyAlignment="1"/>
    <xf numFmtId="0" fontId="4" fillId="2" borderId="1" xfId="0" applyFont="1" applyFill="1" applyBorder="1" applyAlignment="1">
      <alignment horizontal="left" indent="3"/>
    </xf>
    <xf numFmtId="0" fontId="12" fillId="2" borderId="1" xfId="0" applyFont="1" applyFill="1" applyBorder="1" applyAlignment="1">
      <alignment horizontal="left" indent="2"/>
    </xf>
    <xf numFmtId="0" fontId="13"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wrapText="1"/>
    </xf>
    <xf numFmtId="0" fontId="2" fillId="0" borderId="1" xfId="0" applyFont="1" applyBorder="1" applyAlignment="1">
      <alignment horizontal="right" vertical="center"/>
    </xf>
    <xf numFmtId="0" fontId="2" fillId="0" borderId="1" xfId="0" applyFont="1" applyBorder="1" applyAlignment="1">
      <alignment horizontal="right"/>
    </xf>
    <xf numFmtId="0" fontId="3" fillId="0" borderId="1" xfId="0" applyFont="1" applyBorder="1" applyAlignment="1">
      <alignment horizontal="right" vertical="center" wrapText="1"/>
    </xf>
    <xf numFmtId="0" fontId="2" fillId="0" borderId="1" xfId="0" applyFont="1" applyBorder="1" applyAlignment="1">
      <alignment horizontal="right" vertical="center" wrapText="1"/>
    </xf>
    <xf numFmtId="0" fontId="7" fillId="0" borderId="1" xfId="0" applyFont="1" applyBorder="1" applyAlignment="1">
      <alignment horizontal="left" vertical="top"/>
    </xf>
    <xf numFmtId="0" fontId="7" fillId="0" borderId="1" xfId="0" applyFont="1" applyBorder="1" applyAlignment="1">
      <alignment vertical="top"/>
    </xf>
    <xf numFmtId="0" fontId="10" fillId="3" borderId="1" xfId="0" applyFont="1" applyFill="1" applyBorder="1" applyAlignment="1">
      <alignment vertical="top"/>
    </xf>
    <xf numFmtId="0" fontId="8" fillId="3" borderId="1" xfId="0" applyFont="1" applyFill="1" applyBorder="1" applyAlignment="1">
      <alignment horizontal="left" vertical="top" indent="2"/>
    </xf>
    <xf numFmtId="0" fontId="13" fillId="3" borderId="1" xfId="0" applyFont="1" applyFill="1" applyBorder="1" applyAlignment="1">
      <alignment horizontal="center" vertical="center" wrapText="1"/>
    </xf>
    <xf numFmtId="0" fontId="10" fillId="0" borderId="1" xfId="0" applyFont="1" applyFill="1" applyBorder="1" applyAlignment="1">
      <alignment vertical="top" wrapText="1"/>
    </xf>
    <xf numFmtId="0" fontId="17" fillId="0" borderId="1" xfId="0" applyFont="1" applyBorder="1" applyAlignment="1">
      <alignment vertical="center" wrapText="1"/>
    </xf>
    <xf numFmtId="0" fontId="11" fillId="0" borderId="1" xfId="0" applyFont="1" applyFill="1" applyBorder="1" applyAlignment="1">
      <alignment horizontal="left" vertical="top" indent="2"/>
    </xf>
    <xf numFmtId="0" fontId="18" fillId="0" borderId="1" xfId="0" applyFont="1" applyBorder="1" applyAlignment="1">
      <alignment vertical="top"/>
    </xf>
    <xf numFmtId="0" fontId="18" fillId="0" borderId="1" xfId="0" applyFont="1" applyBorder="1" applyAlignment="1">
      <alignment vertical="top" wrapText="1"/>
    </xf>
    <xf numFmtId="0" fontId="23" fillId="0" borderId="1" xfId="0" applyFont="1" applyFill="1" applyBorder="1" applyAlignment="1">
      <alignment horizontal="left" vertical="top"/>
    </xf>
    <xf numFmtId="0" fontId="24" fillId="0" borderId="1" xfId="0" applyFont="1" applyFill="1" applyBorder="1" applyAlignment="1">
      <alignment horizontal="left" vertical="top" indent="2"/>
    </xf>
    <xf numFmtId="0" fontId="23" fillId="0" borderId="1" xfId="0" applyFont="1" applyFill="1" applyBorder="1" applyAlignment="1">
      <alignment vertical="top"/>
    </xf>
    <xf numFmtId="0" fontId="23" fillId="3" borderId="5" xfId="0" applyFont="1" applyFill="1" applyBorder="1" applyAlignment="1">
      <alignment vertical="top"/>
    </xf>
    <xf numFmtId="0" fontId="22" fillId="3" borderId="5" xfId="0" applyFont="1" applyFill="1" applyBorder="1" applyAlignment="1">
      <alignment horizontal="left" vertical="center"/>
    </xf>
    <xf numFmtId="0" fontId="23" fillId="3" borderId="5" xfId="0" applyFont="1" applyFill="1" applyBorder="1" applyAlignment="1"/>
    <xf numFmtId="0" fontId="22" fillId="3" borderId="5" xfId="0" applyFont="1" applyFill="1" applyBorder="1" applyAlignment="1"/>
    <xf numFmtId="0" fontId="24" fillId="3" borderId="5" xfId="0" applyFont="1" applyFill="1" applyBorder="1" applyAlignment="1">
      <alignment horizontal="left" indent="2"/>
    </xf>
    <xf numFmtId="0" fontId="28" fillId="3" borderId="5" xfId="0" applyFont="1" applyFill="1" applyBorder="1" applyAlignment="1">
      <alignment horizontal="left" indent="3"/>
    </xf>
    <xf numFmtId="0" fontId="29" fillId="3" borderId="5" xfId="0" applyFont="1" applyFill="1" applyBorder="1" applyAlignment="1">
      <alignment horizontal="left" indent="2"/>
    </xf>
    <xf numFmtId="0" fontId="25" fillId="3" borderId="1" xfId="0" applyFont="1" applyFill="1" applyBorder="1" applyAlignment="1">
      <alignment horizontal="right" vertical="center"/>
    </xf>
    <xf numFmtId="0" fontId="23" fillId="5" borderId="1" xfId="0" applyFont="1" applyFill="1" applyBorder="1" applyAlignment="1">
      <alignment vertical="top"/>
    </xf>
    <xf numFmtId="0" fontId="24" fillId="5" borderId="1" xfId="0" applyFont="1" applyFill="1" applyBorder="1" applyAlignment="1">
      <alignment horizontal="left" vertical="top" indent="2"/>
    </xf>
    <xf numFmtId="0" fontId="23" fillId="0" borderId="1" xfId="0" applyFont="1" applyFill="1" applyBorder="1" applyAlignment="1">
      <alignment vertical="top" wrapText="1"/>
    </xf>
    <xf numFmtId="0" fontId="23" fillId="6" borderId="1" xfId="0" applyFont="1" applyFill="1" applyBorder="1" applyAlignment="1">
      <alignment vertical="top"/>
    </xf>
    <xf numFmtId="0" fontId="24" fillId="6" borderId="1" xfId="0" applyFont="1" applyFill="1" applyBorder="1" applyAlignment="1">
      <alignment horizontal="left" vertical="top" indent="2"/>
    </xf>
    <xf numFmtId="0" fontId="23" fillId="6" borderId="1" xfId="0" applyFont="1" applyFill="1" applyBorder="1" applyAlignment="1">
      <alignment vertical="top" wrapText="1"/>
    </xf>
    <xf numFmtId="0" fontId="33" fillId="6" borderId="1" xfId="0" applyFont="1" applyFill="1" applyBorder="1" applyAlignment="1">
      <alignment horizontal="left" vertical="top" indent="2"/>
    </xf>
    <xf numFmtId="0" fontId="34" fillId="7" borderId="1" xfId="0" applyFont="1" applyFill="1" applyBorder="1" applyAlignment="1">
      <alignment vertical="top"/>
    </xf>
    <xf numFmtId="0" fontId="34" fillId="7" borderId="1" xfId="0" applyFont="1" applyFill="1" applyBorder="1" applyAlignment="1">
      <alignment vertical="top" wrapText="1"/>
    </xf>
    <xf numFmtId="0" fontId="22" fillId="7" borderId="1" xfId="0" applyFont="1" applyFill="1" applyBorder="1" applyAlignment="1">
      <alignment horizontal="left" vertical="top"/>
    </xf>
    <xf numFmtId="0" fontId="22" fillId="7" borderId="1" xfId="0" applyFont="1" applyFill="1" applyBorder="1" applyAlignment="1">
      <alignment vertical="top"/>
    </xf>
    <xf numFmtId="0" fontId="25" fillId="7" borderId="1" xfId="0" applyFont="1" applyFill="1" applyBorder="1"/>
    <xf numFmtId="0" fontId="24" fillId="0" borderId="0" xfId="0" applyFont="1" applyFill="1" applyBorder="1" applyAlignment="1">
      <alignment horizontal="left" vertical="top" indent="2"/>
    </xf>
    <xf numFmtId="0" fontId="40" fillId="0" borderId="7" xfId="0" applyFont="1" applyFill="1" applyBorder="1" applyAlignment="1">
      <alignment vertical="top"/>
    </xf>
    <xf numFmtId="0" fontId="20" fillId="0" borderId="14" xfId="0" applyFont="1" applyFill="1" applyBorder="1" applyAlignment="1">
      <alignment horizontal="center" vertical="top"/>
    </xf>
    <xf numFmtId="0" fontId="37" fillId="0" borderId="8" xfId="0" applyFont="1" applyFill="1" applyBorder="1" applyAlignment="1">
      <alignment horizontal="center" vertical="top" wrapText="1"/>
    </xf>
    <xf numFmtId="0" fontId="0" fillId="0" borderId="2" xfId="0" applyFill="1" applyBorder="1" applyAlignment="1">
      <alignment vertical="top" wrapText="1"/>
    </xf>
    <xf numFmtId="0" fontId="0" fillId="0" borderId="0" xfId="0" applyFill="1" applyAlignment="1">
      <alignment vertical="top"/>
    </xf>
    <xf numFmtId="0" fontId="0" fillId="0" borderId="1" xfId="0" applyFill="1" applyBorder="1" applyAlignment="1">
      <alignment vertical="top"/>
    </xf>
    <xf numFmtId="0" fontId="36" fillId="0" borderId="1" xfId="0" applyFont="1" applyFill="1" applyBorder="1" applyAlignment="1">
      <alignment horizontal="center" vertical="top" wrapText="1"/>
    </xf>
    <xf numFmtId="0" fontId="38" fillId="0" borderId="5" xfId="0" applyFont="1" applyFill="1" applyBorder="1" applyAlignment="1">
      <alignment vertical="top"/>
    </xf>
    <xf numFmtId="0" fontId="29" fillId="0" borderId="1" xfId="0" applyFont="1" applyFill="1" applyBorder="1" applyAlignment="1">
      <alignment horizontal="right" vertical="top"/>
    </xf>
    <xf numFmtId="0" fontId="0" fillId="0" borderId="7" xfId="0" applyFill="1" applyBorder="1" applyAlignment="1">
      <alignment vertical="top"/>
    </xf>
    <xf numFmtId="0" fontId="38" fillId="0" borderId="1" xfId="0" applyFont="1" applyFill="1" applyBorder="1" applyAlignment="1">
      <alignment vertical="top"/>
    </xf>
    <xf numFmtId="0" fontId="25" fillId="0" borderId="7" xfId="0" applyFont="1" applyFill="1" applyBorder="1" applyAlignment="1">
      <alignment horizontal="right" vertical="top"/>
    </xf>
    <xf numFmtId="0" fontId="38" fillId="0" borderId="7" xfId="0" applyFont="1" applyFill="1" applyBorder="1" applyAlignment="1">
      <alignment horizontal="center" vertical="top"/>
    </xf>
    <xf numFmtId="0" fontId="0" fillId="0" borderId="0" xfId="0" applyFill="1" applyBorder="1" applyAlignment="1">
      <alignment vertical="top"/>
    </xf>
    <xf numFmtId="0" fontId="25" fillId="0" borderId="0" xfId="0" applyFont="1" applyFill="1" applyBorder="1" applyAlignment="1">
      <alignment horizontal="left" vertical="top"/>
    </xf>
    <xf numFmtId="0" fontId="25" fillId="0" borderId="0" xfId="0" applyFont="1" applyFill="1" applyAlignment="1">
      <alignment vertical="top"/>
    </xf>
    <xf numFmtId="0" fontId="38" fillId="0" borderId="0" xfId="0" applyFont="1" applyFill="1" applyBorder="1" applyAlignment="1">
      <alignment vertical="top"/>
    </xf>
    <xf numFmtId="0" fontId="25" fillId="0" borderId="0" xfId="0" applyFont="1" applyFill="1" applyBorder="1" applyAlignment="1">
      <alignment vertical="top"/>
    </xf>
    <xf numFmtId="0" fontId="42"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Fill="1" applyBorder="1" applyAlignment="1">
      <alignment vertical="center"/>
    </xf>
    <xf numFmtId="0" fontId="3"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2" fillId="0" borderId="1" xfId="0" applyFont="1" applyFill="1" applyBorder="1" applyAlignment="1">
      <alignment horizontal="right" vertical="center" wrapText="1"/>
    </xf>
    <xf numFmtId="0" fontId="35" fillId="0" borderId="1" xfId="0" applyFont="1" applyFill="1" applyBorder="1" applyAlignment="1">
      <alignment vertical="top"/>
    </xf>
    <xf numFmtId="0" fontId="24" fillId="0" borderId="1" xfId="0" applyNumberFormat="1" applyFont="1" applyFill="1" applyBorder="1" applyAlignment="1">
      <alignment horizontal="left" vertical="top" indent="4"/>
    </xf>
    <xf numFmtId="0" fontId="7" fillId="0" borderId="1" xfId="0" applyFont="1" applyFill="1" applyBorder="1" applyAlignment="1">
      <alignment vertical="center" wrapText="1"/>
    </xf>
    <xf numFmtId="0" fontId="22" fillId="0" borderId="1" xfId="0" applyFont="1" applyFill="1" applyBorder="1" applyAlignment="1">
      <alignment vertical="top"/>
    </xf>
    <xf numFmtId="0" fontId="34" fillId="0" borderId="1" xfId="0" applyFont="1" applyFill="1" applyBorder="1" applyAlignment="1">
      <alignment vertical="top"/>
    </xf>
    <xf numFmtId="0" fontId="34" fillId="0" borderId="1" xfId="0" applyFont="1" applyFill="1" applyBorder="1" applyAlignment="1">
      <alignment vertical="top" wrapText="1"/>
    </xf>
    <xf numFmtId="0" fontId="22" fillId="0" borderId="1" xfId="0" applyFont="1" applyFill="1" applyBorder="1" applyAlignment="1">
      <alignment horizontal="left" vertical="top"/>
    </xf>
    <xf numFmtId="0" fontId="2" fillId="0" borderId="0" xfId="0" applyFont="1" applyFill="1" applyBorder="1" applyAlignment="1">
      <alignment vertical="center" wrapText="1"/>
    </xf>
    <xf numFmtId="0" fontId="2" fillId="0" borderId="0" xfId="0" applyFont="1" applyFill="1" applyBorder="1" applyAlignment="1">
      <alignment vertical="top"/>
    </xf>
    <xf numFmtId="0" fontId="21" fillId="0" borderId="1" xfId="0" applyFont="1" applyFill="1" applyBorder="1" applyAlignment="1">
      <alignment horizontal="center" vertical="top"/>
    </xf>
    <xf numFmtId="0" fontId="28" fillId="0" borderId="1" xfId="0" applyFont="1" applyFill="1" applyBorder="1" applyAlignment="1">
      <alignment horizontal="left" vertical="top" indent="3"/>
    </xf>
    <xf numFmtId="0" fontId="29" fillId="0" borderId="1" xfId="0" applyFont="1" applyFill="1" applyBorder="1" applyAlignment="1">
      <alignment horizontal="left" vertical="top" indent="2"/>
    </xf>
    <xf numFmtId="0" fontId="27" fillId="0" borderId="1" xfId="0" applyFont="1" applyFill="1" applyBorder="1" applyAlignment="1">
      <alignment horizontal="center" vertical="top"/>
    </xf>
    <xf numFmtId="0" fontId="27" fillId="0" borderId="1" xfId="0" applyFont="1" applyFill="1" applyBorder="1" applyAlignment="1">
      <alignment horizontal="center" vertical="top" wrapText="1"/>
    </xf>
    <xf numFmtId="0" fontId="29" fillId="0" borderId="1" xfId="0" applyFont="1" applyFill="1" applyBorder="1" applyAlignment="1">
      <alignment horizontal="left" vertical="top" wrapText="1" indent="5"/>
    </xf>
    <xf numFmtId="0" fontId="2" fillId="0" borderId="0" xfId="0" applyFont="1" applyFill="1" applyBorder="1" applyAlignment="1">
      <alignment vertical="top" wrapText="1"/>
    </xf>
    <xf numFmtId="0" fontId="44" fillId="0" borderId="1" xfId="0" applyFont="1" applyFill="1" applyBorder="1" applyAlignment="1">
      <alignment vertical="top"/>
    </xf>
    <xf numFmtId="0" fontId="3" fillId="0" borderId="0" xfId="0" applyFont="1" applyFill="1" applyBorder="1" applyAlignment="1">
      <alignment vertical="top" wrapText="1"/>
    </xf>
    <xf numFmtId="0" fontId="31" fillId="0" borderId="1" xfId="0" applyFont="1" applyFill="1" applyBorder="1" applyAlignment="1">
      <alignment horizontal="left" vertical="top"/>
    </xf>
    <xf numFmtId="0" fontId="3" fillId="0" borderId="9" xfId="0" applyFont="1" applyFill="1" applyBorder="1" applyAlignment="1">
      <alignment vertical="center" wrapText="1"/>
    </xf>
    <xf numFmtId="0" fontId="42" fillId="0" borderId="1" xfId="0" applyFont="1" applyFill="1" applyBorder="1" applyAlignment="1">
      <alignment horizontal="center" vertical="top"/>
    </xf>
    <xf numFmtId="0" fontId="42" fillId="0" borderId="1" xfId="0" applyFont="1" applyFill="1" applyBorder="1" applyAlignment="1">
      <alignment horizontal="left" vertical="top"/>
    </xf>
    <xf numFmtId="0" fontId="41" fillId="0" borderId="0" xfId="0" applyFont="1" applyFill="1" applyBorder="1" applyAlignment="1">
      <alignment vertical="top"/>
    </xf>
    <xf numFmtId="0" fontId="1" fillId="0" borderId="0" xfId="0" applyFont="1" applyFill="1" applyBorder="1" applyAlignment="1">
      <alignment vertical="top"/>
    </xf>
    <xf numFmtId="0" fontId="1" fillId="0" borderId="1" xfId="0" applyFont="1" applyFill="1" applyBorder="1" applyAlignment="1">
      <alignment horizontal="left" vertical="top"/>
    </xf>
    <xf numFmtId="0" fontId="1" fillId="0" borderId="1" xfId="0" applyFont="1" applyFill="1" applyBorder="1" applyAlignment="1">
      <alignment horizontal="left" vertical="top" indent="1"/>
    </xf>
    <xf numFmtId="0" fontId="1" fillId="0" borderId="1" xfId="0" applyFont="1" applyFill="1" applyBorder="1" applyAlignment="1">
      <alignment vertical="top"/>
    </xf>
    <xf numFmtId="0" fontId="42" fillId="0" borderId="0" xfId="0" applyFont="1" applyFill="1" applyBorder="1" applyAlignment="1">
      <alignment vertical="top" wrapText="1"/>
    </xf>
    <xf numFmtId="0" fontId="28" fillId="0" borderId="1" xfId="0" applyFont="1" applyFill="1" applyBorder="1" applyAlignment="1">
      <alignment vertical="top"/>
    </xf>
    <xf numFmtId="0" fontId="22" fillId="0" borderId="1" xfId="0" applyFont="1" applyFill="1" applyBorder="1" applyAlignment="1">
      <alignment horizontal="right" vertical="top"/>
    </xf>
    <xf numFmtId="0" fontId="2" fillId="0" borderId="1" xfId="0" applyFont="1" applyFill="1" applyBorder="1" applyAlignment="1">
      <alignment vertical="top"/>
    </xf>
    <xf numFmtId="0" fontId="45" fillId="0" borderId="1" xfId="0" applyFont="1" applyFill="1" applyBorder="1" applyAlignment="1">
      <alignment horizontal="right" vertical="top" indent="2"/>
    </xf>
    <xf numFmtId="0" fontId="45" fillId="0" borderId="1" xfId="0" applyFont="1" applyFill="1" applyBorder="1" applyAlignment="1">
      <alignment horizontal="left" vertical="top" indent="2"/>
    </xf>
    <xf numFmtId="0" fontId="46" fillId="0" borderId="1" xfId="0" applyFont="1" applyFill="1" applyBorder="1" applyAlignment="1">
      <alignment horizontal="left" vertical="top"/>
    </xf>
    <xf numFmtId="0" fontId="24" fillId="0" borderId="1" xfId="0" applyFont="1" applyFill="1" applyBorder="1" applyAlignment="1">
      <alignment horizontal="right" vertical="top" indent="2"/>
    </xf>
    <xf numFmtId="0" fontId="24" fillId="0" borderId="1" xfId="0" applyNumberFormat="1" applyFont="1" applyFill="1" applyBorder="1" applyAlignment="1">
      <alignment horizontal="right" vertical="top" indent="4"/>
    </xf>
    <xf numFmtId="0" fontId="1" fillId="0" borderId="0" xfId="0" applyFont="1" applyFill="1" applyBorder="1" applyAlignment="1">
      <alignment horizontal="left" vertical="top" indent="1"/>
    </xf>
    <xf numFmtId="0" fontId="7" fillId="0" borderId="1" xfId="0" applyFont="1" applyFill="1" applyBorder="1" applyAlignment="1">
      <alignment vertical="top"/>
    </xf>
    <xf numFmtId="0" fontId="47" fillId="0" borderId="1" xfId="0" applyFont="1" applyFill="1" applyBorder="1" applyAlignment="1">
      <alignment vertical="top"/>
    </xf>
    <xf numFmtId="0" fontId="3" fillId="0" borderId="20" xfId="0" applyFont="1" applyFill="1" applyBorder="1" applyAlignment="1">
      <alignment vertical="center" wrapText="1"/>
    </xf>
    <xf numFmtId="0" fontId="44" fillId="0" borderId="1" xfId="0" applyFont="1" applyFill="1" applyBorder="1" applyAlignment="1">
      <alignment horizontal="left" vertical="top" wrapText="1"/>
    </xf>
    <xf numFmtId="0" fontId="22" fillId="5" borderId="16" xfId="0" applyFont="1" applyFill="1" applyBorder="1" applyAlignment="1">
      <alignment horizontal="left" vertical="top"/>
    </xf>
    <xf numFmtId="0" fontId="36" fillId="5" borderId="15" xfId="0" applyFont="1" applyFill="1" applyBorder="1" applyAlignment="1">
      <alignment horizontal="center" vertical="top"/>
    </xf>
    <xf numFmtId="0" fontId="0" fillId="5" borderId="15" xfId="0" applyFill="1" applyBorder="1" applyAlignment="1">
      <alignment vertical="top"/>
    </xf>
    <xf numFmtId="0" fontId="22" fillId="5" borderId="6" xfId="0" applyFont="1" applyFill="1" applyBorder="1" applyAlignment="1">
      <alignment horizontal="left" vertical="top"/>
    </xf>
    <xf numFmtId="0" fontId="36" fillId="5" borderId="1" xfId="0" applyFont="1" applyFill="1" applyBorder="1" applyAlignment="1">
      <alignment horizontal="center" vertical="top"/>
    </xf>
    <xf numFmtId="0" fontId="0" fillId="5" borderId="1" xfId="0" applyFill="1" applyBorder="1" applyAlignment="1">
      <alignment vertical="top"/>
    </xf>
    <xf numFmtId="0" fontId="36" fillId="5" borderId="1" xfId="0" applyFont="1" applyFill="1" applyBorder="1" applyAlignment="1">
      <alignment horizontal="center" vertical="top"/>
    </xf>
    <xf numFmtId="0" fontId="23" fillId="5" borderId="6" xfId="0" applyFont="1" applyFill="1" applyBorder="1" applyAlignment="1">
      <alignment vertical="top"/>
    </xf>
    <xf numFmtId="1" fontId="36" fillId="5" borderId="1" xfId="0" applyNumberFormat="1" applyFont="1" applyFill="1" applyBorder="1" applyAlignment="1">
      <alignment horizontal="center" vertical="top"/>
    </xf>
    <xf numFmtId="1" fontId="36" fillId="5" borderId="4" xfId="0" applyNumberFormat="1" applyFont="1" applyFill="1" applyBorder="1" applyAlignment="1">
      <alignment horizontal="center" vertical="top"/>
    </xf>
    <xf numFmtId="0" fontId="23" fillId="5" borderId="14" xfId="0" applyFont="1" applyFill="1" applyBorder="1" applyAlignment="1">
      <alignment vertical="top"/>
    </xf>
    <xf numFmtId="0" fontId="0" fillId="5" borderId="2" xfId="0" applyFill="1" applyBorder="1" applyAlignment="1">
      <alignment vertical="top"/>
    </xf>
    <xf numFmtId="1" fontId="36" fillId="5" borderId="3" xfId="0" applyNumberFormat="1" applyFont="1" applyFill="1" applyBorder="1" applyAlignment="1">
      <alignment horizontal="center" vertical="top"/>
    </xf>
    <xf numFmtId="0" fontId="48" fillId="0" borderId="2" xfId="0" applyFont="1" applyFill="1" applyBorder="1" applyAlignment="1">
      <alignment vertical="top" wrapText="1"/>
    </xf>
    <xf numFmtId="0" fontId="49" fillId="5" borderId="15" xfId="0" applyFont="1" applyFill="1" applyBorder="1" applyAlignment="1">
      <alignment horizontal="center" vertical="top" wrapText="1"/>
    </xf>
    <xf numFmtId="0" fontId="49" fillId="5" borderId="1" xfId="0" applyFont="1" applyFill="1" applyBorder="1" applyAlignment="1">
      <alignment horizontal="center" vertical="top" wrapText="1"/>
    </xf>
    <xf numFmtId="0" fontId="49" fillId="5" borderId="2" xfId="0" applyFont="1" applyFill="1" applyBorder="1" applyAlignment="1">
      <alignment horizontal="center" vertical="top" wrapText="1"/>
    </xf>
    <xf numFmtId="0" fontId="50" fillId="0" borderId="1" xfId="0" applyFont="1" applyFill="1" applyBorder="1" applyAlignment="1">
      <alignment horizontal="center" vertical="top" wrapText="1"/>
    </xf>
    <xf numFmtId="0" fontId="49" fillId="0" borderId="4" xfId="0" applyFont="1" applyFill="1" applyBorder="1" applyAlignment="1">
      <alignment horizontal="center" vertical="top" wrapText="1"/>
    </xf>
    <xf numFmtId="0" fontId="49" fillId="0" borderId="1" xfId="0" applyFont="1" applyFill="1" applyBorder="1" applyAlignment="1">
      <alignment horizontal="center" vertical="top" wrapText="1"/>
    </xf>
    <xf numFmtId="0" fontId="48" fillId="0" borderId="1" xfId="0" applyFont="1" applyFill="1" applyBorder="1" applyAlignment="1">
      <alignment vertical="top"/>
    </xf>
    <xf numFmtId="0" fontId="36" fillId="2" borderId="1" xfId="0" applyFont="1" applyFill="1" applyBorder="1" applyAlignment="1">
      <alignment horizontal="center" vertical="top"/>
    </xf>
    <xf numFmtId="0" fontId="0" fillId="2" borderId="1" xfId="0" applyFill="1" applyBorder="1" applyAlignment="1">
      <alignment vertical="top"/>
    </xf>
    <xf numFmtId="0" fontId="38" fillId="2" borderId="5" xfId="0" applyFont="1" applyFill="1" applyBorder="1" applyAlignment="1">
      <alignment vertical="top"/>
    </xf>
    <xf numFmtId="0" fontId="29" fillId="2" borderId="1" xfId="0" applyFont="1" applyFill="1" applyBorder="1" applyAlignment="1">
      <alignment horizontal="right" vertical="top"/>
    </xf>
    <xf numFmtId="0" fontId="36" fillId="2" borderId="15" xfId="0" applyFont="1" applyFill="1" applyBorder="1" applyAlignment="1">
      <alignment horizontal="center" vertical="top"/>
    </xf>
    <xf numFmtId="0" fontId="0" fillId="2" borderId="15" xfId="0" applyFill="1" applyBorder="1" applyAlignment="1">
      <alignment vertical="top"/>
    </xf>
    <xf numFmtId="15" fontId="36" fillId="2" borderId="1" xfId="0" applyNumberFormat="1" applyFont="1" applyFill="1" applyBorder="1" applyAlignment="1">
      <alignment horizontal="center" vertical="top"/>
    </xf>
    <xf numFmtId="0" fontId="51" fillId="0" borderId="6" xfId="0" applyFont="1" applyFill="1" applyBorder="1" applyAlignment="1">
      <alignment horizontal="left" vertical="top"/>
    </xf>
    <xf numFmtId="0" fontId="52" fillId="0" borderId="6" xfId="0" applyFont="1" applyFill="1" applyBorder="1" applyAlignment="1">
      <alignment vertical="top"/>
    </xf>
    <xf numFmtId="0" fontId="38" fillId="0" borderId="7" xfId="0" applyFont="1" applyFill="1" applyBorder="1" applyAlignment="1">
      <alignment horizontal="center" vertical="top"/>
    </xf>
    <xf numFmtId="0" fontId="23" fillId="5" borderId="10" xfId="0" applyFont="1" applyFill="1" applyBorder="1" applyAlignment="1">
      <alignment vertical="top"/>
    </xf>
    <xf numFmtId="0" fontId="0" fillId="5" borderId="4" xfId="0" applyFill="1" applyBorder="1" applyAlignment="1">
      <alignment vertical="top"/>
    </xf>
    <xf numFmtId="0" fontId="51" fillId="0" borderId="6" xfId="0" applyFont="1" applyFill="1" applyBorder="1" applyAlignment="1">
      <alignment vertical="top"/>
    </xf>
    <xf numFmtId="0" fontId="36" fillId="5" borderId="1" xfId="0" applyFont="1" applyFill="1" applyBorder="1" applyAlignment="1">
      <alignment horizontal="center" vertical="top" wrapText="1"/>
    </xf>
    <xf numFmtId="0" fontId="1" fillId="0" borderId="0" xfId="0" applyFont="1" applyFill="1" applyBorder="1" applyAlignment="1">
      <alignment horizontal="left" vertical="top"/>
    </xf>
    <xf numFmtId="0" fontId="50" fillId="2" borderId="21" xfId="0" applyFont="1" applyFill="1" applyBorder="1" applyAlignment="1">
      <alignment horizontal="center" vertical="top" wrapText="1"/>
    </xf>
    <xf numFmtId="0" fontId="50" fillId="2" borderId="22" xfId="0" applyFont="1" applyFill="1" applyBorder="1" applyAlignment="1">
      <alignment horizontal="center" vertical="top" wrapText="1"/>
    </xf>
    <xf numFmtId="0" fontId="50" fillId="2" borderId="23" xfId="0" applyFont="1" applyFill="1" applyBorder="1" applyAlignment="1">
      <alignment horizontal="center" vertical="top" wrapText="1"/>
    </xf>
    <xf numFmtId="0" fontId="50" fillId="2" borderId="26" xfId="0" applyFont="1" applyFill="1" applyBorder="1" applyAlignment="1">
      <alignment horizontal="center" vertical="top" wrapText="1"/>
    </xf>
    <xf numFmtId="0" fontId="51" fillId="0" borderId="27" xfId="0" applyFont="1" applyFill="1" applyBorder="1" applyAlignment="1">
      <alignment horizontal="left" vertical="center"/>
    </xf>
    <xf numFmtId="0" fontId="36" fillId="2" borderId="28" xfId="0" applyFont="1" applyFill="1" applyBorder="1" applyAlignment="1">
      <alignment horizontal="center" vertical="top"/>
    </xf>
    <xf numFmtId="0" fontId="0" fillId="2" borderId="28" xfId="0" applyFill="1" applyBorder="1" applyAlignment="1">
      <alignment vertical="top"/>
    </xf>
    <xf numFmtId="0" fontId="23" fillId="2" borderId="13" xfId="0" applyFont="1" applyFill="1" applyBorder="1" applyAlignment="1">
      <alignment vertical="top"/>
    </xf>
    <xf numFmtId="0" fontId="23" fillId="2" borderId="5" xfId="0" applyFont="1" applyFill="1" applyBorder="1" applyAlignment="1">
      <alignment horizontal="left" vertical="top"/>
    </xf>
    <xf numFmtId="0" fontId="23" fillId="2" borderId="5" xfId="0" applyFont="1" applyFill="1" applyBorder="1" applyAlignment="1">
      <alignment vertical="top"/>
    </xf>
    <xf numFmtId="0" fontId="51" fillId="0" borderId="5" xfId="0" applyFont="1" applyFill="1" applyBorder="1" applyAlignment="1">
      <alignment horizontal="left" vertical="center"/>
    </xf>
    <xf numFmtId="0" fontId="54" fillId="2" borderId="5" xfId="0" applyFont="1" applyFill="1" applyBorder="1" applyAlignment="1">
      <alignment horizontal="left" vertical="top"/>
    </xf>
    <xf numFmtId="0" fontId="54" fillId="2" borderId="13" xfId="0" applyFont="1" applyFill="1" applyBorder="1" applyAlignment="1">
      <alignment vertical="top"/>
    </xf>
    <xf numFmtId="0" fontId="54" fillId="2" borderId="5" xfId="0" applyFont="1" applyFill="1" applyBorder="1" applyAlignment="1">
      <alignment vertical="top"/>
    </xf>
    <xf numFmtId="0" fontId="38" fillId="5" borderId="7" xfId="0" applyFont="1" applyFill="1" applyBorder="1" applyAlignment="1">
      <alignment horizontal="center" vertical="top"/>
    </xf>
    <xf numFmtId="0" fontId="36" fillId="5" borderId="1" xfId="0" applyFont="1" applyFill="1" applyBorder="1" applyAlignment="1">
      <alignment vertical="top"/>
    </xf>
    <xf numFmtId="0" fontId="36" fillId="5" borderId="1" xfId="0" applyFont="1" applyFill="1" applyBorder="1" applyAlignment="1">
      <alignment vertical="top" wrapText="1"/>
    </xf>
    <xf numFmtId="0" fontId="23" fillId="8" borderId="6" xfId="0" applyFont="1" applyFill="1" applyBorder="1" applyAlignment="1">
      <alignment vertical="top"/>
    </xf>
    <xf numFmtId="0" fontId="36" fillId="8" borderId="1" xfId="0" applyFont="1" applyFill="1" applyBorder="1" applyAlignment="1">
      <alignment horizontal="center" vertical="top"/>
    </xf>
    <xf numFmtId="0" fontId="29" fillId="8" borderId="1" xfId="0" applyFont="1" applyFill="1" applyBorder="1" applyAlignment="1">
      <alignment horizontal="right" vertical="top"/>
    </xf>
    <xf numFmtId="0" fontId="0" fillId="8" borderId="1" xfId="0" applyFill="1" applyBorder="1" applyAlignment="1">
      <alignment vertical="top"/>
    </xf>
    <xf numFmtId="0" fontId="52" fillId="9" borderId="6" xfId="0" applyFont="1" applyFill="1" applyBorder="1" applyAlignment="1">
      <alignment vertical="top"/>
    </xf>
    <xf numFmtId="0" fontId="51" fillId="9" borderId="6" xfId="0" applyFont="1" applyFill="1" applyBorder="1" applyAlignment="1">
      <alignment horizontal="left" vertical="top"/>
    </xf>
    <xf numFmtId="0" fontId="36" fillId="8" borderId="1" xfId="0" applyFont="1" applyFill="1" applyBorder="1" applyAlignment="1">
      <alignment horizontal="right" vertical="top"/>
    </xf>
    <xf numFmtId="0" fontId="55" fillId="5" borderId="1" xfId="0" applyFont="1" applyFill="1" applyBorder="1" applyAlignment="1">
      <alignment vertical="top"/>
    </xf>
    <xf numFmtId="0" fontId="1" fillId="5" borderId="1" xfId="0" applyFont="1" applyFill="1" applyBorder="1" applyAlignment="1">
      <alignment vertical="top"/>
    </xf>
    <xf numFmtId="0" fontId="2" fillId="10" borderId="1" xfId="0" applyFont="1" applyFill="1" applyBorder="1" applyAlignment="1">
      <alignment vertical="top"/>
    </xf>
    <xf numFmtId="0" fontId="0" fillId="3" borderId="1" xfId="0" applyFill="1" applyBorder="1" applyAlignment="1">
      <alignment vertical="top"/>
    </xf>
    <xf numFmtId="0" fontId="50" fillId="10" borderId="1" xfId="0" applyFont="1" applyFill="1" applyBorder="1" applyAlignment="1">
      <alignment horizontal="center" vertical="top" wrapText="1"/>
    </xf>
    <xf numFmtId="0" fontId="25" fillId="10" borderId="6" xfId="0" applyFont="1" applyFill="1" applyBorder="1" applyAlignment="1">
      <alignment vertical="top"/>
    </xf>
    <xf numFmtId="0" fontId="38" fillId="10" borderId="1" xfId="0" applyFont="1" applyFill="1" applyBorder="1" applyAlignment="1">
      <alignment horizontal="left" vertical="top"/>
    </xf>
    <xf numFmtId="0" fontId="38" fillId="10" borderId="5" xfId="0" applyFont="1" applyFill="1" applyBorder="1" applyAlignment="1">
      <alignment vertical="top"/>
    </xf>
    <xf numFmtId="0" fontId="0" fillId="10" borderId="5" xfId="0" applyFill="1" applyBorder="1" applyAlignment="1">
      <alignment vertical="top"/>
    </xf>
    <xf numFmtId="0" fontId="25" fillId="10" borderId="6" xfId="0" applyFont="1" applyFill="1" applyBorder="1" applyAlignment="1">
      <alignment horizontal="right" vertical="top"/>
    </xf>
    <xf numFmtId="0" fontId="0" fillId="10" borderId="1" xfId="0" applyFill="1" applyBorder="1" applyAlignment="1">
      <alignment vertical="top"/>
    </xf>
    <xf numFmtId="0" fontId="0" fillId="10" borderId="6" xfId="0" applyFill="1" applyBorder="1" applyAlignment="1">
      <alignment vertical="top"/>
    </xf>
    <xf numFmtId="0" fontId="38" fillId="10" borderId="1" xfId="0" applyFont="1" applyFill="1" applyBorder="1" applyAlignment="1">
      <alignment vertical="top"/>
    </xf>
    <xf numFmtId="0" fontId="19" fillId="10" borderId="6" xfId="0" applyFont="1" applyFill="1" applyBorder="1" applyAlignment="1">
      <alignment horizontal="right" vertical="top"/>
    </xf>
    <xf numFmtId="0" fontId="1" fillId="10" borderId="6" xfId="0" applyFont="1" applyFill="1" applyBorder="1" applyAlignment="1">
      <alignment horizontal="right" vertical="top"/>
    </xf>
    <xf numFmtId="0" fontId="39" fillId="10" borderId="6" xfId="0" applyFont="1" applyFill="1" applyBorder="1" applyAlignment="1">
      <alignment horizontal="right" vertical="top"/>
    </xf>
    <xf numFmtId="0" fontId="2" fillId="7" borderId="1" xfId="0" applyFont="1" applyFill="1" applyBorder="1" applyAlignment="1">
      <alignment vertical="top"/>
    </xf>
    <xf numFmtId="0" fontId="1" fillId="7" borderId="1" xfId="0" applyFont="1" applyFill="1" applyBorder="1" applyAlignment="1">
      <alignment vertical="top"/>
    </xf>
    <xf numFmtId="15" fontId="1" fillId="7" borderId="1" xfId="0" applyNumberFormat="1" applyFont="1" applyFill="1" applyBorder="1" applyAlignment="1">
      <alignment vertical="top"/>
    </xf>
    <xf numFmtId="0" fontId="2" fillId="5" borderId="0" xfId="0" applyFont="1" applyFill="1" applyBorder="1" applyAlignment="1">
      <alignment vertical="top"/>
    </xf>
    <xf numFmtId="0" fontId="25" fillId="5" borderId="7" xfId="0" applyFont="1" applyFill="1" applyBorder="1" applyAlignment="1">
      <alignment horizontal="right" vertical="top"/>
    </xf>
    <xf numFmtId="0" fontId="2" fillId="3" borderId="0" xfId="0" applyFont="1" applyFill="1" applyBorder="1" applyAlignment="1">
      <alignment vertical="top"/>
    </xf>
    <xf numFmtId="0" fontId="2" fillId="3" borderId="0" xfId="0" applyFont="1" applyFill="1" applyBorder="1" applyAlignment="1">
      <alignment vertical="top" wrapText="1"/>
    </xf>
    <xf numFmtId="0" fontId="25" fillId="3" borderId="7" xfId="0" applyFont="1" applyFill="1" applyBorder="1" applyAlignment="1">
      <alignment horizontal="right" vertical="top"/>
    </xf>
    <xf numFmtId="0" fontId="38" fillId="3" borderId="7" xfId="0" applyFont="1" applyFill="1" applyBorder="1" applyAlignment="1">
      <alignment horizontal="center" vertical="top"/>
    </xf>
    <xf numFmtId="0" fontId="38" fillId="3" borderId="1" xfId="0" applyFont="1" applyFill="1" applyBorder="1" applyAlignment="1">
      <alignment vertical="top"/>
    </xf>
    <xf numFmtId="0" fontId="1" fillId="3" borderId="7" xfId="0" applyFont="1" applyFill="1" applyBorder="1" applyAlignment="1">
      <alignment horizontal="right" vertical="top"/>
    </xf>
    <xf numFmtId="0" fontId="39" fillId="3" borderId="7" xfId="0" applyFont="1" applyFill="1" applyBorder="1" applyAlignment="1">
      <alignment horizontal="right" vertical="top"/>
    </xf>
    <xf numFmtId="0" fontId="39" fillId="5" borderId="7" xfId="0" applyFont="1" applyFill="1" applyBorder="1" applyAlignment="1">
      <alignment horizontal="right" vertical="top"/>
    </xf>
    <xf numFmtId="0" fontId="38" fillId="5" borderId="1" xfId="0" applyFont="1" applyFill="1" applyBorder="1" applyAlignment="1">
      <alignment vertical="top"/>
    </xf>
    <xf numFmtId="0" fontId="1" fillId="5" borderId="7" xfId="0" applyFont="1" applyFill="1" applyBorder="1" applyAlignment="1">
      <alignment horizontal="right" vertical="top"/>
    </xf>
    <xf numFmtId="0" fontId="44" fillId="5" borderId="1" xfId="0" applyFont="1" applyFill="1" applyBorder="1" applyAlignment="1">
      <alignment horizontal="right" vertical="top"/>
    </xf>
    <xf numFmtId="0" fontId="57" fillId="7" borderId="7" xfId="0" applyFont="1" applyFill="1" applyBorder="1" applyAlignment="1">
      <alignment vertical="top"/>
    </xf>
    <xf numFmtId="0" fontId="38" fillId="7" borderId="7" xfId="0" applyFont="1" applyFill="1" applyBorder="1" applyAlignment="1">
      <alignment horizontal="center" vertical="top"/>
    </xf>
    <xf numFmtId="0" fontId="0" fillId="7" borderId="1" xfId="0" applyFill="1" applyBorder="1" applyAlignment="1">
      <alignment vertical="top"/>
    </xf>
    <xf numFmtId="0" fontId="24" fillId="7" borderId="7" xfId="0" applyFont="1" applyFill="1" applyBorder="1" applyAlignment="1">
      <alignment horizontal="left" vertical="top" indent="2"/>
    </xf>
    <xf numFmtId="0" fontId="23" fillId="7" borderId="7" xfId="0" applyFont="1" applyFill="1" applyBorder="1" applyAlignment="1">
      <alignment vertical="top"/>
    </xf>
    <xf numFmtId="0" fontId="38" fillId="11" borderId="7" xfId="0" applyFont="1" applyFill="1" applyBorder="1" applyAlignment="1">
      <alignment horizontal="center" vertical="top"/>
    </xf>
    <xf numFmtId="0" fontId="0" fillId="11" borderId="1" xfId="0" applyFill="1" applyBorder="1" applyAlignment="1">
      <alignment vertical="top"/>
    </xf>
    <xf numFmtId="0" fontId="36" fillId="5" borderId="1" xfId="0" applyFont="1" applyFill="1" applyBorder="1" applyAlignment="1">
      <alignment horizontal="center" vertical="top" wrapText="1"/>
    </xf>
    <xf numFmtId="0" fontId="36" fillId="5" borderId="4" xfId="0" applyFont="1" applyFill="1" applyBorder="1" applyAlignment="1">
      <alignment horizontal="center" vertical="top"/>
    </xf>
    <xf numFmtId="0" fontId="49" fillId="0" borderId="20" xfId="0" applyFont="1" applyFill="1" applyBorder="1" applyAlignment="1">
      <alignment horizontal="center" vertical="top" wrapText="1"/>
    </xf>
    <xf numFmtId="0" fontId="52" fillId="0" borderId="10" xfId="0" applyFont="1" applyFill="1" applyBorder="1" applyAlignment="1">
      <alignment vertical="top"/>
    </xf>
    <xf numFmtId="0" fontId="0" fillId="0" borderId="1" xfId="0" applyBorder="1"/>
    <xf numFmtId="0" fontId="0" fillId="0" borderId="0" xfId="0"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top"/>
    </xf>
    <xf numFmtId="0" fontId="0" fillId="0" borderId="0" xfId="0" applyFont="1" applyAlignment="1">
      <alignment horizontal="center"/>
    </xf>
    <xf numFmtId="0" fontId="0" fillId="0" borderId="1" xfId="0" applyFont="1" applyBorder="1" applyAlignment="1">
      <alignment horizontal="center"/>
    </xf>
    <xf numFmtId="0" fontId="46" fillId="0" borderId="1" xfId="0" applyFont="1" applyFill="1" applyBorder="1" applyAlignment="1">
      <alignment horizontal="center" vertical="top"/>
    </xf>
    <xf numFmtId="0" fontId="0" fillId="0" borderId="0" xfId="0" applyFont="1" applyAlignment="1">
      <alignment horizontal="left"/>
    </xf>
    <xf numFmtId="0" fontId="58" fillId="0" borderId="1" xfId="0" applyFont="1" applyBorder="1"/>
    <xf numFmtId="0" fontId="58" fillId="0" borderId="1" xfId="0" applyFont="1" applyBorder="1" applyAlignment="1">
      <alignment horizontal="center"/>
    </xf>
    <xf numFmtId="0" fontId="58" fillId="0" borderId="1" xfId="0" applyFont="1" applyBorder="1" applyAlignment="1">
      <alignment wrapText="1"/>
    </xf>
    <xf numFmtId="0" fontId="58" fillId="0" borderId="0" xfId="0" applyFont="1" applyAlignment="1">
      <alignment horizontal="center"/>
    </xf>
    <xf numFmtId="0" fontId="3" fillId="5" borderId="1" xfId="0" applyFont="1" applyFill="1" applyBorder="1" applyAlignment="1">
      <alignment horizontal="center" vertical="center" wrapText="1"/>
    </xf>
    <xf numFmtId="0" fontId="22" fillId="5" borderId="1" xfId="0" applyFont="1" applyFill="1" applyBorder="1" applyAlignment="1">
      <alignment horizontal="left" vertical="top"/>
    </xf>
    <xf numFmtId="0" fontId="1" fillId="5" borderId="1" xfId="0" applyFont="1" applyFill="1" applyBorder="1" applyAlignment="1">
      <alignment horizontal="left" vertical="top"/>
    </xf>
    <xf numFmtId="0" fontId="27" fillId="11" borderId="1" xfId="0" applyFont="1" applyFill="1" applyBorder="1" applyAlignment="1">
      <alignment horizontal="left" vertical="top" wrapText="1"/>
    </xf>
    <xf numFmtId="0" fontId="27" fillId="11" borderId="1" xfId="0" applyFont="1" applyFill="1" applyBorder="1" applyAlignment="1">
      <alignment horizontal="center" vertical="top" wrapText="1"/>
    </xf>
    <xf numFmtId="0" fontId="1" fillId="11" borderId="1" xfId="0" applyFont="1" applyFill="1" applyBorder="1" applyAlignment="1">
      <alignment horizontal="left" vertical="top"/>
    </xf>
    <xf numFmtId="0" fontId="23" fillId="11" borderId="1" xfId="0" applyFont="1" applyFill="1" applyBorder="1" applyAlignment="1">
      <alignment vertical="top"/>
    </xf>
    <xf numFmtId="0" fontId="24" fillId="11" borderId="1" xfId="0" applyFont="1" applyFill="1" applyBorder="1" applyAlignment="1">
      <alignment horizontal="left" vertical="top" indent="2"/>
    </xf>
    <xf numFmtId="0" fontId="23" fillId="11" borderId="1" xfId="0" applyFont="1" applyFill="1" applyBorder="1" applyAlignment="1">
      <alignment horizontal="left" vertical="top"/>
    </xf>
    <xf numFmtId="0" fontId="22" fillId="11" borderId="1" xfId="0" applyFont="1" applyFill="1" applyBorder="1" applyAlignment="1">
      <alignment horizontal="left" vertical="top"/>
    </xf>
    <xf numFmtId="0" fontId="2" fillId="11" borderId="0" xfId="0" applyFont="1" applyFill="1" applyBorder="1" applyAlignment="1">
      <alignment vertical="top"/>
    </xf>
    <xf numFmtId="0" fontId="43" fillId="5" borderId="1" xfId="0" applyFont="1" applyFill="1" applyBorder="1" applyAlignment="1">
      <alignment vertical="top"/>
    </xf>
    <xf numFmtId="0" fontId="32" fillId="5" borderId="1" xfId="0" applyFont="1" applyFill="1" applyBorder="1" applyAlignment="1">
      <alignment vertical="top"/>
    </xf>
    <xf numFmtId="0" fontId="33" fillId="5" borderId="1" xfId="0" applyFont="1" applyFill="1" applyBorder="1" applyAlignment="1">
      <alignment horizontal="left" vertical="top" indent="2"/>
    </xf>
    <xf numFmtId="0" fontId="53" fillId="5" borderId="1" xfId="0" applyFont="1" applyFill="1" applyBorder="1" applyAlignment="1">
      <alignment vertical="top"/>
    </xf>
    <xf numFmtId="0" fontId="45" fillId="5" borderId="1" xfId="0" applyFont="1" applyFill="1" applyBorder="1" applyAlignment="1">
      <alignment vertical="top"/>
    </xf>
    <xf numFmtId="0" fontId="27" fillId="5" borderId="1" xfId="0" applyFont="1" applyFill="1" applyBorder="1" applyAlignment="1">
      <alignment horizontal="left" vertical="top" wrapText="1"/>
    </xf>
    <xf numFmtId="0" fontId="27" fillId="5" borderId="1" xfId="0" applyFont="1" applyFill="1" applyBorder="1" applyAlignment="1">
      <alignment horizontal="center" vertical="top" wrapText="1"/>
    </xf>
    <xf numFmtId="0" fontId="23" fillId="5" borderId="1" xfId="0" applyFont="1" applyFill="1" applyBorder="1" applyAlignment="1">
      <alignment horizontal="left" vertical="top"/>
    </xf>
    <xf numFmtId="0" fontId="60" fillId="0" borderId="1" xfId="0" applyFont="1" applyFill="1" applyBorder="1" applyAlignment="1">
      <alignment horizontal="center" vertical="top" wrapText="1"/>
    </xf>
    <xf numFmtId="0" fontId="40" fillId="11" borderId="7" xfId="0" applyFont="1" applyFill="1" applyBorder="1" applyAlignment="1">
      <alignment vertical="top"/>
    </xf>
    <xf numFmtId="0" fontId="56" fillId="11" borderId="7" xfId="0" applyFont="1" applyFill="1" applyBorder="1" applyAlignment="1">
      <alignment horizontal="center" vertical="top"/>
    </xf>
    <xf numFmtId="0" fontId="33" fillId="11" borderId="7" xfId="0" applyFont="1" applyFill="1" applyBorder="1" applyAlignment="1">
      <alignment horizontal="left" vertical="top" indent="2"/>
    </xf>
    <xf numFmtId="0" fontId="56" fillId="0" borderId="1" xfId="0" applyFont="1" applyFill="1" applyBorder="1" applyAlignment="1">
      <alignment horizontal="left" vertical="top"/>
    </xf>
    <xf numFmtId="0" fontId="56" fillId="0" borderId="7" xfId="0" applyFont="1" applyFill="1" applyBorder="1" applyAlignment="1">
      <alignment horizontal="center" vertical="top"/>
    </xf>
    <xf numFmtId="0" fontId="56" fillId="0" borderId="7" xfId="0" applyFont="1" applyFill="1" applyBorder="1" applyAlignment="1">
      <alignment horizontal="left" vertical="top"/>
    </xf>
    <xf numFmtId="0" fontId="0" fillId="0" borderId="2" xfId="0" applyFill="1" applyBorder="1" applyAlignment="1">
      <alignment vertical="center" wrapText="1"/>
    </xf>
    <xf numFmtId="0" fontId="0" fillId="0" borderId="1"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0" xfId="0" applyFill="1" applyAlignment="1">
      <alignment vertical="center"/>
    </xf>
    <xf numFmtId="0" fontId="56" fillId="12" borderId="1" xfId="0" applyFont="1" applyFill="1" applyBorder="1" applyAlignment="1">
      <alignment vertical="top"/>
    </xf>
    <xf numFmtId="0" fontId="59" fillId="12" borderId="1" xfId="0" applyFont="1" applyFill="1" applyBorder="1" applyAlignment="1">
      <alignment horizontal="center" vertical="top"/>
    </xf>
    <xf numFmtId="0" fontId="61" fillId="12" borderId="1" xfId="0" applyFont="1" applyFill="1" applyBorder="1" applyAlignment="1">
      <alignment vertical="top"/>
    </xf>
    <xf numFmtId="0" fontId="61" fillId="0" borderId="0" xfId="0" applyFont="1" applyFill="1" applyAlignment="1">
      <alignment vertical="top"/>
    </xf>
    <xf numFmtId="0" fontId="56" fillId="12" borderId="1" xfId="0" applyFont="1" applyFill="1" applyBorder="1" applyAlignment="1">
      <alignment vertical="top" wrapText="1"/>
    </xf>
    <xf numFmtId="0" fontId="33" fillId="12" borderId="1" xfId="0" applyFont="1" applyFill="1" applyBorder="1" applyAlignment="1">
      <alignment vertical="top" wrapText="1"/>
    </xf>
    <xf numFmtId="0" fontId="56" fillId="12" borderId="6" xfId="0" applyFont="1" applyFill="1" applyBorder="1" applyAlignment="1">
      <alignment vertical="top"/>
    </xf>
    <xf numFmtId="0" fontId="56" fillId="12" borderId="0" xfId="0" applyFont="1" applyFill="1" applyBorder="1" applyAlignment="1">
      <alignment vertical="top"/>
    </xf>
    <xf numFmtId="0" fontId="56" fillId="12" borderId="0" xfId="0" applyFont="1" applyFill="1" applyAlignment="1">
      <alignment vertical="top"/>
    </xf>
    <xf numFmtId="0" fontId="32" fillId="12" borderId="6" xfId="0" applyFont="1" applyFill="1" applyBorder="1" applyAlignment="1">
      <alignment vertical="top"/>
    </xf>
    <xf numFmtId="0" fontId="33" fillId="12" borderId="1" xfId="0" applyFont="1" applyFill="1" applyBorder="1" applyAlignment="1">
      <alignment horizontal="right" vertical="top"/>
    </xf>
    <xf numFmtId="0" fontId="33" fillId="12" borderId="6" xfId="0" applyFont="1" applyFill="1" applyBorder="1" applyAlignment="1">
      <alignment horizontal="left" vertical="top" indent="3"/>
    </xf>
    <xf numFmtId="0" fontId="3" fillId="0" borderId="1" xfId="0" applyFont="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2" fillId="0" borderId="19" xfId="0" applyFont="1" applyFill="1" applyBorder="1" applyAlignment="1">
      <alignment horizontal="left" vertical="top" wrapText="1"/>
    </xf>
    <xf numFmtId="0" fontId="9" fillId="11" borderId="2"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6" fillId="7" borderId="1" xfId="0" applyFont="1" applyFill="1" applyBorder="1" applyAlignment="1">
      <alignment horizontal="center" vertical="top"/>
    </xf>
    <xf numFmtId="0" fontId="20" fillId="0" borderId="4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61" fillId="0" borderId="10" xfId="0" applyFont="1" applyFill="1" applyBorder="1" applyAlignment="1">
      <alignment horizontal="center" vertical="top"/>
    </xf>
    <xf numFmtId="0" fontId="36" fillId="5" borderId="1" xfId="0" applyFont="1" applyFill="1" applyBorder="1" applyAlignment="1">
      <alignment horizontal="center" vertical="top"/>
    </xf>
    <xf numFmtId="0" fontId="0" fillId="0" borderId="10" xfId="0" applyFill="1" applyBorder="1" applyAlignment="1">
      <alignment horizontal="center" vertical="top"/>
    </xf>
    <xf numFmtId="0" fontId="20" fillId="0" borderId="25"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59" fillId="0" borderId="3" xfId="0" applyFont="1" applyFill="1" applyBorder="1" applyAlignment="1">
      <alignment horizontal="center" vertical="center" wrapText="1"/>
    </xf>
    <xf numFmtId="0" fontId="59" fillId="0" borderId="4" xfId="0" applyFont="1" applyFill="1" applyBorder="1" applyAlignment="1">
      <alignment horizontal="center" vertical="center" wrapText="1"/>
    </xf>
    <xf numFmtId="0" fontId="1" fillId="7" borderId="1" xfId="0" applyFont="1" applyFill="1" applyBorder="1" applyAlignment="1">
      <alignment horizontal="center" vertical="top"/>
    </xf>
    <xf numFmtId="0" fontId="36" fillId="0" borderId="24" xfId="0" applyFont="1" applyFill="1" applyBorder="1" applyAlignment="1">
      <alignment horizontal="center" vertical="center" wrapText="1"/>
    </xf>
    <xf numFmtId="0" fontId="36" fillId="0" borderId="3"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36" fillId="8" borderId="1" xfId="0" applyFont="1" applyFill="1" applyBorder="1" applyAlignment="1">
      <alignment horizontal="center" vertical="top"/>
    </xf>
    <xf numFmtId="0" fontId="36" fillId="8" borderId="1" xfId="0" applyFont="1" applyFill="1" applyBorder="1" applyAlignment="1">
      <alignment horizontal="center" vertical="top" wrapText="1"/>
    </xf>
    <xf numFmtId="0" fontId="38" fillId="5" borderId="5" xfId="0" applyFont="1" applyFill="1" applyBorder="1" applyAlignment="1">
      <alignment horizontal="center" vertical="top"/>
    </xf>
    <xf numFmtId="0" fontId="38" fillId="5" borderId="6" xfId="0" applyFont="1" applyFill="1" applyBorder="1" applyAlignment="1">
      <alignment horizontal="center" vertical="top"/>
    </xf>
    <xf numFmtId="0" fontId="38" fillId="5" borderId="7" xfId="0" applyFont="1" applyFill="1" applyBorder="1" applyAlignment="1">
      <alignment horizontal="center" vertical="top"/>
    </xf>
    <xf numFmtId="0" fontId="36" fillId="5" borderId="1" xfId="0" applyFont="1" applyFill="1" applyBorder="1" applyAlignment="1">
      <alignment horizontal="center" vertical="top" wrapText="1"/>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29" xfId="0" applyFill="1" applyBorder="1" applyAlignment="1">
      <alignment horizontal="center" vertical="center"/>
    </xf>
    <xf numFmtId="0" fontId="36" fillId="0" borderId="30" xfId="0" applyFont="1" applyFill="1" applyBorder="1" applyAlignment="1">
      <alignment horizontal="center" vertical="center" wrapText="1"/>
    </xf>
    <xf numFmtId="0" fontId="36" fillId="0" borderId="31" xfId="0" applyFont="1" applyFill="1" applyBorder="1" applyAlignment="1">
      <alignment horizontal="center" vertical="center" wrapText="1"/>
    </xf>
    <xf numFmtId="0" fontId="36" fillId="0" borderId="32" xfId="0" applyFont="1" applyFill="1" applyBorder="1" applyAlignment="1">
      <alignment horizontal="center" vertical="center" wrapText="1"/>
    </xf>
    <xf numFmtId="0" fontId="36" fillId="2" borderId="13" xfId="0" applyFont="1" applyFill="1" applyBorder="1" applyAlignment="1">
      <alignment horizontal="center" vertical="top"/>
    </xf>
    <xf numFmtId="0" fontId="36" fillId="2" borderId="16" xfId="0" applyFont="1" applyFill="1" applyBorder="1" applyAlignment="1">
      <alignment horizontal="center" vertical="top"/>
    </xf>
    <xf numFmtId="0" fontId="36" fillId="2" borderId="33" xfId="0" applyFont="1" applyFill="1" applyBorder="1" applyAlignment="1">
      <alignment horizontal="center" vertical="top"/>
    </xf>
    <xf numFmtId="0" fontId="36" fillId="2" borderId="1" xfId="0" applyFont="1" applyFill="1" applyBorder="1" applyAlignment="1">
      <alignment horizontal="center" vertical="top"/>
    </xf>
    <xf numFmtId="0" fontId="36" fillId="2" borderId="1" xfId="0" applyFont="1" applyFill="1" applyBorder="1" applyAlignment="1">
      <alignment horizontal="center" vertical="top" wrapText="1"/>
    </xf>
    <xf numFmtId="0" fontId="36" fillId="2" borderId="28" xfId="0" applyFont="1" applyFill="1" applyBorder="1" applyAlignment="1">
      <alignment horizontal="center" vertical="top"/>
    </xf>
    <xf numFmtId="0" fontId="36" fillId="0" borderId="37" xfId="0" applyFont="1" applyFill="1" applyBorder="1" applyAlignment="1">
      <alignment horizontal="center" vertical="top"/>
    </xf>
    <xf numFmtId="0" fontId="36" fillId="0" borderId="38" xfId="0" applyFont="1" applyFill="1" applyBorder="1" applyAlignment="1">
      <alignment horizontal="center" vertical="top"/>
    </xf>
    <xf numFmtId="0" fontId="36" fillId="0" borderId="39" xfId="0" applyFont="1" applyFill="1" applyBorder="1" applyAlignment="1">
      <alignment horizontal="center" vertical="top"/>
    </xf>
    <xf numFmtId="0" fontId="0" fillId="0" borderId="35" xfId="0" applyFill="1" applyBorder="1" applyAlignment="1">
      <alignment horizontal="center" vertical="center"/>
    </xf>
    <xf numFmtId="0" fontId="0" fillId="0" borderId="19" xfId="0" applyFill="1" applyBorder="1" applyAlignment="1">
      <alignment horizontal="center" vertical="center"/>
    </xf>
    <xf numFmtId="0" fontId="0" fillId="0" borderId="36" xfId="0" applyFill="1" applyBorder="1" applyAlignment="1">
      <alignment horizontal="center" vertical="center"/>
    </xf>
    <xf numFmtId="0" fontId="37" fillId="0" borderId="11" xfId="0" applyFont="1" applyFill="1" applyBorder="1" applyAlignment="1">
      <alignment horizontal="center" vertical="top" wrapText="1"/>
    </xf>
    <xf numFmtId="0" fontId="37" fillId="0" borderId="14" xfId="0" applyFont="1" applyFill="1" applyBorder="1" applyAlignment="1">
      <alignment horizontal="center" vertical="top" wrapText="1"/>
    </xf>
    <xf numFmtId="0" fontId="37" fillId="0" borderId="8" xfId="0" applyFont="1" applyFill="1" applyBorder="1" applyAlignment="1">
      <alignment horizontal="center" vertical="top" wrapText="1"/>
    </xf>
    <xf numFmtId="1" fontId="36" fillId="5" borderId="5" xfId="0" applyNumberFormat="1" applyFont="1" applyFill="1" applyBorder="1" applyAlignment="1">
      <alignment horizontal="center" vertical="top"/>
    </xf>
    <xf numFmtId="1" fontId="36" fillId="5" borderId="6" xfId="0" applyNumberFormat="1" applyFont="1" applyFill="1" applyBorder="1" applyAlignment="1">
      <alignment horizontal="center" vertical="top"/>
    </xf>
    <xf numFmtId="1" fontId="36" fillId="5" borderId="7" xfId="0" applyNumberFormat="1" applyFont="1" applyFill="1" applyBorder="1" applyAlignment="1">
      <alignment horizontal="center" vertical="top"/>
    </xf>
    <xf numFmtId="0" fontId="36" fillId="5" borderId="15" xfId="0" applyFont="1" applyFill="1" applyBorder="1" applyAlignment="1">
      <alignment horizontal="center" vertical="top"/>
    </xf>
    <xf numFmtId="0" fontId="36" fillId="5" borderId="4" xfId="0" applyFont="1" applyFill="1" applyBorder="1" applyAlignment="1">
      <alignment horizontal="center" vertical="top"/>
    </xf>
    <xf numFmtId="0" fontId="1" fillId="7" borderId="5" xfId="0" applyFont="1" applyFill="1" applyBorder="1" applyAlignment="1">
      <alignment horizontal="center" vertical="top"/>
    </xf>
    <xf numFmtId="0" fontId="1" fillId="7" borderId="6" xfId="0" applyFont="1" applyFill="1" applyBorder="1" applyAlignment="1">
      <alignment horizontal="center" vertical="top"/>
    </xf>
    <xf numFmtId="0" fontId="1" fillId="7" borderId="7" xfId="0" applyFont="1" applyFill="1" applyBorder="1" applyAlignment="1">
      <alignment horizontal="center" vertical="top"/>
    </xf>
    <xf numFmtId="0" fontId="36" fillId="2" borderId="15" xfId="0" applyFont="1" applyFill="1" applyBorder="1" applyAlignment="1">
      <alignment horizontal="center" vertical="top"/>
    </xf>
    <xf numFmtId="0" fontId="59" fillId="12" borderId="1" xfId="0" applyFont="1" applyFill="1" applyBorder="1" applyAlignment="1">
      <alignment horizontal="center" vertical="top"/>
    </xf>
    <xf numFmtId="0" fontId="36" fillId="0" borderId="5" xfId="0" applyFont="1" applyFill="1" applyBorder="1" applyAlignment="1">
      <alignment horizontal="center" vertical="top"/>
    </xf>
    <xf numFmtId="0" fontId="36" fillId="0" borderId="6" xfId="0" applyFont="1" applyFill="1" applyBorder="1" applyAlignment="1">
      <alignment horizontal="center" vertical="top"/>
    </xf>
    <xf numFmtId="0" fontId="36" fillId="0" borderId="7" xfId="0" applyFont="1" applyFill="1" applyBorder="1" applyAlignment="1">
      <alignment horizontal="center" vertical="top"/>
    </xf>
    <xf numFmtId="1" fontId="36" fillId="5" borderId="1" xfId="0" applyNumberFormat="1" applyFont="1" applyFill="1" applyBorder="1" applyAlignment="1">
      <alignment horizontal="center" vertical="top"/>
    </xf>
    <xf numFmtId="0" fontId="36" fillId="5" borderId="5" xfId="0" applyFont="1" applyFill="1" applyBorder="1" applyAlignment="1">
      <alignment horizontal="center" vertical="top"/>
    </xf>
    <xf numFmtId="0" fontId="36" fillId="5" borderId="6" xfId="0" applyFont="1" applyFill="1" applyBorder="1" applyAlignment="1">
      <alignment horizontal="center" vertical="top"/>
    </xf>
    <xf numFmtId="0" fontId="36" fillId="5" borderId="7" xfId="0" applyFont="1" applyFill="1" applyBorder="1" applyAlignment="1">
      <alignment horizontal="center" vertical="top"/>
    </xf>
    <xf numFmtId="0" fontId="23" fillId="5" borderId="5" xfId="0" applyFont="1" applyFill="1" applyBorder="1" applyAlignment="1">
      <alignment horizontal="center" vertical="top"/>
    </xf>
    <xf numFmtId="0" fontId="23" fillId="5" borderId="6" xfId="0" applyFont="1" applyFill="1" applyBorder="1" applyAlignment="1">
      <alignment horizontal="center" vertical="top"/>
    </xf>
    <xf numFmtId="0" fontId="23" fillId="5" borderId="7" xfId="0" applyFont="1" applyFill="1" applyBorder="1" applyAlignment="1">
      <alignment horizontal="center" vertical="top"/>
    </xf>
    <xf numFmtId="0" fontId="59" fillId="12" borderId="5" xfId="0" applyFont="1" applyFill="1" applyBorder="1" applyAlignment="1">
      <alignment horizontal="center" vertical="top"/>
    </xf>
    <xf numFmtId="0" fontId="59" fillId="12" borderId="6" xfId="0" applyFont="1" applyFill="1" applyBorder="1" applyAlignment="1">
      <alignment horizontal="center" vertical="top"/>
    </xf>
    <xf numFmtId="0" fontId="59" fillId="12" borderId="7" xfId="0" applyFont="1" applyFill="1" applyBorder="1" applyAlignment="1">
      <alignment horizontal="center" vertical="top"/>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24"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2" xfId="0" applyFill="1" applyBorder="1" applyAlignment="1">
      <alignment horizontal="center" vertical="center"/>
    </xf>
    <xf numFmtId="0" fontId="37" fillId="10" borderId="5" xfId="0" applyFont="1" applyFill="1" applyBorder="1" applyAlignment="1">
      <alignment horizontal="center" vertical="top"/>
    </xf>
    <xf numFmtId="0" fontId="37" fillId="10" borderId="6" xfId="0" applyFont="1" applyFill="1" applyBorder="1" applyAlignment="1">
      <alignment horizontal="center" vertical="top"/>
    </xf>
    <xf numFmtId="0" fontId="37" fillId="10" borderId="7" xfId="0" applyFont="1" applyFill="1" applyBorder="1" applyAlignment="1">
      <alignment horizontal="center" vertical="top"/>
    </xf>
    <xf numFmtId="0" fontId="29" fillId="10" borderId="5" xfId="0" applyFont="1" applyFill="1" applyBorder="1" applyAlignment="1">
      <alignment horizontal="center" vertical="top"/>
    </xf>
    <xf numFmtId="0" fontId="29" fillId="10" borderId="6" xfId="0" applyFont="1" applyFill="1" applyBorder="1" applyAlignment="1">
      <alignment horizontal="center" vertical="top"/>
    </xf>
    <xf numFmtId="0" fontId="29" fillId="10" borderId="7" xfId="0" applyFont="1" applyFill="1" applyBorder="1" applyAlignment="1">
      <alignment horizontal="center" vertical="top"/>
    </xf>
    <xf numFmtId="0" fontId="24" fillId="10" borderId="1" xfId="0" applyFont="1" applyFill="1" applyBorder="1" applyAlignment="1">
      <alignment horizontal="center" vertical="top"/>
    </xf>
    <xf numFmtId="0" fontId="24" fillId="10" borderId="5" xfId="0" applyFont="1" applyFill="1" applyBorder="1" applyAlignment="1">
      <alignment horizontal="center" vertical="top"/>
    </xf>
    <xf numFmtId="0" fontId="24" fillId="10" borderId="6" xfId="0" applyFont="1" applyFill="1" applyBorder="1" applyAlignment="1">
      <alignment horizontal="center" vertical="top"/>
    </xf>
    <xf numFmtId="0" fontId="24" fillId="10" borderId="7" xfId="0" applyFont="1" applyFill="1" applyBorder="1" applyAlignment="1">
      <alignment horizontal="center" vertical="top"/>
    </xf>
    <xf numFmtId="0" fontId="23" fillId="5" borderId="2" xfId="0" applyFont="1" applyFill="1" applyBorder="1" applyAlignment="1">
      <alignment horizontal="center" vertical="top"/>
    </xf>
    <xf numFmtId="0" fontId="36" fillId="0" borderId="1" xfId="0" applyFont="1" applyFill="1" applyBorder="1" applyAlignment="1">
      <alignment horizontal="center" vertical="top"/>
    </xf>
    <xf numFmtId="0" fontId="0" fillId="0" borderId="11" xfId="0" applyFill="1" applyBorder="1" applyAlignment="1">
      <alignment horizontal="center" vertical="center"/>
    </xf>
    <xf numFmtId="0" fontId="61" fillId="0" borderId="19" xfId="0" applyFont="1" applyFill="1" applyBorder="1" applyAlignment="1">
      <alignment horizontal="center" vertical="center"/>
    </xf>
    <xf numFmtId="0" fontId="61" fillId="0" borderId="1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vertical="center"/>
    </xf>
    <xf numFmtId="0" fontId="27" fillId="0" borderId="1" xfId="0" applyFont="1" applyFill="1" applyBorder="1" applyAlignment="1">
      <alignment horizontal="center" vertical="center" wrapText="1"/>
    </xf>
    <xf numFmtId="0" fontId="38" fillId="0" borderId="5" xfId="0" applyFont="1" applyFill="1" applyBorder="1" applyAlignment="1">
      <alignment horizontal="center" vertical="top"/>
    </xf>
    <xf numFmtId="0" fontId="38" fillId="0" borderId="6" xfId="0" applyFont="1" applyFill="1" applyBorder="1" applyAlignment="1">
      <alignment horizontal="center" vertical="top"/>
    </xf>
    <xf numFmtId="0" fontId="38" fillId="0" borderId="7" xfId="0" applyFont="1" applyFill="1" applyBorder="1" applyAlignment="1">
      <alignment horizontal="center" vertical="top"/>
    </xf>
    <xf numFmtId="0" fontId="38" fillId="7" borderId="5" xfId="0" applyFont="1" applyFill="1" applyBorder="1" applyAlignment="1">
      <alignment horizontal="center" vertical="top"/>
    </xf>
    <xf numFmtId="0" fontId="38" fillId="7" borderId="6" xfId="0" applyFont="1" applyFill="1" applyBorder="1" applyAlignment="1">
      <alignment horizontal="center" vertical="top"/>
    </xf>
    <xf numFmtId="0" fontId="38" fillId="7" borderId="7" xfId="0" applyFont="1" applyFill="1" applyBorder="1" applyAlignment="1">
      <alignment horizontal="center" vertical="top"/>
    </xf>
    <xf numFmtId="0" fontId="59" fillId="0" borderId="2" xfId="0" applyFont="1" applyFill="1" applyBorder="1" applyAlignment="1">
      <alignment horizontal="center" vertical="center" wrapText="1"/>
    </xf>
    <xf numFmtId="0" fontId="56" fillId="11" borderId="5" xfId="0" applyFont="1" applyFill="1" applyBorder="1" applyAlignment="1">
      <alignment horizontal="center" vertical="top"/>
    </xf>
    <xf numFmtId="0" fontId="56" fillId="11" borderId="6" xfId="0" applyFont="1" applyFill="1" applyBorder="1" applyAlignment="1">
      <alignment horizontal="center" vertical="top"/>
    </xf>
    <xf numFmtId="0" fontId="56" fillId="11" borderId="7" xfId="0" applyFont="1" applyFill="1" applyBorder="1" applyAlignment="1">
      <alignment horizontal="center" vertical="top"/>
    </xf>
    <xf numFmtId="0" fontId="56" fillId="0" borderId="5" xfId="0" applyFont="1" applyFill="1" applyBorder="1" applyAlignment="1">
      <alignment horizontal="center" vertical="top"/>
    </xf>
    <xf numFmtId="0" fontId="56" fillId="0" borderId="6" xfId="0" applyFont="1" applyFill="1" applyBorder="1" applyAlignment="1">
      <alignment horizontal="center" vertical="top"/>
    </xf>
    <xf numFmtId="0" fontId="56" fillId="0" borderId="7" xfId="0" applyFont="1" applyFill="1" applyBorder="1" applyAlignment="1">
      <alignment horizontal="center" vertical="top"/>
    </xf>
    <xf numFmtId="0" fontId="26" fillId="3" borderId="2" xfId="0" applyFont="1" applyFill="1" applyBorder="1" applyAlignment="1">
      <alignment horizontal="center" vertical="center" wrapText="1"/>
    </xf>
    <xf numFmtId="0" fontId="26" fillId="3" borderId="3" xfId="0" applyFont="1" applyFill="1" applyBorder="1" applyAlignment="1">
      <alignment horizontal="center" vertical="center" wrapText="1"/>
    </xf>
    <xf numFmtId="0" fontId="26" fillId="3" borderId="4" xfId="0" applyFont="1" applyFill="1" applyBorder="1" applyAlignment="1">
      <alignment horizontal="center" vertical="center" wrapText="1"/>
    </xf>
    <xf numFmtId="0" fontId="25" fillId="3" borderId="5" xfId="0" applyFont="1" applyFill="1" applyBorder="1" applyAlignment="1">
      <alignment horizontal="center"/>
    </xf>
    <xf numFmtId="0" fontId="25" fillId="3" borderId="6" xfId="0" applyFont="1" applyFill="1" applyBorder="1" applyAlignment="1">
      <alignment horizontal="center"/>
    </xf>
    <xf numFmtId="0" fontId="25" fillId="3" borderId="7" xfId="0" applyFont="1" applyFill="1" applyBorder="1" applyAlignment="1">
      <alignment horizontal="center"/>
    </xf>
    <xf numFmtId="0" fontId="19" fillId="3" borderId="8"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26" fillId="5" borderId="8"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4"/>
  <sheetViews>
    <sheetView topLeftCell="A109" zoomScale="115" zoomScaleNormal="115" zoomScalePageLayoutView="115" workbookViewId="0">
      <selection activeCell="B3" sqref="B3:B9"/>
    </sheetView>
  </sheetViews>
  <sheetFormatPr defaultColWidth="8.85546875" defaultRowHeight="12.75" x14ac:dyDescent="0.2"/>
  <cols>
    <col min="1" max="1" width="10" style="5" customWidth="1"/>
    <col min="2" max="2" width="76.7109375" style="1" customWidth="1"/>
    <col min="3" max="3" width="7.42578125" style="1" customWidth="1"/>
    <col min="4" max="4" width="8.42578125" style="1" customWidth="1"/>
    <col min="5" max="5" width="5.42578125" style="1" customWidth="1"/>
    <col min="6" max="6" width="19.85546875" style="1" customWidth="1"/>
    <col min="7" max="7" width="10.140625" style="1" bestFit="1" customWidth="1"/>
    <col min="8" max="8" width="19.7109375" style="1" bestFit="1" customWidth="1"/>
    <col min="9" max="9" width="5.7109375" style="1" bestFit="1" customWidth="1"/>
    <col min="10" max="10" width="6.140625" style="1" bestFit="1" customWidth="1"/>
    <col min="11" max="11" width="6" style="1" bestFit="1" customWidth="1"/>
    <col min="12" max="12" width="4.7109375" style="1" bestFit="1" customWidth="1"/>
    <col min="13" max="13" width="7" style="1" bestFit="1" customWidth="1"/>
    <col min="14" max="16384" width="8.85546875" style="1"/>
  </cols>
  <sheetData>
    <row r="1" spans="1:6" x14ac:dyDescent="0.2">
      <c r="A1" s="6"/>
      <c r="B1" s="7" t="s">
        <v>3</v>
      </c>
      <c r="C1" s="7"/>
      <c r="D1" s="8"/>
      <c r="E1" s="8"/>
      <c r="F1" s="2" t="s">
        <v>0</v>
      </c>
    </row>
    <row r="2" spans="1:6" x14ac:dyDescent="0.2">
      <c r="A2" s="9"/>
      <c r="B2" s="10" t="s">
        <v>5</v>
      </c>
      <c r="C2" s="10"/>
      <c r="D2" s="8" t="s">
        <v>303</v>
      </c>
      <c r="E2" s="8"/>
      <c r="F2" s="3" t="s">
        <v>1</v>
      </c>
    </row>
    <row r="3" spans="1:6" ht="15" customHeight="1" x14ac:dyDescent="0.2">
      <c r="A3" s="293" t="s">
        <v>5</v>
      </c>
      <c r="B3" s="11" t="s">
        <v>6</v>
      </c>
      <c r="C3" s="11"/>
      <c r="D3" s="8" t="s">
        <v>304</v>
      </c>
      <c r="E3" s="8"/>
      <c r="F3" s="4" t="s">
        <v>2</v>
      </c>
    </row>
    <row r="4" spans="1:6" x14ac:dyDescent="0.2">
      <c r="A4" s="293"/>
      <c r="B4" s="11" t="s">
        <v>8</v>
      </c>
      <c r="C4" s="11"/>
      <c r="D4" s="8" t="s">
        <v>304</v>
      </c>
      <c r="E4" s="8"/>
    </row>
    <row r="5" spans="1:6" x14ac:dyDescent="0.2">
      <c r="A5" s="293"/>
      <c r="B5" s="11" t="s">
        <v>9</v>
      </c>
      <c r="C5" s="11"/>
      <c r="D5" s="8" t="s">
        <v>304</v>
      </c>
      <c r="E5" s="8"/>
    </row>
    <row r="6" spans="1:6" x14ac:dyDescent="0.2">
      <c r="A6" s="293"/>
      <c r="B6" s="12" t="s">
        <v>10</v>
      </c>
      <c r="C6" s="12"/>
      <c r="D6" s="8" t="s">
        <v>304</v>
      </c>
      <c r="E6" s="8"/>
    </row>
    <row r="7" spans="1:6" x14ac:dyDescent="0.2">
      <c r="A7" s="293"/>
      <c r="B7" s="13" t="s">
        <v>11</v>
      </c>
      <c r="C7" s="13"/>
      <c r="D7" s="8" t="s">
        <v>304</v>
      </c>
      <c r="E7" s="8"/>
    </row>
    <row r="8" spans="1:6" x14ac:dyDescent="0.2">
      <c r="A8" s="293"/>
      <c r="B8" s="13" t="s">
        <v>14</v>
      </c>
      <c r="C8" s="13"/>
      <c r="D8" s="8"/>
      <c r="E8" s="8"/>
    </row>
    <row r="9" spans="1:6" x14ac:dyDescent="0.2">
      <c r="A9" s="293"/>
      <c r="B9" s="13" t="s">
        <v>15</v>
      </c>
      <c r="C9" s="13"/>
      <c r="D9" s="8" t="s">
        <v>305</v>
      </c>
      <c r="E9" s="8"/>
    </row>
    <row r="10" spans="1:6" x14ac:dyDescent="0.2">
      <c r="A10" s="293" t="s">
        <v>302</v>
      </c>
      <c r="B10" s="13" t="s">
        <v>17</v>
      </c>
      <c r="C10" s="13"/>
      <c r="D10" s="8"/>
      <c r="E10" s="8"/>
    </row>
    <row r="11" spans="1:6" x14ac:dyDescent="0.2">
      <c r="A11" s="293"/>
      <c r="B11" s="14" t="s">
        <v>292</v>
      </c>
      <c r="C11" s="14"/>
      <c r="D11" s="8"/>
      <c r="E11" s="8"/>
    </row>
    <row r="12" spans="1:6" x14ac:dyDescent="0.2">
      <c r="A12" s="293"/>
      <c r="B12" s="14" t="s">
        <v>13</v>
      </c>
      <c r="C12" s="14"/>
      <c r="D12" s="8"/>
      <c r="E12" s="8"/>
    </row>
    <row r="13" spans="1:6" x14ac:dyDescent="0.2">
      <c r="A13" s="293"/>
      <c r="B13" s="11" t="s">
        <v>18</v>
      </c>
      <c r="C13" s="11"/>
      <c r="D13" s="8" t="s">
        <v>304</v>
      </c>
      <c r="E13" s="8"/>
    </row>
    <row r="14" spans="1:6" x14ac:dyDescent="0.2">
      <c r="A14" s="293"/>
      <c r="B14" s="12" t="s">
        <v>19</v>
      </c>
      <c r="C14" s="12"/>
      <c r="D14" s="8" t="s">
        <v>304</v>
      </c>
      <c r="E14" s="8"/>
    </row>
    <row r="15" spans="1:6" x14ac:dyDescent="0.2">
      <c r="A15" s="293"/>
      <c r="B15" s="13" t="s">
        <v>20</v>
      </c>
      <c r="C15" s="13"/>
      <c r="D15" s="8" t="s">
        <v>304</v>
      </c>
      <c r="E15" s="8"/>
    </row>
    <row r="16" spans="1:6" x14ac:dyDescent="0.2">
      <c r="A16" s="293"/>
      <c r="B16" s="13" t="s">
        <v>21</v>
      </c>
      <c r="C16" s="13"/>
      <c r="D16" s="8" t="s">
        <v>304</v>
      </c>
      <c r="E16" s="8"/>
    </row>
    <row r="17" spans="1:5" x14ac:dyDescent="0.2">
      <c r="A17" s="293"/>
      <c r="B17" s="13" t="s">
        <v>22</v>
      </c>
      <c r="C17" s="13"/>
      <c r="D17" s="8"/>
      <c r="E17" s="8"/>
    </row>
    <row r="18" spans="1:5" x14ac:dyDescent="0.2">
      <c r="A18" s="293"/>
      <c r="B18" s="11" t="s">
        <v>23</v>
      </c>
      <c r="C18" s="11"/>
      <c r="D18" s="8"/>
      <c r="E18" s="8"/>
    </row>
    <row r="19" spans="1:5" x14ac:dyDescent="0.2">
      <c r="A19" s="293"/>
      <c r="B19" s="13" t="s">
        <v>24</v>
      </c>
      <c r="C19" s="13"/>
      <c r="D19" s="8"/>
      <c r="E19" s="8"/>
    </row>
    <row r="20" spans="1:5" x14ac:dyDescent="0.2">
      <c r="A20" s="293"/>
      <c r="B20" s="14" t="s">
        <v>25</v>
      </c>
      <c r="C20" s="14"/>
      <c r="D20" s="8"/>
      <c r="E20" s="8"/>
    </row>
    <row r="21" spans="1:5" x14ac:dyDescent="0.2">
      <c r="A21" s="293"/>
      <c r="B21" s="14" t="s">
        <v>26</v>
      </c>
      <c r="C21" s="14"/>
      <c r="D21" s="8"/>
      <c r="E21" s="8"/>
    </row>
    <row r="22" spans="1:5" x14ac:dyDescent="0.2">
      <c r="A22" s="293"/>
      <c r="B22" s="14" t="s">
        <v>27</v>
      </c>
      <c r="C22" s="14"/>
      <c r="D22" s="8"/>
      <c r="E22" s="8"/>
    </row>
    <row r="23" spans="1:5" x14ac:dyDescent="0.2">
      <c r="A23" s="293"/>
      <c r="B23" s="13" t="s">
        <v>33</v>
      </c>
      <c r="C23" s="13"/>
      <c r="D23" s="8"/>
      <c r="E23" s="8"/>
    </row>
    <row r="24" spans="1:5" x14ac:dyDescent="0.2">
      <c r="A24" s="293"/>
      <c r="B24" s="14" t="s">
        <v>34</v>
      </c>
      <c r="C24" s="14"/>
      <c r="D24" s="8"/>
      <c r="E24" s="8"/>
    </row>
    <row r="25" spans="1:5" x14ac:dyDescent="0.2">
      <c r="A25" s="293"/>
      <c r="B25" s="14" t="s">
        <v>35</v>
      </c>
      <c r="C25" s="14"/>
      <c r="D25" s="8"/>
      <c r="E25" s="8"/>
    </row>
    <row r="26" spans="1:5" x14ac:dyDescent="0.2">
      <c r="A26" s="293"/>
      <c r="B26" s="14" t="s">
        <v>36</v>
      </c>
      <c r="C26" s="14"/>
      <c r="D26" s="8"/>
      <c r="E26" s="8"/>
    </row>
    <row r="27" spans="1:5" x14ac:dyDescent="0.2">
      <c r="A27" s="293"/>
      <c r="B27" s="14" t="s">
        <v>37</v>
      </c>
      <c r="C27" s="14"/>
      <c r="D27" s="8"/>
      <c r="E27" s="8"/>
    </row>
    <row r="28" spans="1:5" x14ac:dyDescent="0.2">
      <c r="A28" s="293"/>
      <c r="B28" s="13" t="s">
        <v>28</v>
      </c>
      <c r="C28" s="13"/>
      <c r="D28" s="8"/>
      <c r="E28" s="8"/>
    </row>
    <row r="29" spans="1:5" x14ac:dyDescent="0.2">
      <c r="A29" s="293"/>
      <c r="B29" s="11" t="s">
        <v>29</v>
      </c>
      <c r="C29" s="11"/>
      <c r="D29" s="8"/>
      <c r="E29" s="8"/>
    </row>
    <row r="30" spans="1:5" x14ac:dyDescent="0.2">
      <c r="A30" s="293"/>
      <c r="B30" s="14" t="s">
        <v>13</v>
      </c>
      <c r="C30" s="14"/>
      <c r="D30" s="8"/>
      <c r="E30" s="8"/>
    </row>
    <row r="31" spans="1:5" x14ac:dyDescent="0.2">
      <c r="A31" s="293"/>
      <c r="B31" s="13" t="s">
        <v>30</v>
      </c>
      <c r="C31" s="13"/>
      <c r="D31" s="8"/>
      <c r="E31" s="8"/>
    </row>
    <row r="32" spans="1:5" x14ac:dyDescent="0.2">
      <c r="A32" s="15"/>
      <c r="B32" s="16" t="s">
        <v>326</v>
      </c>
      <c r="C32" s="16"/>
      <c r="D32" s="8"/>
      <c r="E32" s="8"/>
    </row>
    <row r="33" spans="1:5" x14ac:dyDescent="0.2">
      <c r="A33" s="17"/>
      <c r="B33" s="18" t="s">
        <v>80</v>
      </c>
      <c r="C33" s="18"/>
      <c r="D33" s="8"/>
      <c r="E33" s="8"/>
    </row>
    <row r="34" spans="1:5" x14ac:dyDescent="0.2">
      <c r="A34" s="9"/>
      <c r="B34" s="19" t="s">
        <v>81</v>
      </c>
      <c r="C34" s="19"/>
      <c r="D34" s="8"/>
      <c r="E34" s="8"/>
    </row>
    <row r="35" spans="1:5" x14ac:dyDescent="0.2">
      <c r="A35" s="9"/>
      <c r="B35" s="19" t="s">
        <v>82</v>
      </c>
      <c r="C35" s="19"/>
      <c r="D35" s="8"/>
      <c r="E35" s="8"/>
    </row>
    <row r="36" spans="1:5" x14ac:dyDescent="0.2">
      <c r="A36" s="9"/>
      <c r="B36" s="19" t="s">
        <v>83</v>
      </c>
      <c r="C36" s="19"/>
      <c r="D36" s="8"/>
      <c r="E36" s="8"/>
    </row>
    <row r="37" spans="1:5" x14ac:dyDescent="0.2">
      <c r="A37" s="9"/>
      <c r="B37" s="19" t="s">
        <v>84</v>
      </c>
      <c r="C37" s="19"/>
      <c r="D37" s="8"/>
      <c r="E37" s="8"/>
    </row>
    <row r="38" spans="1:5" x14ac:dyDescent="0.2">
      <c r="A38" s="9"/>
      <c r="B38" s="19" t="s">
        <v>85</v>
      </c>
      <c r="C38" s="19"/>
      <c r="D38" s="8"/>
      <c r="E38" s="8"/>
    </row>
    <row r="39" spans="1:5" x14ac:dyDescent="0.2">
      <c r="A39" s="17"/>
      <c r="B39" s="18" t="s">
        <v>86</v>
      </c>
      <c r="C39" s="18"/>
      <c r="D39" s="8"/>
      <c r="E39" s="8"/>
    </row>
    <row r="40" spans="1:5" x14ac:dyDescent="0.2">
      <c r="A40" s="9"/>
      <c r="B40" s="19" t="s">
        <v>87</v>
      </c>
      <c r="C40" s="19"/>
      <c r="D40" s="8"/>
      <c r="E40" s="8"/>
    </row>
    <row r="41" spans="1:5" x14ac:dyDescent="0.2">
      <c r="A41" s="9"/>
      <c r="B41" s="19" t="s">
        <v>88</v>
      </c>
      <c r="C41" s="19"/>
      <c r="D41" s="8"/>
      <c r="E41" s="8"/>
    </row>
    <row r="42" spans="1:5" x14ac:dyDescent="0.2">
      <c r="A42" s="9"/>
      <c r="B42" s="19" t="s">
        <v>89</v>
      </c>
      <c r="C42" s="19"/>
      <c r="D42" s="8"/>
      <c r="E42" s="8"/>
    </row>
    <row r="43" spans="1:5" x14ac:dyDescent="0.2">
      <c r="A43" s="17"/>
      <c r="B43" s="20" t="s">
        <v>90</v>
      </c>
      <c r="C43" s="20"/>
      <c r="D43" s="8"/>
      <c r="E43" s="8"/>
    </row>
    <row r="44" spans="1:5" x14ac:dyDescent="0.2">
      <c r="A44" s="9"/>
      <c r="B44" s="21" t="s">
        <v>91</v>
      </c>
      <c r="C44" s="21"/>
      <c r="D44" s="8"/>
      <c r="E44" s="8"/>
    </row>
    <row r="45" spans="1:5" x14ac:dyDescent="0.2">
      <c r="A45" s="9"/>
      <c r="B45" s="21" t="s">
        <v>92</v>
      </c>
      <c r="C45" s="21"/>
      <c r="D45" s="8"/>
      <c r="E45" s="8"/>
    </row>
    <row r="46" spans="1:5" x14ac:dyDescent="0.2">
      <c r="A46" s="9"/>
      <c r="B46" s="21" t="s">
        <v>93</v>
      </c>
      <c r="C46" s="21"/>
      <c r="D46" s="8"/>
      <c r="E46" s="8"/>
    </row>
    <row r="47" spans="1:5" x14ac:dyDescent="0.2">
      <c r="A47" s="9"/>
      <c r="B47" s="21" t="s">
        <v>94</v>
      </c>
      <c r="C47" s="21"/>
      <c r="D47" s="8"/>
      <c r="E47" s="8"/>
    </row>
    <row r="48" spans="1:5" x14ac:dyDescent="0.2">
      <c r="A48" s="9"/>
      <c r="B48" s="21" t="s">
        <v>95</v>
      </c>
      <c r="C48" s="21"/>
      <c r="D48" s="8"/>
      <c r="E48" s="8"/>
    </row>
    <row r="49" spans="1:5" x14ac:dyDescent="0.2">
      <c r="A49" s="17"/>
      <c r="B49" s="22" t="s">
        <v>96</v>
      </c>
      <c r="C49" s="22"/>
      <c r="D49" s="8"/>
      <c r="E49" s="8"/>
    </row>
    <row r="50" spans="1:5" x14ac:dyDescent="0.2">
      <c r="A50" s="9"/>
      <c r="B50" s="21" t="s">
        <v>12</v>
      </c>
      <c r="C50" s="21"/>
      <c r="D50" s="8"/>
      <c r="E50" s="8"/>
    </row>
    <row r="51" spans="1:5" x14ac:dyDescent="0.2">
      <c r="A51" s="9"/>
      <c r="B51" s="21" t="s">
        <v>13</v>
      </c>
      <c r="C51" s="21"/>
      <c r="D51" s="8"/>
      <c r="E51" s="8"/>
    </row>
    <row r="52" spans="1:5" x14ac:dyDescent="0.2">
      <c r="A52" s="9"/>
      <c r="B52" s="23" t="s">
        <v>97</v>
      </c>
      <c r="C52" s="23"/>
      <c r="D52" s="8"/>
      <c r="E52" s="8"/>
    </row>
    <row r="53" spans="1:5" x14ac:dyDescent="0.2">
      <c r="A53" s="9"/>
      <c r="B53" s="23" t="s">
        <v>98</v>
      </c>
      <c r="C53" s="23"/>
      <c r="D53" s="8"/>
      <c r="E53" s="8"/>
    </row>
    <row r="54" spans="1:5" x14ac:dyDescent="0.2">
      <c r="A54" s="9"/>
      <c r="B54" s="23" t="s">
        <v>99</v>
      </c>
      <c r="C54" s="23"/>
      <c r="D54" s="8"/>
      <c r="E54" s="8"/>
    </row>
    <row r="55" spans="1:5" x14ac:dyDescent="0.2">
      <c r="A55" s="17"/>
      <c r="B55" s="22" t="s">
        <v>100</v>
      </c>
      <c r="C55" s="22"/>
      <c r="D55" s="8"/>
      <c r="E55" s="8"/>
    </row>
    <row r="56" spans="1:5" x14ac:dyDescent="0.2">
      <c r="A56" s="9"/>
      <c r="B56" s="21" t="s">
        <v>101</v>
      </c>
      <c r="C56" s="21"/>
      <c r="D56" s="8"/>
      <c r="E56" s="8"/>
    </row>
    <row r="57" spans="1:5" x14ac:dyDescent="0.2">
      <c r="A57" s="9"/>
      <c r="B57" s="21" t="s">
        <v>102</v>
      </c>
      <c r="C57" s="21"/>
      <c r="D57" s="8"/>
      <c r="E57" s="8"/>
    </row>
    <row r="58" spans="1:5" x14ac:dyDescent="0.2">
      <c r="A58" s="9"/>
      <c r="B58" s="23" t="s">
        <v>103</v>
      </c>
      <c r="C58" s="23"/>
      <c r="D58" s="8"/>
      <c r="E58" s="8"/>
    </row>
    <row r="59" spans="1:5" x14ac:dyDescent="0.2">
      <c r="A59" s="9"/>
      <c r="B59" s="23" t="s">
        <v>104</v>
      </c>
      <c r="C59" s="23"/>
      <c r="D59" s="8"/>
      <c r="E59" s="8"/>
    </row>
    <row r="60" spans="1:5" x14ac:dyDescent="0.2">
      <c r="A60" s="9"/>
      <c r="B60" s="23" t="s">
        <v>105</v>
      </c>
      <c r="C60" s="23"/>
      <c r="D60" s="8"/>
      <c r="E60" s="8"/>
    </row>
    <row r="61" spans="1:5" x14ac:dyDescent="0.2">
      <c r="A61" s="9"/>
      <c r="B61" s="23" t="s">
        <v>106</v>
      </c>
      <c r="C61" s="23"/>
      <c r="D61" s="8"/>
      <c r="E61" s="8"/>
    </row>
    <row r="62" spans="1:5" x14ac:dyDescent="0.2">
      <c r="A62" s="9"/>
      <c r="B62" s="23" t="s">
        <v>107</v>
      </c>
      <c r="C62" s="23"/>
      <c r="D62" s="8"/>
      <c r="E62" s="8"/>
    </row>
    <row r="63" spans="1:5" x14ac:dyDescent="0.2">
      <c r="A63" s="9"/>
      <c r="B63" s="23" t="s">
        <v>108</v>
      </c>
      <c r="C63" s="23"/>
      <c r="D63" s="8"/>
      <c r="E63" s="8"/>
    </row>
    <row r="64" spans="1:5" x14ac:dyDescent="0.2">
      <c r="A64" s="9"/>
      <c r="B64" s="23" t="s">
        <v>109</v>
      </c>
      <c r="C64" s="23"/>
      <c r="D64" s="8"/>
      <c r="E64" s="8"/>
    </row>
    <row r="65" spans="1:5" x14ac:dyDescent="0.2">
      <c r="A65" s="17"/>
      <c r="B65" s="22" t="s">
        <v>110</v>
      </c>
      <c r="C65" s="22"/>
      <c r="D65" s="8"/>
      <c r="E65" s="8"/>
    </row>
    <row r="66" spans="1:5" x14ac:dyDescent="0.2">
      <c r="A66" s="9"/>
      <c r="B66" s="21" t="s">
        <v>12</v>
      </c>
      <c r="C66" s="21"/>
      <c r="D66" s="8"/>
      <c r="E66" s="8"/>
    </row>
    <row r="67" spans="1:5" x14ac:dyDescent="0.2">
      <c r="A67" s="9"/>
      <c r="B67" s="21" t="s">
        <v>13</v>
      </c>
      <c r="C67" s="21"/>
      <c r="D67" s="8"/>
      <c r="E67" s="8"/>
    </row>
    <row r="68" spans="1:5" x14ac:dyDescent="0.2">
      <c r="A68" s="15"/>
      <c r="B68" s="16" t="s">
        <v>111</v>
      </c>
      <c r="C68" s="16"/>
      <c r="D68" s="8"/>
      <c r="E68" s="8"/>
    </row>
    <row r="69" spans="1:5" x14ac:dyDescent="0.2">
      <c r="A69" s="17"/>
      <c r="B69" s="22" t="s">
        <v>112</v>
      </c>
      <c r="C69" s="22"/>
      <c r="D69" s="8"/>
      <c r="E69" s="8"/>
    </row>
    <row r="70" spans="1:5" x14ac:dyDescent="0.2">
      <c r="A70" s="9"/>
      <c r="B70" s="21" t="s">
        <v>12</v>
      </c>
      <c r="C70" s="21"/>
      <c r="D70" s="8"/>
      <c r="E70" s="8"/>
    </row>
    <row r="71" spans="1:5" x14ac:dyDescent="0.2">
      <c r="A71" s="9"/>
      <c r="B71" s="21" t="s">
        <v>13</v>
      </c>
      <c r="C71" s="21"/>
      <c r="D71" s="8"/>
      <c r="E71" s="8"/>
    </row>
    <row r="72" spans="1:5" x14ac:dyDescent="0.2">
      <c r="A72" s="9"/>
      <c r="B72" s="23" t="s">
        <v>113</v>
      </c>
      <c r="C72" s="23"/>
      <c r="D72" s="8"/>
      <c r="E72" s="8"/>
    </row>
    <row r="73" spans="1:5" x14ac:dyDescent="0.2">
      <c r="A73" s="17"/>
      <c r="B73" s="22" t="s">
        <v>114</v>
      </c>
      <c r="C73" s="22"/>
      <c r="D73" s="8"/>
      <c r="E73" s="8"/>
    </row>
    <row r="74" spans="1:5" x14ac:dyDescent="0.2">
      <c r="A74" s="9"/>
      <c r="B74" s="21" t="s">
        <v>115</v>
      </c>
      <c r="C74" s="21"/>
      <c r="D74" s="8"/>
      <c r="E74" s="8"/>
    </row>
    <row r="75" spans="1:5" x14ac:dyDescent="0.2">
      <c r="A75" s="9"/>
      <c r="B75" s="21" t="s">
        <v>116</v>
      </c>
      <c r="C75" s="21"/>
      <c r="D75" s="8"/>
      <c r="E75" s="8"/>
    </row>
    <row r="76" spans="1:5" x14ac:dyDescent="0.2">
      <c r="A76" s="9"/>
      <c r="B76" s="21" t="s">
        <v>117</v>
      </c>
      <c r="C76" s="21"/>
      <c r="D76" s="8"/>
      <c r="E76" s="8"/>
    </row>
    <row r="77" spans="1:5" x14ac:dyDescent="0.2">
      <c r="A77" s="9"/>
      <c r="B77" s="21" t="s">
        <v>118</v>
      </c>
      <c r="C77" s="21"/>
      <c r="D77" s="8"/>
      <c r="E77" s="8"/>
    </row>
    <row r="78" spans="1:5" x14ac:dyDescent="0.2">
      <c r="A78" s="17"/>
      <c r="B78" s="22" t="s">
        <v>119</v>
      </c>
      <c r="C78" s="22"/>
      <c r="D78" s="8"/>
      <c r="E78" s="8"/>
    </row>
    <row r="79" spans="1:5" x14ac:dyDescent="0.2">
      <c r="A79" s="9"/>
      <c r="B79" s="21" t="s">
        <v>12</v>
      </c>
      <c r="C79" s="21"/>
      <c r="D79" s="8"/>
      <c r="E79" s="8"/>
    </row>
    <row r="80" spans="1:5" x14ac:dyDescent="0.2">
      <c r="A80" s="9"/>
      <c r="B80" s="21" t="s">
        <v>13</v>
      </c>
      <c r="C80" s="21"/>
      <c r="D80" s="8"/>
      <c r="E80" s="8"/>
    </row>
    <row r="81" spans="1:5" x14ac:dyDescent="0.2">
      <c r="A81" s="9"/>
      <c r="B81" s="13" t="s">
        <v>31</v>
      </c>
      <c r="C81" s="13"/>
      <c r="D81" s="8"/>
      <c r="E81" s="8"/>
    </row>
    <row r="82" spans="1:5" x14ac:dyDescent="0.2">
      <c r="A82" s="9"/>
      <c r="B82" s="14" t="s">
        <v>12</v>
      </c>
      <c r="C82" s="14"/>
      <c r="D82" s="8"/>
      <c r="E82" s="8"/>
    </row>
    <row r="83" spans="1:5" x14ac:dyDescent="0.2">
      <c r="A83" s="9"/>
      <c r="B83" s="14" t="s">
        <v>13</v>
      </c>
      <c r="C83" s="14"/>
      <c r="D83" s="8"/>
      <c r="E83" s="8"/>
    </row>
    <row r="84" spans="1:5" x14ac:dyDescent="0.2">
      <c r="A84" s="9"/>
      <c r="B84" s="11" t="s">
        <v>32</v>
      </c>
      <c r="C84" s="11"/>
      <c r="D84" s="8"/>
      <c r="E84" s="8"/>
    </row>
    <row r="85" spans="1:5" x14ac:dyDescent="0.2">
      <c r="A85" s="9"/>
      <c r="B85" s="13" t="s">
        <v>38</v>
      </c>
      <c r="C85" s="13"/>
      <c r="D85" s="8"/>
      <c r="E85" s="8"/>
    </row>
    <row r="86" spans="1:5" x14ac:dyDescent="0.2">
      <c r="A86" s="9"/>
      <c r="B86" s="14" t="s">
        <v>39</v>
      </c>
      <c r="C86" s="14"/>
      <c r="D86" s="8"/>
      <c r="E86" s="8"/>
    </row>
    <row r="87" spans="1:5" x14ac:dyDescent="0.2">
      <c r="A87" s="9"/>
      <c r="B87" s="14" t="s">
        <v>27</v>
      </c>
      <c r="C87" s="14"/>
      <c r="D87" s="8"/>
      <c r="E87" s="8"/>
    </row>
    <row r="88" spans="1:5" x14ac:dyDescent="0.2">
      <c r="A88" s="9"/>
      <c r="B88" s="14"/>
      <c r="C88" s="14"/>
      <c r="D88" s="8"/>
      <c r="E88" s="8"/>
    </row>
    <row r="89" spans="1:5" x14ac:dyDescent="0.2">
      <c r="A89" s="17"/>
      <c r="B89" s="13" t="s">
        <v>40</v>
      </c>
      <c r="C89" s="13"/>
      <c r="D89" s="8"/>
      <c r="E89" s="8"/>
    </row>
    <row r="90" spans="1:5" x14ac:dyDescent="0.2">
      <c r="A90" s="9"/>
      <c r="B90" s="14" t="s">
        <v>41</v>
      </c>
      <c r="C90" s="14"/>
      <c r="D90" s="8"/>
      <c r="E90" s="8"/>
    </row>
    <row r="91" spans="1:5" x14ac:dyDescent="0.2">
      <c r="A91" s="9"/>
      <c r="B91" s="14" t="s">
        <v>42</v>
      </c>
      <c r="C91" s="14"/>
      <c r="D91" s="8"/>
      <c r="E91" s="8"/>
    </row>
    <row r="92" spans="1:5" x14ac:dyDescent="0.2">
      <c r="A92" s="9"/>
      <c r="B92" s="14" t="s">
        <v>43</v>
      </c>
      <c r="C92" s="14"/>
      <c r="D92" s="8"/>
      <c r="E92" s="8"/>
    </row>
    <row r="93" spans="1:5" x14ac:dyDescent="0.2">
      <c r="A93" s="9"/>
      <c r="B93" s="24" t="s">
        <v>44</v>
      </c>
      <c r="C93" s="24"/>
      <c r="D93" s="8"/>
      <c r="E93" s="8"/>
    </row>
    <row r="94" spans="1:5" x14ac:dyDescent="0.2">
      <c r="A94" s="17"/>
      <c r="B94" s="13" t="s">
        <v>45</v>
      </c>
      <c r="C94" s="13"/>
      <c r="D94" s="8"/>
      <c r="E94" s="8"/>
    </row>
    <row r="95" spans="1:5" x14ac:dyDescent="0.2">
      <c r="A95" s="9"/>
      <c r="B95" s="14" t="s">
        <v>12</v>
      </c>
      <c r="C95" s="14"/>
      <c r="D95" s="8"/>
      <c r="E95" s="8"/>
    </row>
    <row r="96" spans="1:5" x14ac:dyDescent="0.2">
      <c r="A96" s="9"/>
      <c r="B96" s="25" t="s">
        <v>46</v>
      </c>
      <c r="C96" s="25"/>
      <c r="D96" s="8"/>
      <c r="E96" s="8"/>
    </row>
    <row r="97" spans="1:5" x14ac:dyDescent="0.2">
      <c r="A97" s="9"/>
      <c r="B97" s="25" t="s">
        <v>47</v>
      </c>
      <c r="C97" s="25"/>
      <c r="D97" s="8"/>
      <c r="E97" s="8"/>
    </row>
    <row r="98" spans="1:5" x14ac:dyDescent="0.2">
      <c r="A98" s="9"/>
      <c r="B98" s="26" t="s">
        <v>13</v>
      </c>
      <c r="C98" s="26"/>
      <c r="D98" s="8"/>
      <c r="E98" s="8"/>
    </row>
    <row r="99" spans="1:5" x14ac:dyDescent="0.2">
      <c r="A99" s="9"/>
      <c r="B99" s="13" t="s">
        <v>48</v>
      </c>
      <c r="C99" s="13"/>
      <c r="D99" s="8"/>
      <c r="E99" s="8"/>
    </row>
    <row r="100" spans="1:5" x14ac:dyDescent="0.2">
      <c r="A100" s="9"/>
      <c r="B100" s="26" t="s">
        <v>49</v>
      </c>
      <c r="C100" s="26"/>
      <c r="D100" s="8"/>
      <c r="E100" s="8"/>
    </row>
    <row r="101" spans="1:5" x14ac:dyDescent="0.2">
      <c r="A101" s="9"/>
      <c r="B101" s="26" t="s">
        <v>50</v>
      </c>
      <c r="C101" s="26"/>
      <c r="D101" s="8"/>
      <c r="E101" s="8"/>
    </row>
    <row r="102" spans="1:5" x14ac:dyDescent="0.2">
      <c r="A102" s="9"/>
      <c r="B102" s="26" t="s">
        <v>51</v>
      </c>
      <c r="C102" s="26"/>
      <c r="D102" s="8"/>
      <c r="E102" s="8"/>
    </row>
    <row r="103" spans="1:5" x14ac:dyDescent="0.2">
      <c r="A103" s="9"/>
      <c r="B103" s="26" t="s">
        <v>52</v>
      </c>
      <c r="C103" s="26"/>
      <c r="D103" s="8"/>
      <c r="E103" s="8"/>
    </row>
    <row r="104" spans="1:5" x14ac:dyDescent="0.2">
      <c r="A104" s="9"/>
      <c r="B104" s="26" t="s">
        <v>53</v>
      </c>
      <c r="C104" s="26"/>
      <c r="D104" s="8"/>
      <c r="E104" s="8"/>
    </row>
    <row r="105" spans="1:5" x14ac:dyDescent="0.2">
      <c r="A105" s="9"/>
      <c r="B105" s="19"/>
      <c r="C105" s="19"/>
      <c r="D105" s="8"/>
      <c r="E105" s="8"/>
    </row>
    <row r="106" spans="1:5" x14ac:dyDescent="0.2">
      <c r="A106" s="15"/>
      <c r="B106" s="27" t="s">
        <v>54</v>
      </c>
      <c r="C106" s="27"/>
      <c r="D106" s="8"/>
      <c r="E106" s="8"/>
    </row>
    <row r="107" spans="1:5" x14ac:dyDescent="0.2">
      <c r="A107" s="28"/>
      <c r="B107" s="29"/>
      <c r="C107" s="29"/>
      <c r="D107" s="8"/>
      <c r="E107" s="8"/>
    </row>
    <row r="108" spans="1:5" x14ac:dyDescent="0.2">
      <c r="A108" s="15"/>
      <c r="B108" s="8"/>
      <c r="C108" s="30" t="s">
        <v>306</v>
      </c>
      <c r="D108" s="30" t="s">
        <v>307</v>
      </c>
      <c r="E108" s="8" t="s">
        <v>308</v>
      </c>
    </row>
    <row r="109" spans="1:5" x14ac:dyDescent="0.2">
      <c r="A109" s="31"/>
      <c r="B109" s="32" t="s">
        <v>309</v>
      </c>
      <c r="C109" s="27"/>
      <c r="D109" s="30"/>
      <c r="E109" s="8"/>
    </row>
    <row r="110" spans="1:5" x14ac:dyDescent="0.2">
      <c r="A110" s="31"/>
      <c r="B110" s="33" t="s">
        <v>310</v>
      </c>
      <c r="C110" s="27"/>
      <c r="D110" s="8"/>
      <c r="E110" s="8"/>
    </row>
    <row r="111" spans="1:5" x14ac:dyDescent="0.2">
      <c r="A111" s="31"/>
      <c r="B111" s="33" t="s">
        <v>311</v>
      </c>
      <c r="C111" s="27"/>
      <c r="D111" s="8"/>
      <c r="E111" s="8"/>
    </row>
    <row r="112" spans="1:5" x14ac:dyDescent="0.2">
      <c r="A112" s="31"/>
      <c r="B112" s="33" t="s">
        <v>312</v>
      </c>
      <c r="C112" s="27"/>
      <c r="D112" s="8"/>
      <c r="E112" s="8"/>
    </row>
    <row r="113" spans="1:5" x14ac:dyDescent="0.2">
      <c r="A113" s="31"/>
      <c r="B113" s="33" t="s">
        <v>313</v>
      </c>
      <c r="C113" s="27"/>
      <c r="D113" s="8"/>
      <c r="E113" s="8"/>
    </row>
    <row r="114" spans="1:5" x14ac:dyDescent="0.2">
      <c r="A114" s="31"/>
      <c r="B114" s="32" t="s">
        <v>314</v>
      </c>
      <c r="C114" s="27"/>
      <c r="D114" s="8"/>
      <c r="E114" s="8"/>
    </row>
    <row r="115" spans="1:5" x14ac:dyDescent="0.2">
      <c r="A115" s="31"/>
      <c r="B115" s="32" t="s">
        <v>318</v>
      </c>
      <c r="C115" s="27"/>
      <c r="D115" s="8"/>
      <c r="E115" s="8"/>
    </row>
    <row r="116" spans="1:5" x14ac:dyDescent="0.2">
      <c r="A116" s="31"/>
      <c r="B116" s="32" t="s">
        <v>315</v>
      </c>
      <c r="C116" s="27"/>
      <c r="D116" s="8"/>
      <c r="E116" s="8"/>
    </row>
    <row r="117" spans="1:5" x14ac:dyDescent="0.2">
      <c r="A117" s="31"/>
      <c r="B117" s="32" t="s">
        <v>316</v>
      </c>
      <c r="C117" s="27"/>
      <c r="D117" s="8"/>
      <c r="E117" s="8"/>
    </row>
    <row r="118" spans="1:5" x14ac:dyDescent="0.2">
      <c r="A118" s="31"/>
      <c r="B118" s="32" t="s">
        <v>317</v>
      </c>
      <c r="C118" s="27"/>
      <c r="D118" s="8"/>
      <c r="E118" s="8"/>
    </row>
    <row r="119" spans="1:5" x14ac:dyDescent="0.2">
      <c r="A119" s="31"/>
      <c r="B119" s="32" t="s">
        <v>319</v>
      </c>
      <c r="C119" s="27"/>
      <c r="D119" s="8"/>
      <c r="E119" s="8"/>
    </row>
    <row r="120" spans="1:5" x14ac:dyDescent="0.2">
      <c r="A120" s="31"/>
      <c r="B120" s="32" t="s">
        <v>320</v>
      </c>
      <c r="C120" s="27"/>
      <c r="D120" s="8"/>
      <c r="E120" s="8"/>
    </row>
    <row r="121" spans="1:5" x14ac:dyDescent="0.2">
      <c r="A121" s="15"/>
      <c r="B121" s="32" t="s">
        <v>64</v>
      </c>
      <c r="C121" s="27"/>
      <c r="D121" s="8"/>
      <c r="E121" s="8"/>
    </row>
    <row r="122" spans="1:5" x14ac:dyDescent="0.2">
      <c r="A122" s="15"/>
      <c r="B122" s="32" t="s">
        <v>72</v>
      </c>
      <c r="C122" s="27"/>
      <c r="D122" s="8"/>
      <c r="E122" s="8"/>
    </row>
    <row r="123" spans="1:5" x14ac:dyDescent="0.2">
      <c r="A123" s="15"/>
      <c r="B123" s="32" t="s">
        <v>321</v>
      </c>
      <c r="C123" s="27"/>
      <c r="D123" s="8"/>
      <c r="E123" s="8"/>
    </row>
    <row r="124" spans="1:5" x14ac:dyDescent="0.2">
      <c r="A124" s="15"/>
      <c r="B124" s="32" t="s">
        <v>322</v>
      </c>
      <c r="C124" s="27"/>
      <c r="D124" s="8"/>
      <c r="E124" s="8"/>
    </row>
    <row r="125" spans="1:5" x14ac:dyDescent="0.2">
      <c r="A125" s="17"/>
      <c r="B125" s="32" t="s">
        <v>73</v>
      </c>
      <c r="C125" s="18"/>
      <c r="D125" s="8"/>
      <c r="E125" s="8"/>
    </row>
    <row r="126" spans="1:5" ht="38.25" x14ac:dyDescent="0.2">
      <c r="A126" s="34" t="s">
        <v>120</v>
      </c>
      <c r="B126" s="32"/>
      <c r="C126" s="32"/>
      <c r="D126" s="8"/>
      <c r="E126" s="8"/>
    </row>
    <row r="127" spans="1:5" x14ac:dyDescent="0.2">
      <c r="A127" s="35"/>
      <c r="B127" s="32" t="s">
        <v>293</v>
      </c>
      <c r="C127" s="32"/>
      <c r="D127" s="8"/>
      <c r="E127" s="8"/>
    </row>
    <row r="128" spans="1:5" x14ac:dyDescent="0.2">
      <c r="A128" s="35"/>
      <c r="B128" s="32" t="s">
        <v>294</v>
      </c>
      <c r="C128" s="32"/>
      <c r="D128" s="8"/>
      <c r="E128" s="8"/>
    </row>
    <row r="129" spans="1:5" x14ac:dyDescent="0.2">
      <c r="A129" s="35"/>
      <c r="B129" s="32" t="s">
        <v>295</v>
      </c>
      <c r="C129" s="32"/>
      <c r="D129" s="8"/>
      <c r="E129" s="8"/>
    </row>
    <row r="130" spans="1:5" x14ac:dyDescent="0.2">
      <c r="A130" s="35"/>
      <c r="B130" s="32" t="s">
        <v>151</v>
      </c>
      <c r="C130" s="32"/>
      <c r="D130" s="8"/>
      <c r="E130" s="8"/>
    </row>
    <row r="131" spans="1:5" x14ac:dyDescent="0.2">
      <c r="A131" s="35"/>
      <c r="B131" s="32" t="s">
        <v>157</v>
      </c>
      <c r="C131" s="32"/>
      <c r="D131" s="8"/>
      <c r="E131" s="8"/>
    </row>
    <row r="132" spans="1:5" x14ac:dyDescent="0.2">
      <c r="A132" s="35"/>
      <c r="B132" s="32" t="s">
        <v>296</v>
      </c>
      <c r="C132" s="32"/>
      <c r="D132" s="8"/>
      <c r="E132" s="8"/>
    </row>
    <row r="133" spans="1:5" x14ac:dyDescent="0.2">
      <c r="A133" s="35"/>
      <c r="B133" s="32" t="s">
        <v>297</v>
      </c>
      <c r="C133" s="32"/>
      <c r="D133" s="8"/>
      <c r="E133" s="8"/>
    </row>
    <row r="134" spans="1:5" x14ac:dyDescent="0.2">
      <c r="A134" s="35"/>
      <c r="B134" s="32" t="s">
        <v>158</v>
      </c>
      <c r="C134" s="32"/>
      <c r="D134" s="8"/>
      <c r="E134" s="8"/>
    </row>
    <row r="135" spans="1:5" x14ac:dyDescent="0.2">
      <c r="A135" s="35"/>
      <c r="B135" s="32" t="s">
        <v>159</v>
      </c>
      <c r="C135" s="32"/>
      <c r="D135" s="8"/>
      <c r="E135" s="8"/>
    </row>
    <row r="136" spans="1:5" x14ac:dyDescent="0.2">
      <c r="A136" s="35"/>
      <c r="B136" s="32" t="s">
        <v>160</v>
      </c>
      <c r="C136" s="32"/>
      <c r="D136" s="8"/>
      <c r="E136" s="8"/>
    </row>
    <row r="137" spans="1:5" x14ac:dyDescent="0.2">
      <c r="A137" s="35"/>
      <c r="B137" s="32" t="s">
        <v>172</v>
      </c>
      <c r="C137" s="32"/>
      <c r="D137" s="8"/>
      <c r="E137" s="8"/>
    </row>
    <row r="138" spans="1:5" x14ac:dyDescent="0.2">
      <c r="A138" s="35"/>
      <c r="B138" s="32" t="s">
        <v>173</v>
      </c>
      <c r="C138" s="32"/>
      <c r="D138" s="8"/>
      <c r="E138" s="8"/>
    </row>
    <row r="139" spans="1:5" x14ac:dyDescent="0.2">
      <c r="A139" s="35"/>
      <c r="B139" s="32" t="s">
        <v>298</v>
      </c>
      <c r="C139" s="32"/>
      <c r="D139" s="8"/>
      <c r="E139" s="8"/>
    </row>
    <row r="140" spans="1:5" x14ac:dyDescent="0.2">
      <c r="A140" s="35"/>
      <c r="B140" s="32" t="s">
        <v>299</v>
      </c>
      <c r="C140" s="32"/>
      <c r="D140" s="8"/>
      <c r="E140" s="8"/>
    </row>
    <row r="141" spans="1:5" x14ac:dyDescent="0.2">
      <c r="A141" s="35"/>
      <c r="B141" s="32" t="s">
        <v>181</v>
      </c>
      <c r="C141" s="32"/>
      <c r="D141" s="8"/>
      <c r="E141" s="8"/>
    </row>
    <row r="142" spans="1:5" x14ac:dyDescent="0.2">
      <c r="A142" s="35"/>
      <c r="B142" s="32" t="s">
        <v>12</v>
      </c>
      <c r="C142" s="32"/>
      <c r="D142" s="8"/>
      <c r="E142" s="8"/>
    </row>
    <row r="143" spans="1:5" x14ac:dyDescent="0.2">
      <c r="A143" s="35"/>
      <c r="B143" s="32" t="s">
        <v>13</v>
      </c>
      <c r="C143" s="32"/>
      <c r="D143" s="8"/>
      <c r="E143" s="8"/>
    </row>
    <row r="144" spans="1:5" x14ac:dyDescent="0.2">
      <c r="A144" s="35"/>
      <c r="B144" s="32" t="s">
        <v>182</v>
      </c>
      <c r="C144" s="32"/>
      <c r="D144" s="8"/>
      <c r="E144" s="8"/>
    </row>
    <row r="145" spans="1:5" x14ac:dyDescent="0.2">
      <c r="A145" s="35"/>
      <c r="B145" s="32" t="s">
        <v>183</v>
      </c>
      <c r="C145" s="32"/>
      <c r="D145" s="8"/>
      <c r="E145" s="8"/>
    </row>
    <row r="146" spans="1:5" x14ac:dyDescent="0.2">
      <c r="A146" s="35"/>
      <c r="B146" s="32" t="s">
        <v>171</v>
      </c>
      <c r="C146" s="32"/>
      <c r="D146" s="8"/>
      <c r="E146" s="8"/>
    </row>
    <row r="147" spans="1:5" x14ac:dyDescent="0.2">
      <c r="A147" s="35"/>
      <c r="B147" s="32" t="s">
        <v>327</v>
      </c>
      <c r="C147" s="32"/>
      <c r="D147" s="8"/>
      <c r="E147" s="8"/>
    </row>
    <row r="148" spans="1:5" x14ac:dyDescent="0.2">
      <c r="A148" s="35"/>
      <c r="B148" s="32" t="s">
        <v>184</v>
      </c>
      <c r="C148" s="32"/>
      <c r="D148" s="8"/>
      <c r="E148" s="8"/>
    </row>
    <row r="149" spans="1:5" x14ac:dyDescent="0.2">
      <c r="A149" s="35"/>
      <c r="B149" s="32" t="s">
        <v>12</v>
      </c>
      <c r="C149" s="32"/>
      <c r="D149" s="8"/>
      <c r="E149" s="8"/>
    </row>
    <row r="150" spans="1:5" x14ac:dyDescent="0.2">
      <c r="A150" s="35"/>
      <c r="B150" s="32" t="s">
        <v>13</v>
      </c>
      <c r="C150" s="32"/>
      <c r="D150" s="8"/>
      <c r="E150" s="8"/>
    </row>
    <row r="151" spans="1:5" x14ac:dyDescent="0.2">
      <c r="A151" s="35"/>
      <c r="B151" s="32" t="s">
        <v>323</v>
      </c>
      <c r="C151" s="32"/>
      <c r="D151" s="8"/>
      <c r="E151" s="8"/>
    </row>
    <row r="152" spans="1:5" x14ac:dyDescent="0.2">
      <c r="A152" s="35"/>
      <c r="B152" s="32" t="s">
        <v>324</v>
      </c>
      <c r="C152" s="32"/>
      <c r="D152" s="8"/>
      <c r="E152" s="8"/>
    </row>
    <row r="153" spans="1:5" x14ac:dyDescent="0.2">
      <c r="A153" s="35"/>
      <c r="B153" s="32" t="s">
        <v>325</v>
      </c>
      <c r="C153" s="32"/>
      <c r="D153" s="8"/>
      <c r="E153" s="8"/>
    </row>
    <row r="154" spans="1:5" x14ac:dyDescent="0.2">
      <c r="A154" s="15"/>
      <c r="B154" s="32" t="s">
        <v>257</v>
      </c>
      <c r="C154" s="16"/>
      <c r="D154" s="8"/>
      <c r="E154" s="8"/>
    </row>
    <row r="155" spans="1:5" x14ac:dyDescent="0.2">
      <c r="A155" s="9"/>
      <c r="B155" s="32" t="s">
        <v>258</v>
      </c>
      <c r="C155" s="36"/>
      <c r="D155" s="8"/>
      <c r="E155" s="8"/>
    </row>
    <row r="156" spans="1:5" x14ac:dyDescent="0.2">
      <c r="A156" s="9"/>
      <c r="B156" s="32" t="s">
        <v>259</v>
      </c>
      <c r="C156" s="37"/>
      <c r="D156" s="8"/>
      <c r="E156" s="8"/>
    </row>
    <row r="157" spans="1:5" x14ac:dyDescent="0.2">
      <c r="A157" s="9"/>
      <c r="B157" s="32" t="s">
        <v>260</v>
      </c>
      <c r="C157" s="37"/>
      <c r="D157" s="8"/>
      <c r="E157" s="8"/>
    </row>
    <row r="158" spans="1:5" x14ac:dyDescent="0.2">
      <c r="A158" s="9"/>
      <c r="B158" s="32" t="s">
        <v>261</v>
      </c>
      <c r="C158" s="37"/>
      <c r="D158" s="8"/>
      <c r="E158" s="8"/>
    </row>
    <row r="159" spans="1:5" x14ac:dyDescent="0.2">
      <c r="A159" s="9"/>
      <c r="B159" s="32" t="s">
        <v>262</v>
      </c>
      <c r="C159" s="37"/>
      <c r="D159" s="8"/>
      <c r="E159" s="8"/>
    </row>
    <row r="160" spans="1:5" x14ac:dyDescent="0.2">
      <c r="A160" s="9"/>
      <c r="B160" s="32" t="s">
        <v>263</v>
      </c>
      <c r="C160" s="37"/>
      <c r="D160" s="8"/>
      <c r="E160" s="8"/>
    </row>
    <row r="161" spans="1:5" x14ac:dyDescent="0.2">
      <c r="A161" s="9"/>
      <c r="B161" s="32" t="s">
        <v>264</v>
      </c>
      <c r="C161" s="37"/>
      <c r="D161" s="8"/>
      <c r="E161" s="8"/>
    </row>
    <row r="162" spans="1:5" x14ac:dyDescent="0.2">
      <c r="A162" s="9"/>
      <c r="B162" s="32" t="s">
        <v>265</v>
      </c>
      <c r="C162" s="37"/>
      <c r="D162" s="8"/>
      <c r="E162" s="8"/>
    </row>
    <row r="163" spans="1:5" x14ac:dyDescent="0.2">
      <c r="A163" s="9"/>
      <c r="B163" s="32" t="s">
        <v>266</v>
      </c>
      <c r="C163" s="37"/>
      <c r="D163" s="8"/>
      <c r="E163" s="8"/>
    </row>
    <row r="164" spans="1:5" x14ac:dyDescent="0.2">
      <c r="A164" s="9"/>
      <c r="B164" s="32" t="s">
        <v>267</v>
      </c>
      <c r="C164" s="37"/>
      <c r="D164" s="8"/>
      <c r="E164" s="8"/>
    </row>
    <row r="165" spans="1:5" x14ac:dyDescent="0.2">
      <c r="A165" s="9"/>
      <c r="B165" s="32" t="s">
        <v>268</v>
      </c>
      <c r="C165" s="37"/>
      <c r="D165" s="8"/>
      <c r="E165" s="8"/>
    </row>
    <row r="166" spans="1:5" x14ac:dyDescent="0.2">
      <c r="A166" s="9"/>
      <c r="B166" s="32" t="s">
        <v>269</v>
      </c>
      <c r="C166" s="37"/>
      <c r="D166" s="8"/>
      <c r="E166" s="8"/>
    </row>
    <row r="167" spans="1:5" x14ac:dyDescent="0.2">
      <c r="A167" s="9"/>
      <c r="B167" s="32" t="s">
        <v>270</v>
      </c>
      <c r="C167" s="37"/>
      <c r="D167" s="8"/>
      <c r="E167" s="8"/>
    </row>
    <row r="168" spans="1:5" x14ac:dyDescent="0.2">
      <c r="A168" s="9"/>
      <c r="B168" s="32" t="s">
        <v>271</v>
      </c>
      <c r="C168" s="37"/>
      <c r="D168" s="8"/>
      <c r="E168" s="8"/>
    </row>
    <row r="169" spans="1:5" x14ac:dyDescent="0.2">
      <c r="A169" s="9"/>
      <c r="B169" s="32" t="s">
        <v>272</v>
      </c>
      <c r="C169" s="37"/>
      <c r="D169" s="8"/>
      <c r="E169" s="8"/>
    </row>
    <row r="170" spans="1:5" x14ac:dyDescent="0.2">
      <c r="A170" s="9"/>
      <c r="B170" s="32" t="s">
        <v>273</v>
      </c>
      <c r="C170" s="37"/>
      <c r="D170" s="8"/>
      <c r="E170" s="8"/>
    </row>
    <row r="171" spans="1:5" x14ac:dyDescent="0.2">
      <c r="A171" s="9"/>
      <c r="B171" s="32" t="s">
        <v>274</v>
      </c>
      <c r="C171" s="37"/>
      <c r="D171" s="8"/>
      <c r="E171" s="8"/>
    </row>
    <row r="172" spans="1:5" x14ac:dyDescent="0.2">
      <c r="A172" s="9"/>
      <c r="B172" s="32" t="s">
        <v>275</v>
      </c>
      <c r="C172" s="37"/>
      <c r="D172" s="8"/>
      <c r="E172" s="8"/>
    </row>
    <row r="173" spans="1:5" x14ac:dyDescent="0.2">
      <c r="A173" s="9"/>
      <c r="B173" s="32" t="s">
        <v>276</v>
      </c>
      <c r="C173" s="37"/>
      <c r="D173" s="8"/>
      <c r="E173" s="8"/>
    </row>
    <row r="174" spans="1:5" x14ac:dyDescent="0.2">
      <c r="A174" s="9"/>
      <c r="B174" s="32" t="s">
        <v>277</v>
      </c>
      <c r="C174" s="37"/>
      <c r="D174" s="8"/>
      <c r="E174" s="8"/>
    </row>
    <row r="175" spans="1:5" x14ac:dyDescent="0.2">
      <c r="A175" s="9"/>
      <c r="B175" s="32" t="s">
        <v>278</v>
      </c>
      <c r="C175" s="37"/>
      <c r="D175" s="8"/>
      <c r="E175" s="8"/>
    </row>
    <row r="176" spans="1:5" x14ac:dyDescent="0.2">
      <c r="A176" s="9"/>
      <c r="B176" s="32" t="s">
        <v>279</v>
      </c>
      <c r="C176" s="37"/>
      <c r="D176" s="8"/>
      <c r="E176" s="8"/>
    </row>
    <row r="177" spans="1:5" x14ac:dyDescent="0.2">
      <c r="A177" s="9"/>
      <c r="B177" s="32" t="s">
        <v>280</v>
      </c>
      <c r="C177" s="37"/>
      <c r="D177" s="8"/>
      <c r="E177" s="8"/>
    </row>
    <row r="178" spans="1:5" x14ac:dyDescent="0.2">
      <c r="A178" s="9"/>
      <c r="B178" s="32" t="s">
        <v>281</v>
      </c>
      <c r="C178" s="37"/>
      <c r="D178" s="8"/>
      <c r="E178" s="8"/>
    </row>
    <row r="179" spans="1:5" x14ac:dyDescent="0.2">
      <c r="A179" s="9"/>
      <c r="B179" s="32" t="s">
        <v>282</v>
      </c>
      <c r="C179" s="37"/>
      <c r="D179" s="8"/>
      <c r="E179" s="8"/>
    </row>
    <row r="180" spans="1:5" x14ac:dyDescent="0.2">
      <c r="A180" s="9"/>
      <c r="B180" s="32" t="s">
        <v>283</v>
      </c>
      <c r="C180" s="37"/>
      <c r="D180" s="8"/>
      <c r="E180" s="8"/>
    </row>
    <row r="181" spans="1:5" x14ac:dyDescent="0.2">
      <c r="A181" s="9"/>
      <c r="B181" s="32" t="s">
        <v>284</v>
      </c>
      <c r="C181" s="37"/>
      <c r="D181" s="8"/>
      <c r="E181" s="8"/>
    </row>
    <row r="182" spans="1:5" x14ac:dyDescent="0.2">
      <c r="A182" s="9"/>
      <c r="B182" s="32" t="s">
        <v>285</v>
      </c>
      <c r="C182" s="37"/>
      <c r="D182" s="8"/>
      <c r="E182" s="8"/>
    </row>
    <row r="183" spans="1:5" x14ac:dyDescent="0.2">
      <c r="A183" s="9"/>
      <c r="B183" s="32" t="s">
        <v>286</v>
      </c>
      <c r="C183" s="37"/>
      <c r="D183" s="8"/>
      <c r="E183" s="8"/>
    </row>
    <row r="184" spans="1:5" x14ac:dyDescent="0.2">
      <c r="A184" s="9"/>
      <c r="B184" s="32" t="s">
        <v>287</v>
      </c>
      <c r="C184" s="37"/>
      <c r="D184" s="8"/>
      <c r="E184" s="8"/>
    </row>
    <row r="185" spans="1:5" x14ac:dyDescent="0.2">
      <c r="A185" s="15"/>
      <c r="B185" s="16" t="s">
        <v>197</v>
      </c>
      <c r="C185" s="16"/>
      <c r="D185" s="8"/>
      <c r="E185" s="8"/>
    </row>
    <row r="186" spans="1:5" x14ac:dyDescent="0.2">
      <c r="A186" s="17"/>
      <c r="B186" s="38" t="s">
        <v>198</v>
      </c>
      <c r="C186" s="38"/>
      <c r="D186" s="8"/>
      <c r="E186" s="8"/>
    </row>
    <row r="187" spans="1:5" x14ac:dyDescent="0.2">
      <c r="A187" s="17"/>
      <c r="B187" s="38" t="s">
        <v>202</v>
      </c>
      <c r="C187" s="38"/>
      <c r="D187" s="8"/>
      <c r="E187" s="8"/>
    </row>
    <row r="188" spans="1:5" x14ac:dyDescent="0.2">
      <c r="A188" s="9"/>
      <c r="B188" s="39" t="s">
        <v>203</v>
      </c>
      <c r="C188" s="39"/>
      <c r="D188" s="8"/>
      <c r="E188" s="8"/>
    </row>
    <row r="189" spans="1:5" x14ac:dyDescent="0.2">
      <c r="A189" s="9"/>
      <c r="B189" s="39" t="s">
        <v>204</v>
      </c>
      <c r="C189" s="39"/>
      <c r="D189" s="8"/>
      <c r="E189" s="8"/>
    </row>
    <row r="190" spans="1:5" x14ac:dyDescent="0.2">
      <c r="A190" s="9"/>
      <c r="B190" s="39" t="s">
        <v>205</v>
      </c>
      <c r="C190" s="39"/>
      <c r="D190" s="8"/>
      <c r="E190" s="8"/>
    </row>
    <row r="191" spans="1:5" x14ac:dyDescent="0.2">
      <c r="A191" s="15"/>
      <c r="B191" s="40" t="s">
        <v>206</v>
      </c>
      <c r="C191" s="40"/>
      <c r="D191" s="8"/>
      <c r="E191" s="8"/>
    </row>
    <row r="192" spans="1:5" x14ac:dyDescent="0.2">
      <c r="A192" s="17"/>
      <c r="B192" s="38" t="s">
        <v>207</v>
      </c>
      <c r="C192" s="38"/>
      <c r="D192" s="8"/>
      <c r="E192" s="8"/>
    </row>
    <row r="193" spans="1:5" x14ac:dyDescent="0.2">
      <c r="A193" s="9"/>
      <c r="B193" s="39" t="s">
        <v>208</v>
      </c>
      <c r="C193" s="39"/>
      <c r="D193" s="8"/>
      <c r="E193" s="8"/>
    </row>
    <row r="194" spans="1:5" x14ac:dyDescent="0.2">
      <c r="A194" s="9"/>
      <c r="B194" s="39" t="s">
        <v>209</v>
      </c>
      <c r="C194" s="39"/>
      <c r="D194" s="8"/>
      <c r="E194" s="8"/>
    </row>
    <row r="195" spans="1:5" x14ac:dyDescent="0.2">
      <c r="A195" s="9"/>
      <c r="B195" s="39" t="s">
        <v>210</v>
      </c>
      <c r="C195" s="39"/>
      <c r="D195" s="8"/>
      <c r="E195" s="8"/>
    </row>
    <row r="196" spans="1:5" x14ac:dyDescent="0.2">
      <c r="A196" s="9"/>
      <c r="B196" s="39" t="s">
        <v>211</v>
      </c>
      <c r="C196" s="39"/>
      <c r="D196" s="8"/>
      <c r="E196" s="8"/>
    </row>
    <row r="197" spans="1:5" x14ac:dyDescent="0.2">
      <c r="A197" s="9"/>
      <c r="B197" s="39" t="s">
        <v>212</v>
      </c>
      <c r="C197" s="39"/>
      <c r="D197" s="8"/>
      <c r="E197" s="8"/>
    </row>
    <row r="198" spans="1:5" x14ac:dyDescent="0.2">
      <c r="A198" s="9"/>
      <c r="B198" s="39" t="s">
        <v>213</v>
      </c>
      <c r="C198" s="39"/>
      <c r="D198" s="8"/>
      <c r="E198" s="8"/>
    </row>
    <row r="199" spans="1:5" x14ac:dyDescent="0.2">
      <c r="A199" s="9"/>
      <c r="B199" s="39" t="s">
        <v>214</v>
      </c>
      <c r="C199" s="39"/>
      <c r="D199" s="8"/>
      <c r="E199" s="8"/>
    </row>
    <row r="200" spans="1:5" x14ac:dyDescent="0.2">
      <c r="A200" s="9"/>
      <c r="B200" s="39" t="s">
        <v>215</v>
      </c>
      <c r="C200" s="39"/>
      <c r="D200" s="8"/>
      <c r="E200" s="8"/>
    </row>
    <row r="201" spans="1:5" x14ac:dyDescent="0.2">
      <c r="A201" s="9"/>
      <c r="B201" s="39" t="s">
        <v>216</v>
      </c>
      <c r="C201" s="39"/>
      <c r="D201" s="8"/>
      <c r="E201" s="8"/>
    </row>
    <row r="202" spans="1:5" x14ac:dyDescent="0.2">
      <c r="A202" s="17"/>
      <c r="B202" s="38" t="s">
        <v>217</v>
      </c>
      <c r="C202" s="38"/>
      <c r="D202" s="8"/>
      <c r="E202" s="8"/>
    </row>
    <row r="203" spans="1:5" x14ac:dyDescent="0.2">
      <c r="A203" s="9"/>
      <c r="B203" s="39" t="s">
        <v>218</v>
      </c>
      <c r="C203" s="39"/>
      <c r="D203" s="8"/>
      <c r="E203" s="8"/>
    </row>
    <row r="204" spans="1:5" x14ac:dyDescent="0.2">
      <c r="A204" s="9"/>
      <c r="B204" s="39" t="s">
        <v>219</v>
      </c>
      <c r="C204" s="39"/>
      <c r="D204" s="8"/>
      <c r="E204" s="8"/>
    </row>
    <row r="205" spans="1:5" x14ac:dyDescent="0.2">
      <c r="A205" s="9"/>
      <c r="B205" s="39" t="s">
        <v>220</v>
      </c>
      <c r="C205" s="39"/>
      <c r="D205" s="8"/>
      <c r="E205" s="8"/>
    </row>
    <row r="206" spans="1:5" x14ac:dyDescent="0.2">
      <c r="A206" s="17"/>
      <c r="B206" s="38" t="s">
        <v>300</v>
      </c>
      <c r="C206" s="38"/>
      <c r="D206" s="8"/>
      <c r="E206" s="8"/>
    </row>
    <row r="207" spans="1:5" x14ac:dyDescent="0.2">
      <c r="A207" s="9"/>
      <c r="B207" s="39" t="s">
        <v>221</v>
      </c>
      <c r="C207" s="39"/>
      <c r="D207" s="8"/>
      <c r="E207" s="8"/>
    </row>
    <row r="208" spans="1:5" x14ac:dyDescent="0.2">
      <c r="A208" s="9"/>
      <c r="B208" s="39" t="s">
        <v>222</v>
      </c>
      <c r="C208" s="39"/>
      <c r="D208" s="8"/>
      <c r="E208" s="8"/>
    </row>
    <row r="209" spans="1:5" x14ac:dyDescent="0.2">
      <c r="A209" s="9"/>
      <c r="B209" s="39" t="s">
        <v>223</v>
      </c>
      <c r="C209" s="39"/>
      <c r="D209" s="8"/>
      <c r="E209" s="8"/>
    </row>
    <row r="210" spans="1:5" x14ac:dyDescent="0.2">
      <c r="A210" s="9"/>
      <c r="B210" s="39" t="s">
        <v>224</v>
      </c>
      <c r="C210" s="39"/>
      <c r="D210" s="8"/>
      <c r="E210" s="8"/>
    </row>
    <row r="211" spans="1:5" x14ac:dyDescent="0.2">
      <c r="A211" s="15"/>
      <c r="B211" s="16" t="s">
        <v>225</v>
      </c>
      <c r="C211" s="16"/>
      <c r="D211" s="8"/>
      <c r="E211" s="8"/>
    </row>
    <row r="212" spans="1:5" x14ac:dyDescent="0.2">
      <c r="A212" s="17"/>
      <c r="B212" s="22" t="s">
        <v>226</v>
      </c>
      <c r="C212" s="22"/>
      <c r="D212" s="8"/>
      <c r="E212" s="8"/>
    </row>
    <row r="213" spans="1:5" x14ac:dyDescent="0.2">
      <c r="A213" s="9"/>
      <c r="B213" s="21" t="s">
        <v>227</v>
      </c>
      <c r="C213" s="21"/>
      <c r="D213" s="8"/>
      <c r="E213" s="8"/>
    </row>
    <row r="214" spans="1:5" x14ac:dyDescent="0.2">
      <c r="A214" s="9"/>
      <c r="B214" s="21" t="s">
        <v>228</v>
      </c>
      <c r="C214" s="21"/>
      <c r="D214" s="8"/>
      <c r="E214" s="8"/>
    </row>
    <row r="215" spans="1:5" x14ac:dyDescent="0.2">
      <c r="A215" s="9"/>
      <c r="B215" s="21" t="s">
        <v>229</v>
      </c>
      <c r="C215" s="21"/>
      <c r="D215" s="8"/>
      <c r="E215" s="8"/>
    </row>
    <row r="216" spans="1:5" x14ac:dyDescent="0.2">
      <c r="A216" s="9"/>
      <c r="B216" s="21" t="s">
        <v>231</v>
      </c>
      <c r="C216" s="21"/>
      <c r="D216" s="8"/>
      <c r="E216" s="8"/>
    </row>
    <row r="217" spans="1:5" x14ac:dyDescent="0.2">
      <c r="A217" s="9"/>
      <c r="B217" s="21" t="s">
        <v>232</v>
      </c>
      <c r="C217" s="21"/>
      <c r="D217" s="8"/>
      <c r="E217" s="8"/>
    </row>
    <row r="218" spans="1:5" ht="25.5" x14ac:dyDescent="0.2">
      <c r="A218" s="17"/>
      <c r="B218" s="41" t="s">
        <v>301</v>
      </c>
      <c r="C218" s="41"/>
      <c r="D218" s="8"/>
      <c r="E218" s="8"/>
    </row>
    <row r="219" spans="1:5" x14ac:dyDescent="0.2">
      <c r="A219" s="9"/>
      <c r="B219" s="21" t="s">
        <v>233</v>
      </c>
      <c r="C219" s="21"/>
      <c r="D219" s="8"/>
      <c r="E219" s="8"/>
    </row>
    <row r="220" spans="1:5" x14ac:dyDescent="0.2">
      <c r="A220" s="9"/>
      <c r="B220" s="21" t="s">
        <v>234</v>
      </c>
      <c r="C220" s="21"/>
      <c r="D220" s="8"/>
      <c r="E220" s="8"/>
    </row>
    <row r="221" spans="1:5" x14ac:dyDescent="0.2">
      <c r="A221" s="9"/>
      <c r="B221" s="21" t="s">
        <v>235</v>
      </c>
      <c r="C221" s="21"/>
      <c r="D221" s="8"/>
      <c r="E221" s="8"/>
    </row>
    <row r="222" spans="1:5" x14ac:dyDescent="0.2">
      <c r="A222" s="9"/>
      <c r="B222" s="21" t="s">
        <v>236</v>
      </c>
      <c r="C222" s="21"/>
      <c r="D222" s="8"/>
      <c r="E222" s="8"/>
    </row>
    <row r="223" spans="1:5" x14ac:dyDescent="0.2">
      <c r="A223" s="9"/>
      <c r="B223" s="21" t="s">
        <v>237</v>
      </c>
      <c r="C223" s="21"/>
      <c r="D223" s="8"/>
      <c r="E223" s="8"/>
    </row>
    <row r="224" spans="1:5" x14ac:dyDescent="0.2">
      <c r="A224" s="9"/>
      <c r="B224" s="21" t="s">
        <v>238</v>
      </c>
      <c r="C224" s="21"/>
      <c r="D224" s="8"/>
      <c r="E224" s="8"/>
    </row>
    <row r="225" spans="1:5" x14ac:dyDescent="0.2">
      <c r="A225" s="42"/>
      <c r="B225" s="43" t="s">
        <v>239</v>
      </c>
      <c r="C225" s="43"/>
      <c r="D225" s="8"/>
      <c r="E225" s="8"/>
    </row>
    <row r="226" spans="1:5" x14ac:dyDescent="0.2">
      <c r="A226" s="9"/>
      <c r="B226" s="21" t="s">
        <v>185</v>
      </c>
      <c r="C226" s="21"/>
      <c r="D226" s="8"/>
      <c r="E226" s="8"/>
    </row>
    <row r="227" spans="1:5" x14ac:dyDescent="0.2">
      <c r="A227" s="9"/>
      <c r="B227" s="21" t="s">
        <v>186</v>
      </c>
      <c r="C227" s="21"/>
      <c r="D227" s="8"/>
      <c r="E227" s="8"/>
    </row>
    <row r="228" spans="1:5" x14ac:dyDescent="0.2">
      <c r="A228" s="9"/>
      <c r="B228" s="21" t="s">
        <v>187</v>
      </c>
      <c r="C228" s="21"/>
      <c r="D228" s="8"/>
      <c r="E228" s="8"/>
    </row>
    <row r="229" spans="1:5" x14ac:dyDescent="0.2">
      <c r="A229" s="9"/>
      <c r="B229" s="21" t="s">
        <v>188</v>
      </c>
      <c r="C229" s="21"/>
      <c r="D229" s="8"/>
      <c r="E229" s="8"/>
    </row>
    <row r="230" spans="1:5" x14ac:dyDescent="0.2">
      <c r="A230" s="9"/>
      <c r="B230" s="21" t="s">
        <v>189</v>
      </c>
      <c r="C230" s="21"/>
      <c r="D230" s="8"/>
      <c r="E230" s="8"/>
    </row>
    <row r="231" spans="1:5" x14ac:dyDescent="0.2">
      <c r="A231" s="9"/>
      <c r="B231" s="21" t="s">
        <v>190</v>
      </c>
      <c r="C231" s="21"/>
      <c r="D231" s="8"/>
      <c r="E231" s="8"/>
    </row>
    <row r="232" spans="1:5" x14ac:dyDescent="0.2">
      <c r="A232" s="17"/>
      <c r="B232" s="22" t="s">
        <v>240</v>
      </c>
      <c r="C232" s="22"/>
      <c r="D232" s="8"/>
      <c r="E232" s="8"/>
    </row>
    <row r="233" spans="1:5" x14ac:dyDescent="0.2">
      <c r="A233" s="9"/>
      <c r="B233" s="21" t="s">
        <v>241</v>
      </c>
      <c r="C233" s="21"/>
      <c r="D233" s="8"/>
      <c r="E233" s="8"/>
    </row>
    <row r="234" spans="1:5" x14ac:dyDescent="0.2">
      <c r="A234" s="9"/>
      <c r="B234" s="21" t="s">
        <v>242</v>
      </c>
      <c r="C234" s="21"/>
      <c r="D234" s="8"/>
      <c r="E234" s="8"/>
    </row>
    <row r="235" spans="1:5" x14ac:dyDescent="0.2">
      <c r="A235" s="9"/>
      <c r="B235" s="21" t="s">
        <v>243</v>
      </c>
      <c r="C235" s="21"/>
      <c r="D235" s="8"/>
      <c r="E235" s="8"/>
    </row>
    <row r="236" spans="1:5" x14ac:dyDescent="0.2">
      <c r="A236" s="9"/>
      <c r="B236" s="21" t="s">
        <v>244</v>
      </c>
      <c r="C236" s="21"/>
      <c r="D236" s="8"/>
      <c r="E236" s="8"/>
    </row>
    <row r="237" spans="1:5" x14ac:dyDescent="0.2">
      <c r="A237" s="17"/>
      <c r="B237" s="22" t="s">
        <v>245</v>
      </c>
      <c r="C237" s="22"/>
      <c r="D237" s="8"/>
      <c r="E237" s="8"/>
    </row>
    <row r="238" spans="1:5" x14ac:dyDescent="0.2">
      <c r="A238" s="9"/>
      <c r="B238" s="21" t="s">
        <v>12</v>
      </c>
      <c r="C238" s="21"/>
      <c r="D238" s="8"/>
      <c r="E238" s="8"/>
    </row>
    <row r="239" spans="1:5" x14ac:dyDescent="0.2">
      <c r="A239" s="9"/>
      <c r="B239" s="21" t="s">
        <v>13</v>
      </c>
      <c r="C239" s="21"/>
      <c r="D239" s="8"/>
      <c r="E239" s="8"/>
    </row>
    <row r="240" spans="1:5" x14ac:dyDescent="0.2">
      <c r="A240" s="17"/>
      <c r="B240" s="22" t="s">
        <v>246</v>
      </c>
      <c r="C240" s="22"/>
      <c r="D240" s="8"/>
      <c r="E240" s="8"/>
    </row>
    <row r="241" spans="1:5" x14ac:dyDescent="0.2">
      <c r="A241" s="9"/>
      <c r="B241" s="21" t="s">
        <v>241</v>
      </c>
      <c r="C241" s="21"/>
      <c r="D241" s="8"/>
      <c r="E241" s="8"/>
    </row>
    <row r="242" spans="1:5" x14ac:dyDescent="0.2">
      <c r="A242" s="9"/>
      <c r="B242" s="21" t="s">
        <v>242</v>
      </c>
      <c r="C242" s="21"/>
      <c r="D242" s="8"/>
      <c r="E242" s="8"/>
    </row>
    <row r="243" spans="1:5" x14ac:dyDescent="0.2">
      <c r="A243" s="9"/>
      <c r="B243" s="21" t="s">
        <v>243</v>
      </c>
      <c r="C243" s="21"/>
      <c r="D243" s="8"/>
      <c r="E243" s="8"/>
    </row>
    <row r="244" spans="1:5" x14ac:dyDescent="0.2">
      <c r="A244" s="9"/>
      <c r="B244" s="21" t="s">
        <v>244</v>
      </c>
      <c r="C244" s="21"/>
      <c r="D244" s="8"/>
      <c r="E244" s="8"/>
    </row>
    <row r="245" spans="1:5" x14ac:dyDescent="0.2">
      <c r="A245" s="15"/>
      <c r="B245" s="16" t="s">
        <v>225</v>
      </c>
      <c r="C245" s="16"/>
      <c r="D245" s="8"/>
      <c r="E245" s="8"/>
    </row>
    <row r="246" spans="1:5" x14ac:dyDescent="0.2">
      <c r="A246" s="9"/>
      <c r="B246" s="44" t="s">
        <v>247</v>
      </c>
      <c r="C246" s="44"/>
      <c r="D246" s="8"/>
      <c r="E246" s="8"/>
    </row>
    <row r="247" spans="1:5" ht="25.5" x14ac:dyDescent="0.2">
      <c r="A247" s="9"/>
      <c r="B247" s="45" t="s">
        <v>248</v>
      </c>
      <c r="C247" s="45"/>
      <c r="D247" s="8"/>
      <c r="E247" s="8"/>
    </row>
    <row r="248" spans="1:5" x14ac:dyDescent="0.2">
      <c r="A248" s="9"/>
      <c r="B248" s="44" t="s">
        <v>249</v>
      </c>
      <c r="C248" s="44"/>
      <c r="D248" s="8"/>
      <c r="E248" s="8"/>
    </row>
    <row r="249" spans="1:5" ht="25.5" x14ac:dyDescent="0.2">
      <c r="A249" s="9"/>
      <c r="B249" s="45" t="s">
        <v>248</v>
      </c>
      <c r="C249" s="45"/>
      <c r="D249" s="8"/>
      <c r="E249" s="8"/>
    </row>
    <row r="250" spans="1:5" x14ac:dyDescent="0.2">
      <c r="A250" s="9"/>
      <c r="B250" s="36" t="s">
        <v>250</v>
      </c>
      <c r="C250" s="36"/>
      <c r="D250" s="8"/>
      <c r="E250" s="8"/>
    </row>
    <row r="251" spans="1:5" x14ac:dyDescent="0.2">
      <c r="A251" s="9"/>
      <c r="B251" s="36" t="s">
        <v>251</v>
      </c>
      <c r="C251" s="36"/>
      <c r="D251" s="8"/>
      <c r="E251" s="8"/>
    </row>
    <row r="252" spans="1:5" x14ac:dyDescent="0.2">
      <c r="A252" s="9"/>
      <c r="B252" s="36" t="s">
        <v>252</v>
      </c>
      <c r="C252" s="36"/>
      <c r="D252" s="8"/>
      <c r="E252" s="8"/>
    </row>
    <row r="253" spans="1:5" x14ac:dyDescent="0.2">
      <c r="A253" s="9"/>
      <c r="B253" s="36" t="s">
        <v>253</v>
      </c>
      <c r="C253" s="36"/>
      <c r="D253" s="8"/>
      <c r="E253" s="8"/>
    </row>
    <row r="254" spans="1:5" x14ac:dyDescent="0.2">
      <c r="A254" s="9"/>
      <c r="B254" s="36" t="s">
        <v>254</v>
      </c>
      <c r="C254" s="36"/>
      <c r="D254" s="8"/>
      <c r="E254" s="8"/>
    </row>
    <row r="255" spans="1:5" x14ac:dyDescent="0.2">
      <c r="A255" s="9"/>
      <c r="B255" s="36" t="s">
        <v>255</v>
      </c>
      <c r="C255" s="36"/>
      <c r="D255" s="8"/>
      <c r="E255" s="8"/>
    </row>
    <row r="256" spans="1:5" x14ac:dyDescent="0.2">
      <c r="A256" s="9"/>
      <c r="B256" s="36" t="s">
        <v>256</v>
      </c>
      <c r="C256" s="36"/>
      <c r="D256" s="8"/>
      <c r="E256" s="8"/>
    </row>
    <row r="257" spans="1:5" x14ac:dyDescent="0.2">
      <c r="A257" s="9"/>
      <c r="B257" s="37"/>
      <c r="C257" s="37"/>
      <c r="D257" s="8"/>
      <c r="E257" s="8"/>
    </row>
    <row r="258" spans="1:5" x14ac:dyDescent="0.2">
      <c r="A258" s="9"/>
      <c r="B258" s="37"/>
      <c r="C258" s="37"/>
      <c r="D258" s="8"/>
      <c r="E258" s="8"/>
    </row>
    <row r="259" spans="1:5" x14ac:dyDescent="0.2">
      <c r="A259" s="9"/>
      <c r="B259" s="37" t="s">
        <v>288</v>
      </c>
      <c r="C259" s="37"/>
      <c r="D259" s="8"/>
      <c r="E259" s="8"/>
    </row>
    <row r="260" spans="1:5" x14ac:dyDescent="0.2">
      <c r="A260" s="9"/>
      <c r="B260" s="37" t="s">
        <v>289</v>
      </c>
      <c r="C260" s="37"/>
      <c r="D260" s="8"/>
      <c r="E260" s="8"/>
    </row>
    <row r="261" spans="1:5" x14ac:dyDescent="0.2">
      <c r="A261" s="9"/>
      <c r="B261" s="37" t="s">
        <v>290</v>
      </c>
      <c r="C261" s="37"/>
      <c r="D261" s="8"/>
      <c r="E261" s="8"/>
    </row>
    <row r="262" spans="1:5" x14ac:dyDescent="0.2">
      <c r="A262" s="9"/>
      <c r="B262" s="37" t="s">
        <v>291</v>
      </c>
      <c r="C262" s="37"/>
      <c r="D262" s="8"/>
      <c r="E262" s="8"/>
    </row>
    <row r="263" spans="1:5" x14ac:dyDescent="0.2">
      <c r="A263" s="9"/>
      <c r="B263" s="8"/>
      <c r="C263" s="8"/>
      <c r="D263" s="8"/>
      <c r="E263" s="8"/>
    </row>
    <row r="264" spans="1:5" x14ac:dyDescent="0.2">
      <c r="A264" s="9"/>
      <c r="B264" s="8" t="s">
        <v>328</v>
      </c>
      <c r="C264" s="8"/>
      <c r="D264" s="8"/>
      <c r="E264" s="8"/>
    </row>
  </sheetData>
  <mergeCells count="2">
    <mergeCell ref="A3:A9"/>
    <mergeCell ref="A10:A31"/>
  </mergeCells>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9" sqref="O19"/>
    </sheetView>
  </sheetViews>
  <sheetFormatPr defaultColWidth="8.8554687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zoomScale="85" zoomScaleNormal="85" workbookViewId="0">
      <selection activeCell="C8" sqref="C8"/>
    </sheetView>
  </sheetViews>
  <sheetFormatPr defaultColWidth="8.85546875" defaultRowHeight="15.75" x14ac:dyDescent="0.25"/>
  <cols>
    <col min="1" max="1" width="11.42578125" style="101" customWidth="1"/>
    <col min="2" max="2" width="68.42578125" style="117" customWidth="1"/>
    <col min="3" max="3" width="13.140625" style="117" bestFit="1" customWidth="1"/>
    <col min="4" max="4" width="5.5703125" style="117" customWidth="1"/>
    <col min="5" max="5" width="66.85546875" style="109" bestFit="1" customWidth="1"/>
    <col min="6" max="6" width="13" style="102" bestFit="1" customWidth="1"/>
    <col min="7" max="7" width="8.7109375" style="102" bestFit="1" customWidth="1"/>
    <col min="8" max="8" width="3.85546875" style="102" bestFit="1" customWidth="1"/>
    <col min="9" max="16384" width="8.85546875" style="102"/>
  </cols>
  <sheetData>
    <row r="1" spans="1:5" x14ac:dyDescent="0.25">
      <c r="E1" s="102"/>
    </row>
    <row r="2" spans="1:5" s="116" customFormat="1" ht="37.5" x14ac:dyDescent="0.25">
      <c r="A2" s="88" t="s">
        <v>433</v>
      </c>
      <c r="B2" s="114" t="s">
        <v>3</v>
      </c>
      <c r="C2" s="114"/>
      <c r="D2" s="115" t="s">
        <v>4</v>
      </c>
      <c r="E2" s="121" t="s">
        <v>434</v>
      </c>
    </row>
    <row r="3" spans="1:5" ht="25.5" x14ac:dyDescent="0.25">
      <c r="A3" s="6"/>
      <c r="B3" s="103" t="s">
        <v>5</v>
      </c>
      <c r="C3" s="103"/>
      <c r="D3" s="118"/>
      <c r="E3" s="111" t="s">
        <v>418</v>
      </c>
    </row>
    <row r="4" spans="1:5" ht="15.75" customHeight="1" x14ac:dyDescent="0.25">
      <c r="A4" s="250"/>
      <c r="B4" s="251" t="s">
        <v>6</v>
      </c>
      <c r="C4" s="251"/>
      <c r="D4" s="252" t="s">
        <v>7</v>
      </c>
    </row>
    <row r="5" spans="1:5" ht="25.5" customHeight="1" x14ac:dyDescent="0.25">
      <c r="A5" s="294" t="s">
        <v>505</v>
      </c>
      <c r="B5" s="251" t="s">
        <v>8</v>
      </c>
      <c r="C5" s="251"/>
      <c r="D5" s="252" t="s">
        <v>7</v>
      </c>
    </row>
    <row r="6" spans="1:5" x14ac:dyDescent="0.25">
      <c r="A6" s="295"/>
      <c r="B6" s="251" t="s">
        <v>9</v>
      </c>
      <c r="C6" s="251"/>
      <c r="D6" s="252" t="s">
        <v>7</v>
      </c>
    </row>
    <row r="7" spans="1:5" x14ac:dyDescent="0.25">
      <c r="A7" s="295"/>
      <c r="B7" s="57" t="s">
        <v>10</v>
      </c>
      <c r="C7" s="57"/>
      <c r="D7" s="252"/>
    </row>
    <row r="8" spans="1:5" x14ac:dyDescent="0.25">
      <c r="A8" s="295"/>
      <c r="B8" s="58">
        <v>21</v>
      </c>
      <c r="C8" s="58">
        <v>25</v>
      </c>
      <c r="D8" s="252">
        <v>10</v>
      </c>
    </row>
    <row r="9" spans="1:5" x14ac:dyDescent="0.25">
      <c r="A9" s="295"/>
      <c r="B9" s="58">
        <v>26</v>
      </c>
      <c r="C9" s="58">
        <v>30</v>
      </c>
      <c r="D9" s="252">
        <v>8</v>
      </c>
    </row>
    <row r="10" spans="1:5" x14ac:dyDescent="0.25">
      <c r="A10" s="295"/>
      <c r="B10" s="58">
        <v>31</v>
      </c>
      <c r="C10" s="58">
        <v>35</v>
      </c>
      <c r="D10" s="252">
        <v>6</v>
      </c>
    </row>
    <row r="11" spans="1:5" x14ac:dyDescent="0.25">
      <c r="A11" s="295"/>
      <c r="B11" s="58">
        <v>36</v>
      </c>
      <c r="C11" s="58">
        <v>45</v>
      </c>
      <c r="D11" s="252">
        <v>4</v>
      </c>
    </row>
    <row r="12" spans="1:5" x14ac:dyDescent="0.25">
      <c r="A12" s="295"/>
      <c r="B12" s="58">
        <v>46</v>
      </c>
      <c r="C12" s="58">
        <v>60</v>
      </c>
      <c r="D12" s="252">
        <v>2</v>
      </c>
    </row>
    <row r="13" spans="1:5" x14ac:dyDescent="0.25">
      <c r="A13" s="295"/>
      <c r="B13" s="57" t="s">
        <v>11</v>
      </c>
      <c r="C13" s="57"/>
      <c r="D13" s="252" t="s">
        <v>7</v>
      </c>
    </row>
    <row r="14" spans="1:5" x14ac:dyDescent="0.25">
      <c r="A14" s="295"/>
      <c r="B14" s="58" t="s">
        <v>342</v>
      </c>
      <c r="C14" s="58"/>
      <c r="D14" s="252" t="s">
        <v>7</v>
      </c>
    </row>
    <row r="15" spans="1:5" x14ac:dyDescent="0.25">
      <c r="A15" s="295"/>
      <c r="B15" s="58" t="s">
        <v>343</v>
      </c>
      <c r="C15" s="58"/>
      <c r="D15" s="252" t="s">
        <v>7</v>
      </c>
    </row>
    <row r="16" spans="1:5" x14ac:dyDescent="0.25">
      <c r="A16" s="295"/>
      <c r="B16" s="57" t="s">
        <v>14</v>
      </c>
      <c r="C16" s="57"/>
      <c r="D16" s="252" t="s">
        <v>7</v>
      </c>
    </row>
    <row r="17" spans="1:4" x14ac:dyDescent="0.25">
      <c r="A17" s="295"/>
      <c r="B17" s="58" t="s">
        <v>342</v>
      </c>
      <c r="C17" s="58"/>
      <c r="D17" s="252" t="s">
        <v>7</v>
      </c>
    </row>
    <row r="18" spans="1:4" x14ac:dyDescent="0.25">
      <c r="A18" s="295"/>
      <c r="B18" s="58" t="s">
        <v>343</v>
      </c>
      <c r="C18" s="58"/>
      <c r="D18" s="252" t="s">
        <v>7</v>
      </c>
    </row>
    <row r="19" spans="1:4" x14ac:dyDescent="0.25">
      <c r="A19" s="295"/>
      <c r="B19" s="57" t="s">
        <v>15</v>
      </c>
      <c r="C19" s="57"/>
      <c r="D19" s="252" t="s">
        <v>7</v>
      </c>
    </row>
    <row r="20" spans="1:4" x14ac:dyDescent="0.25">
      <c r="A20" s="295"/>
      <c r="B20" s="58" t="s">
        <v>342</v>
      </c>
      <c r="C20" s="58"/>
      <c r="D20" s="252" t="s">
        <v>7</v>
      </c>
    </row>
    <row r="21" spans="1:4" x14ac:dyDescent="0.25">
      <c r="A21" s="295"/>
      <c r="B21" s="58" t="s">
        <v>343</v>
      </c>
      <c r="C21" s="58"/>
      <c r="D21" s="252" t="s">
        <v>7</v>
      </c>
    </row>
    <row r="22" spans="1:4" x14ac:dyDescent="0.25">
      <c r="A22" s="296"/>
      <c r="B22" s="57" t="s">
        <v>16</v>
      </c>
      <c r="C22" s="58"/>
      <c r="D22" s="252" t="s">
        <v>7</v>
      </c>
    </row>
    <row r="23" spans="1:4" ht="15.75" customHeight="1" x14ac:dyDescent="0.25">
      <c r="A23" s="302" t="s">
        <v>506</v>
      </c>
      <c r="B23" s="253" t="s">
        <v>79</v>
      </c>
      <c r="C23" s="254"/>
      <c r="D23" s="255"/>
    </row>
    <row r="24" spans="1:4" x14ac:dyDescent="0.25">
      <c r="A24" s="303"/>
      <c r="B24" s="256" t="s">
        <v>80</v>
      </c>
      <c r="C24" s="256"/>
      <c r="D24" s="255"/>
    </row>
    <row r="25" spans="1:4" x14ac:dyDescent="0.25">
      <c r="A25" s="303"/>
      <c r="B25" s="257" t="s">
        <v>81</v>
      </c>
      <c r="C25" s="257"/>
      <c r="D25" s="255">
        <v>2</v>
      </c>
    </row>
    <row r="26" spans="1:4" x14ac:dyDescent="0.25">
      <c r="A26" s="303"/>
      <c r="B26" s="257" t="s">
        <v>82</v>
      </c>
      <c r="C26" s="257"/>
      <c r="D26" s="255">
        <v>4</v>
      </c>
    </row>
    <row r="27" spans="1:4" x14ac:dyDescent="0.25">
      <c r="A27" s="303"/>
      <c r="B27" s="257" t="s">
        <v>83</v>
      </c>
      <c r="C27" s="257"/>
      <c r="D27" s="255">
        <v>6</v>
      </c>
    </row>
    <row r="28" spans="1:4" x14ac:dyDescent="0.25">
      <c r="A28" s="303"/>
      <c r="B28" s="257" t="s">
        <v>84</v>
      </c>
      <c r="C28" s="257"/>
      <c r="D28" s="255">
        <v>8</v>
      </c>
    </row>
    <row r="29" spans="1:4" x14ac:dyDescent="0.25">
      <c r="A29" s="303"/>
      <c r="B29" s="257" t="s">
        <v>85</v>
      </c>
      <c r="C29" s="257"/>
      <c r="D29" s="255">
        <v>10</v>
      </c>
    </row>
    <row r="30" spans="1:4" x14ac:dyDescent="0.25">
      <c r="A30" s="303"/>
      <c r="B30" s="258" t="s">
        <v>90</v>
      </c>
      <c r="C30" s="258"/>
      <c r="D30" s="255"/>
    </row>
    <row r="31" spans="1:4" x14ac:dyDescent="0.25">
      <c r="A31" s="303"/>
      <c r="B31" s="257" t="s">
        <v>354</v>
      </c>
      <c r="C31" s="257"/>
      <c r="D31" s="255">
        <v>10</v>
      </c>
    </row>
    <row r="32" spans="1:4" x14ac:dyDescent="0.25">
      <c r="A32" s="303"/>
      <c r="B32" s="257" t="s">
        <v>92</v>
      </c>
      <c r="C32" s="257"/>
      <c r="D32" s="255">
        <v>8</v>
      </c>
    </row>
    <row r="33" spans="1:8" x14ac:dyDescent="0.25">
      <c r="A33" s="303"/>
      <c r="B33" s="257" t="s">
        <v>93</v>
      </c>
      <c r="C33" s="257"/>
      <c r="D33" s="255">
        <v>8</v>
      </c>
    </row>
    <row r="34" spans="1:8" x14ac:dyDescent="0.25">
      <c r="A34" s="303"/>
      <c r="B34" s="257" t="s">
        <v>94</v>
      </c>
      <c r="C34" s="257"/>
      <c r="D34" s="255">
        <v>7</v>
      </c>
    </row>
    <row r="35" spans="1:8" x14ac:dyDescent="0.25">
      <c r="A35" s="303"/>
      <c r="B35" s="257" t="s">
        <v>95</v>
      </c>
      <c r="C35" s="257"/>
      <c r="D35" s="255">
        <v>3</v>
      </c>
    </row>
    <row r="36" spans="1:8" x14ac:dyDescent="0.25">
      <c r="A36" s="303"/>
      <c r="B36" s="256" t="s">
        <v>96</v>
      </c>
      <c r="C36" s="256"/>
      <c r="D36" s="255"/>
    </row>
    <row r="37" spans="1:8" x14ac:dyDescent="0.25">
      <c r="A37" s="303"/>
      <c r="B37" s="257" t="s">
        <v>342</v>
      </c>
      <c r="C37" s="257"/>
      <c r="D37" s="255">
        <v>10</v>
      </c>
    </row>
    <row r="38" spans="1:8" x14ac:dyDescent="0.25">
      <c r="A38" s="303"/>
      <c r="B38" s="257" t="s">
        <v>343</v>
      </c>
      <c r="C38" s="257"/>
      <c r="D38" s="255">
        <v>0</v>
      </c>
    </row>
    <row r="39" spans="1:8" x14ac:dyDescent="0.25">
      <c r="A39" s="303"/>
      <c r="B39" s="259" t="s">
        <v>97</v>
      </c>
      <c r="C39" s="259"/>
      <c r="D39" s="255" t="s">
        <v>7</v>
      </c>
    </row>
    <row r="40" spans="1:8" x14ac:dyDescent="0.25">
      <c r="A40" s="303"/>
      <c r="B40" s="259" t="s">
        <v>98</v>
      </c>
      <c r="C40" s="259"/>
      <c r="D40" s="255" t="s">
        <v>7</v>
      </c>
    </row>
    <row r="41" spans="1:8" x14ac:dyDescent="0.25">
      <c r="A41" s="303"/>
      <c r="B41" s="259" t="s">
        <v>99</v>
      </c>
      <c r="C41" s="259"/>
      <c r="D41" s="255" t="s">
        <v>7</v>
      </c>
    </row>
    <row r="42" spans="1:8" x14ac:dyDescent="0.25">
      <c r="A42" s="304"/>
      <c r="B42" s="260" t="s">
        <v>503</v>
      </c>
      <c r="C42" s="256"/>
      <c r="D42" s="255" t="s">
        <v>7</v>
      </c>
    </row>
    <row r="43" spans="1:8" ht="15.75" customHeight="1" x14ac:dyDescent="0.25">
      <c r="A43" s="305" t="s">
        <v>507</v>
      </c>
      <c r="B43" s="57" t="s">
        <v>17</v>
      </c>
      <c r="C43" s="57"/>
      <c r="D43" s="252"/>
      <c r="F43" s="242" t="s">
        <v>501</v>
      </c>
      <c r="G43" s="242"/>
      <c r="H43" s="242"/>
    </row>
    <row r="44" spans="1:8" ht="15.75" customHeight="1" x14ac:dyDescent="0.25">
      <c r="A44" s="306"/>
      <c r="B44" s="58" t="s">
        <v>383</v>
      </c>
      <c r="C44" s="58"/>
      <c r="D44" s="252">
        <v>10</v>
      </c>
      <c r="F44" s="244">
        <v>0</v>
      </c>
      <c r="G44" s="241">
        <v>50000</v>
      </c>
      <c r="H44" s="241">
        <v>10</v>
      </c>
    </row>
    <row r="45" spans="1:8" ht="15.75" customHeight="1" x14ac:dyDescent="0.25">
      <c r="A45" s="306"/>
      <c r="B45" s="58" t="s">
        <v>343</v>
      </c>
      <c r="C45" s="58"/>
      <c r="D45" s="252">
        <v>0</v>
      </c>
      <c r="F45" s="244">
        <v>50001</v>
      </c>
      <c r="G45" s="241">
        <v>100000</v>
      </c>
      <c r="H45" s="241">
        <v>8</v>
      </c>
    </row>
    <row r="46" spans="1:8" ht="15.75" customHeight="1" x14ac:dyDescent="0.25">
      <c r="A46" s="306"/>
      <c r="B46" s="251" t="s">
        <v>399</v>
      </c>
      <c r="C46" s="251"/>
      <c r="D46" s="252" t="s">
        <v>7</v>
      </c>
      <c r="F46" s="244">
        <v>100001</v>
      </c>
      <c r="G46" s="241">
        <v>150000</v>
      </c>
      <c r="H46" s="241">
        <v>6</v>
      </c>
    </row>
    <row r="47" spans="1:8" ht="15.75" customHeight="1" x14ac:dyDescent="0.25">
      <c r="A47" s="306"/>
      <c r="B47" s="57" t="s">
        <v>398</v>
      </c>
      <c r="C47" s="57"/>
      <c r="D47" s="252"/>
      <c r="F47" s="244">
        <v>150001</v>
      </c>
      <c r="G47" s="241">
        <v>200000</v>
      </c>
      <c r="H47" s="241">
        <v>4</v>
      </c>
    </row>
    <row r="48" spans="1:8" ht="15.75" customHeight="1" x14ac:dyDescent="0.25">
      <c r="A48" s="306"/>
      <c r="B48" s="58">
        <v>21</v>
      </c>
      <c r="C48" s="58">
        <v>25</v>
      </c>
      <c r="D48" s="252">
        <v>10</v>
      </c>
      <c r="F48" s="244">
        <v>200001</v>
      </c>
      <c r="G48" s="241">
        <v>250000</v>
      </c>
      <c r="H48" s="241">
        <v>2</v>
      </c>
    </row>
    <row r="49" spans="1:8" ht="15.75" customHeight="1" x14ac:dyDescent="0.25">
      <c r="A49" s="306"/>
      <c r="B49" s="58">
        <v>26</v>
      </c>
      <c r="C49" s="58">
        <v>30</v>
      </c>
      <c r="D49" s="252">
        <v>8</v>
      </c>
    </row>
    <row r="50" spans="1:8" ht="15.75" customHeight="1" x14ac:dyDescent="0.25">
      <c r="A50" s="306"/>
      <c r="B50" s="58">
        <v>31</v>
      </c>
      <c r="C50" s="58">
        <v>35</v>
      </c>
      <c r="D50" s="252">
        <v>6</v>
      </c>
      <c r="F50" s="245" t="s">
        <v>499</v>
      </c>
      <c r="G50" s="242"/>
      <c r="H50" s="242"/>
    </row>
    <row r="51" spans="1:8" ht="15.75" customHeight="1" x14ac:dyDescent="0.25">
      <c r="A51" s="306"/>
      <c r="B51" s="58">
        <v>36</v>
      </c>
      <c r="C51" s="58">
        <v>45</v>
      </c>
      <c r="D51" s="252">
        <v>4</v>
      </c>
      <c r="F51" s="244">
        <v>0</v>
      </c>
      <c r="G51" s="241">
        <v>2500</v>
      </c>
      <c r="H51" s="241">
        <v>10</v>
      </c>
    </row>
    <row r="52" spans="1:8" ht="15.75" customHeight="1" x14ac:dyDescent="0.25">
      <c r="A52" s="306"/>
      <c r="B52" s="58">
        <v>46</v>
      </c>
      <c r="C52" s="58">
        <v>60</v>
      </c>
      <c r="D52" s="252">
        <v>2</v>
      </c>
      <c r="F52" s="244">
        <v>2501</v>
      </c>
      <c r="G52" s="241">
        <v>5000</v>
      </c>
      <c r="H52" s="241">
        <v>8</v>
      </c>
    </row>
    <row r="53" spans="1:8" ht="15.75" customHeight="1" x14ac:dyDescent="0.25">
      <c r="A53" s="306"/>
      <c r="B53" s="58"/>
      <c r="C53" s="58"/>
      <c r="D53" s="252"/>
      <c r="F53" s="244">
        <v>5001</v>
      </c>
      <c r="G53" s="241">
        <v>7500</v>
      </c>
      <c r="H53" s="241">
        <v>6</v>
      </c>
    </row>
    <row r="54" spans="1:8" ht="15.75" customHeight="1" x14ac:dyDescent="0.25">
      <c r="A54" s="306"/>
      <c r="B54" s="57" t="s">
        <v>397</v>
      </c>
      <c r="C54" s="57"/>
      <c r="D54" s="252" t="s">
        <v>7</v>
      </c>
      <c r="F54" s="244">
        <v>7501</v>
      </c>
      <c r="G54" s="241">
        <v>10000</v>
      </c>
      <c r="H54" s="241">
        <v>4</v>
      </c>
    </row>
    <row r="55" spans="1:8" ht="15.75" customHeight="1" x14ac:dyDescent="0.25">
      <c r="A55" s="306"/>
      <c r="B55" s="58" t="s">
        <v>342</v>
      </c>
      <c r="C55" s="58"/>
      <c r="D55" s="252" t="s">
        <v>7</v>
      </c>
      <c r="F55" s="244">
        <v>10001</v>
      </c>
      <c r="G55" s="241">
        <v>12500</v>
      </c>
      <c r="H55" s="241">
        <v>2</v>
      </c>
    </row>
    <row r="56" spans="1:8" ht="15.75" customHeight="1" x14ac:dyDescent="0.25">
      <c r="A56" s="306"/>
      <c r="B56" s="58" t="s">
        <v>343</v>
      </c>
      <c r="C56" s="58"/>
      <c r="D56" s="252" t="s">
        <v>7</v>
      </c>
      <c r="F56" s="243">
        <v>12501</v>
      </c>
      <c r="G56" s="243">
        <v>15000</v>
      </c>
      <c r="H56" s="243">
        <v>1</v>
      </c>
    </row>
    <row r="57" spans="1:8" x14ac:dyDescent="0.25">
      <c r="A57" s="306"/>
      <c r="B57" s="57" t="s">
        <v>396</v>
      </c>
      <c r="C57" s="57"/>
      <c r="D57" s="252" t="s">
        <v>7</v>
      </c>
    </row>
    <row r="58" spans="1:8" x14ac:dyDescent="0.25">
      <c r="A58" s="306"/>
      <c r="B58" s="58" t="s">
        <v>342</v>
      </c>
      <c r="C58" s="58"/>
      <c r="D58" s="252" t="s">
        <v>7</v>
      </c>
      <c r="F58" s="245" t="s">
        <v>504</v>
      </c>
      <c r="G58" s="242"/>
      <c r="H58" s="242"/>
    </row>
    <row r="59" spans="1:8" x14ac:dyDescent="0.25">
      <c r="A59" s="306"/>
      <c r="B59" s="58" t="s">
        <v>343</v>
      </c>
      <c r="C59" s="58"/>
      <c r="D59" s="252" t="s">
        <v>7</v>
      </c>
      <c r="F59" s="243">
        <v>0</v>
      </c>
      <c r="G59" s="243">
        <v>6</v>
      </c>
      <c r="H59" s="243">
        <v>10</v>
      </c>
    </row>
    <row r="60" spans="1:8" x14ac:dyDescent="0.25">
      <c r="A60" s="306"/>
      <c r="B60" s="57" t="s">
        <v>395</v>
      </c>
      <c r="C60" s="57"/>
      <c r="D60" s="252"/>
      <c r="F60" s="243">
        <v>7</v>
      </c>
      <c r="G60" s="243">
        <v>12</v>
      </c>
      <c r="H60" s="243">
        <v>8</v>
      </c>
    </row>
    <row r="61" spans="1:8" x14ac:dyDescent="0.25">
      <c r="A61" s="306"/>
      <c r="B61" s="58" t="s">
        <v>342</v>
      </c>
      <c r="C61" s="58"/>
      <c r="D61" s="252">
        <v>10</v>
      </c>
      <c r="F61" s="243">
        <v>13</v>
      </c>
      <c r="G61" s="243">
        <v>18</v>
      </c>
      <c r="H61" s="243">
        <v>6</v>
      </c>
    </row>
    <row r="62" spans="1:8" x14ac:dyDescent="0.25">
      <c r="A62" s="306"/>
      <c r="B62" s="251" t="s">
        <v>394</v>
      </c>
      <c r="C62" s="251"/>
      <c r="D62" s="252" t="s">
        <v>7</v>
      </c>
      <c r="F62" s="243">
        <v>19</v>
      </c>
      <c r="G62" s="243">
        <v>24</v>
      </c>
      <c r="H62" s="243">
        <v>4</v>
      </c>
    </row>
    <row r="63" spans="1:8" x14ac:dyDescent="0.25">
      <c r="A63" s="306"/>
      <c r="B63" s="58" t="s">
        <v>343</v>
      </c>
      <c r="C63" s="58"/>
      <c r="D63" s="252">
        <v>0</v>
      </c>
      <c r="F63" s="243">
        <v>25</v>
      </c>
      <c r="G63" s="243">
        <v>30</v>
      </c>
      <c r="H63" s="243">
        <v>2</v>
      </c>
    </row>
    <row r="64" spans="1:8" x14ac:dyDescent="0.25">
      <c r="A64" s="306"/>
      <c r="B64" s="57" t="s">
        <v>24</v>
      </c>
      <c r="C64" s="57"/>
      <c r="D64" s="252"/>
    </row>
    <row r="65" spans="1:5" x14ac:dyDescent="0.25">
      <c r="A65" s="306"/>
      <c r="B65" s="58" t="s">
        <v>349</v>
      </c>
      <c r="C65" s="58"/>
      <c r="D65" s="252">
        <v>1</v>
      </c>
      <c r="E65" s="109" t="s">
        <v>388</v>
      </c>
    </row>
    <row r="66" spans="1:5" ht="25.5" x14ac:dyDescent="0.25">
      <c r="A66" s="306"/>
      <c r="B66" s="58" t="s">
        <v>350</v>
      </c>
      <c r="C66" s="58"/>
      <c r="D66" s="252">
        <v>2</v>
      </c>
      <c r="E66" s="109" t="s">
        <v>389</v>
      </c>
    </row>
    <row r="67" spans="1:5" x14ac:dyDescent="0.25">
      <c r="A67" s="306"/>
      <c r="B67" s="58" t="s">
        <v>384</v>
      </c>
      <c r="C67" s="58"/>
      <c r="D67" s="252">
        <v>4</v>
      </c>
    </row>
    <row r="68" spans="1:5" x14ac:dyDescent="0.25">
      <c r="A68" s="306"/>
      <c r="B68" s="58" t="s">
        <v>385</v>
      </c>
      <c r="C68" s="58"/>
      <c r="D68" s="252">
        <v>4</v>
      </c>
    </row>
    <row r="69" spans="1:5" x14ac:dyDescent="0.25">
      <c r="A69" s="306"/>
      <c r="B69" s="58" t="s">
        <v>386</v>
      </c>
      <c r="C69" s="58"/>
      <c r="D69" s="252">
        <v>4</v>
      </c>
    </row>
    <row r="70" spans="1:5" x14ac:dyDescent="0.25">
      <c r="A70" s="306"/>
      <c r="B70" s="58" t="s">
        <v>387</v>
      </c>
      <c r="C70" s="58"/>
      <c r="D70" s="252">
        <v>4</v>
      </c>
    </row>
    <row r="71" spans="1:5" x14ac:dyDescent="0.25">
      <c r="A71" s="306"/>
      <c r="B71" s="58" t="s">
        <v>390</v>
      </c>
      <c r="C71" s="58"/>
      <c r="D71" s="252">
        <v>3</v>
      </c>
    </row>
    <row r="72" spans="1:5" x14ac:dyDescent="0.25">
      <c r="A72" s="306"/>
      <c r="B72" s="58" t="s">
        <v>351</v>
      </c>
      <c r="C72" s="58"/>
      <c r="D72" s="252">
        <v>3</v>
      </c>
    </row>
    <row r="73" spans="1:5" x14ac:dyDescent="0.25">
      <c r="A73" s="306"/>
      <c r="B73" s="261" t="s">
        <v>400</v>
      </c>
      <c r="C73" s="58"/>
      <c r="D73" s="252"/>
    </row>
    <row r="74" spans="1:5" x14ac:dyDescent="0.25">
      <c r="A74" s="306"/>
      <c r="B74" s="58">
        <v>500</v>
      </c>
      <c r="C74" s="58">
        <v>1000</v>
      </c>
      <c r="D74" s="252">
        <v>2</v>
      </c>
    </row>
    <row r="75" spans="1:5" x14ac:dyDescent="0.25">
      <c r="A75" s="306"/>
      <c r="B75" s="58">
        <v>1001</v>
      </c>
      <c r="C75" s="58">
        <v>1500</v>
      </c>
      <c r="D75" s="252">
        <v>4</v>
      </c>
    </row>
    <row r="76" spans="1:5" x14ac:dyDescent="0.25">
      <c r="A76" s="306"/>
      <c r="B76" s="58">
        <v>1501</v>
      </c>
      <c r="C76" s="58">
        <v>2000</v>
      </c>
      <c r="D76" s="252">
        <v>6</v>
      </c>
    </row>
    <row r="77" spans="1:5" x14ac:dyDescent="0.25">
      <c r="A77" s="306"/>
      <c r="B77" s="58">
        <v>2001</v>
      </c>
      <c r="C77" s="58">
        <v>3000</v>
      </c>
      <c r="D77" s="252">
        <v>8</v>
      </c>
    </row>
    <row r="78" spans="1:5" x14ac:dyDescent="0.25">
      <c r="A78" s="306"/>
      <c r="B78" s="58">
        <v>3001</v>
      </c>
      <c r="C78" s="58">
        <v>5000</v>
      </c>
      <c r="D78" s="252">
        <v>10</v>
      </c>
    </row>
    <row r="79" spans="1:5" x14ac:dyDescent="0.25">
      <c r="A79" s="306"/>
      <c r="B79" s="47"/>
      <c r="C79" s="47"/>
      <c r="D79" s="118"/>
    </row>
    <row r="80" spans="1:5" x14ac:dyDescent="0.25">
      <c r="A80" s="306"/>
      <c r="B80" s="57" t="s">
        <v>391</v>
      </c>
      <c r="C80" s="57"/>
      <c r="D80" s="252"/>
    </row>
    <row r="81" spans="1:4" x14ac:dyDescent="0.25">
      <c r="A81" s="306"/>
      <c r="B81" s="58" t="s">
        <v>342</v>
      </c>
      <c r="C81" s="58"/>
      <c r="D81" s="252">
        <v>0</v>
      </c>
    </row>
    <row r="82" spans="1:4" x14ac:dyDescent="0.25">
      <c r="A82" s="306"/>
      <c r="B82" s="251" t="s">
        <v>401</v>
      </c>
      <c r="C82" s="251"/>
      <c r="D82" s="252" t="s">
        <v>7</v>
      </c>
    </row>
    <row r="83" spans="1:4" x14ac:dyDescent="0.25">
      <c r="A83" s="306"/>
      <c r="B83" s="58" t="s">
        <v>343</v>
      </c>
      <c r="C83" s="58"/>
      <c r="D83" s="252">
        <v>0</v>
      </c>
    </row>
    <row r="84" spans="1:4" x14ac:dyDescent="0.25">
      <c r="A84" s="306"/>
      <c r="B84" s="57" t="s">
        <v>392</v>
      </c>
      <c r="C84" s="57"/>
      <c r="D84" s="252" t="s">
        <v>7</v>
      </c>
    </row>
    <row r="85" spans="1:4" x14ac:dyDescent="0.25">
      <c r="A85" s="306"/>
      <c r="B85" s="262"/>
      <c r="C85" s="262"/>
      <c r="D85" s="252" t="s">
        <v>7</v>
      </c>
    </row>
    <row r="86" spans="1:4" x14ac:dyDescent="0.25">
      <c r="A86" s="306"/>
      <c r="B86" s="263"/>
      <c r="C86" s="263"/>
      <c r="D86" s="252" t="s">
        <v>7</v>
      </c>
    </row>
    <row r="87" spans="1:4" x14ac:dyDescent="0.25">
      <c r="A87" s="306"/>
      <c r="B87" s="263"/>
      <c r="C87" s="263"/>
      <c r="D87" s="252" t="s">
        <v>7</v>
      </c>
    </row>
    <row r="88" spans="1:4" x14ac:dyDescent="0.25">
      <c r="A88" s="306"/>
      <c r="B88" s="263"/>
      <c r="C88" s="263"/>
      <c r="D88" s="252" t="s">
        <v>7</v>
      </c>
    </row>
    <row r="89" spans="1:4" x14ac:dyDescent="0.25">
      <c r="A89" s="306"/>
      <c r="B89" s="263"/>
      <c r="C89" s="263"/>
      <c r="D89" s="252" t="s">
        <v>7</v>
      </c>
    </row>
    <row r="90" spans="1:4" x14ac:dyDescent="0.25">
      <c r="A90" s="306"/>
      <c r="B90" s="58" t="s">
        <v>405</v>
      </c>
      <c r="C90" s="58"/>
      <c r="D90" s="252" t="s">
        <v>7</v>
      </c>
    </row>
    <row r="91" spans="1:4" x14ac:dyDescent="0.25">
      <c r="A91" s="306"/>
      <c r="B91" s="58" t="s">
        <v>406</v>
      </c>
      <c r="C91" s="58"/>
      <c r="D91" s="252" t="s">
        <v>7</v>
      </c>
    </row>
    <row r="92" spans="1:4" x14ac:dyDescent="0.25">
      <c r="A92" s="306"/>
      <c r="B92" s="58" t="s">
        <v>407</v>
      </c>
      <c r="C92" s="58"/>
      <c r="D92" s="252" t="s">
        <v>7</v>
      </c>
    </row>
    <row r="93" spans="1:4" x14ac:dyDescent="0.25">
      <c r="A93" s="306"/>
      <c r="B93" s="264" t="s">
        <v>423</v>
      </c>
      <c r="C93" s="58"/>
      <c r="D93" s="252"/>
    </row>
    <row r="94" spans="1:4" x14ac:dyDescent="0.25">
      <c r="A94" s="306"/>
      <c r="B94" s="265" t="s">
        <v>424</v>
      </c>
      <c r="C94" s="58"/>
      <c r="D94" s="252"/>
    </row>
    <row r="95" spans="1:4" ht="25.5" x14ac:dyDescent="0.25">
      <c r="A95" s="113" t="s">
        <v>393</v>
      </c>
      <c r="B95" s="110" t="s">
        <v>416</v>
      </c>
      <c r="C95" s="47"/>
      <c r="D95" s="118"/>
    </row>
    <row r="96" spans="1:4" x14ac:dyDescent="0.25">
      <c r="A96" s="113"/>
      <c r="B96" s="47">
        <v>500</v>
      </c>
      <c r="C96" s="47">
        <v>2500</v>
      </c>
      <c r="D96" s="118">
        <v>2</v>
      </c>
    </row>
    <row r="97" spans="1:4" x14ac:dyDescent="0.25">
      <c r="A97" s="113"/>
      <c r="B97" s="47">
        <v>2501</v>
      </c>
      <c r="C97" s="47">
        <v>5000</v>
      </c>
      <c r="D97" s="118">
        <v>3</v>
      </c>
    </row>
    <row r="98" spans="1:4" x14ac:dyDescent="0.25">
      <c r="A98" s="113"/>
      <c r="B98" s="47">
        <v>5001</v>
      </c>
      <c r="C98" s="47">
        <v>10000</v>
      </c>
      <c r="D98" s="118">
        <v>4</v>
      </c>
    </row>
    <row r="99" spans="1:4" x14ac:dyDescent="0.25">
      <c r="A99" s="113"/>
      <c r="B99" s="47">
        <v>10001</v>
      </c>
      <c r="C99" s="47">
        <v>25000</v>
      </c>
      <c r="D99" s="118">
        <v>5</v>
      </c>
    </row>
    <row r="100" spans="1:4" x14ac:dyDescent="0.25">
      <c r="A100" s="113"/>
      <c r="B100" s="47">
        <v>25001</v>
      </c>
      <c r="C100" s="47">
        <v>50000</v>
      </c>
      <c r="D100" s="118">
        <v>6</v>
      </c>
    </row>
    <row r="101" spans="1:4" x14ac:dyDescent="0.25">
      <c r="A101" s="113"/>
      <c r="B101" s="47">
        <v>50001</v>
      </c>
      <c r="C101" s="47">
        <v>100000</v>
      </c>
      <c r="D101" s="118">
        <v>7</v>
      </c>
    </row>
    <row r="102" spans="1:4" x14ac:dyDescent="0.25">
      <c r="A102" s="113"/>
      <c r="B102" s="47">
        <v>100001</v>
      </c>
      <c r="C102" s="47">
        <v>200000</v>
      </c>
      <c r="D102" s="118">
        <v>8</v>
      </c>
    </row>
    <row r="103" spans="1:4" x14ac:dyDescent="0.25">
      <c r="A103" s="113"/>
      <c r="B103" s="47">
        <v>200001</v>
      </c>
      <c r="C103" s="47">
        <v>3000000</v>
      </c>
      <c r="D103" s="118">
        <v>10</v>
      </c>
    </row>
    <row r="104" spans="1:4" x14ac:dyDescent="0.25">
      <c r="A104" s="113"/>
      <c r="B104" s="110" t="s">
        <v>419</v>
      </c>
      <c r="C104" s="47"/>
      <c r="D104" s="118"/>
    </row>
    <row r="105" spans="1:4" x14ac:dyDescent="0.25">
      <c r="A105" s="297" t="s">
        <v>508</v>
      </c>
      <c r="B105" s="266" t="s">
        <v>79</v>
      </c>
      <c r="C105" s="267"/>
      <c r="D105" s="252"/>
    </row>
    <row r="106" spans="1:4" x14ac:dyDescent="0.25">
      <c r="A106" s="297"/>
      <c r="B106" s="57" t="s">
        <v>80</v>
      </c>
      <c r="C106" s="57"/>
      <c r="D106" s="252"/>
    </row>
    <row r="107" spans="1:4" x14ac:dyDescent="0.25">
      <c r="A107" s="297"/>
      <c r="B107" s="58" t="s">
        <v>81</v>
      </c>
      <c r="C107" s="58"/>
      <c r="D107" s="252">
        <v>2</v>
      </c>
    </row>
    <row r="108" spans="1:4" x14ac:dyDescent="0.25">
      <c r="A108" s="297"/>
      <c r="B108" s="58" t="s">
        <v>82</v>
      </c>
      <c r="C108" s="58"/>
      <c r="D108" s="252">
        <v>4</v>
      </c>
    </row>
    <row r="109" spans="1:4" x14ac:dyDescent="0.25">
      <c r="A109" s="297"/>
      <c r="B109" s="58" t="s">
        <v>83</v>
      </c>
      <c r="C109" s="58"/>
      <c r="D109" s="252">
        <v>6</v>
      </c>
    </row>
    <row r="110" spans="1:4" x14ac:dyDescent="0.25">
      <c r="A110" s="297"/>
      <c r="B110" s="58" t="s">
        <v>84</v>
      </c>
      <c r="C110" s="58"/>
      <c r="D110" s="252">
        <v>8</v>
      </c>
    </row>
    <row r="111" spans="1:4" x14ac:dyDescent="0.25">
      <c r="A111" s="297"/>
      <c r="B111" s="58" t="s">
        <v>85</v>
      </c>
      <c r="C111" s="58"/>
      <c r="D111" s="252">
        <v>10</v>
      </c>
    </row>
    <row r="112" spans="1:4" x14ac:dyDescent="0.25">
      <c r="A112" s="297"/>
      <c r="B112" s="268" t="s">
        <v>90</v>
      </c>
      <c r="C112" s="268"/>
      <c r="D112" s="252"/>
    </row>
    <row r="113" spans="1:4" x14ac:dyDescent="0.25">
      <c r="A113" s="297"/>
      <c r="B113" s="58" t="s">
        <v>354</v>
      </c>
      <c r="C113" s="58"/>
      <c r="D113" s="252">
        <v>10</v>
      </c>
    </row>
    <row r="114" spans="1:4" x14ac:dyDescent="0.25">
      <c r="A114" s="297"/>
      <c r="B114" s="58" t="s">
        <v>92</v>
      </c>
      <c r="C114" s="58"/>
      <c r="D114" s="252">
        <v>8</v>
      </c>
    </row>
    <row r="115" spans="1:4" x14ac:dyDescent="0.25">
      <c r="A115" s="297"/>
      <c r="B115" s="58" t="s">
        <v>93</v>
      </c>
      <c r="C115" s="58"/>
      <c r="D115" s="252">
        <v>8</v>
      </c>
    </row>
    <row r="116" spans="1:4" x14ac:dyDescent="0.25">
      <c r="A116" s="297"/>
      <c r="B116" s="58" t="s">
        <v>94</v>
      </c>
      <c r="C116" s="58"/>
      <c r="D116" s="252">
        <v>7</v>
      </c>
    </row>
    <row r="117" spans="1:4" x14ac:dyDescent="0.25">
      <c r="A117" s="297"/>
      <c r="B117" s="58" t="s">
        <v>95</v>
      </c>
      <c r="C117" s="58"/>
      <c r="D117" s="252">
        <v>3</v>
      </c>
    </row>
    <row r="118" spans="1:4" x14ac:dyDescent="0.25">
      <c r="A118" s="297"/>
      <c r="B118" s="57" t="s">
        <v>96</v>
      </c>
      <c r="C118" s="57"/>
      <c r="D118" s="252"/>
    </row>
    <row r="119" spans="1:4" x14ac:dyDescent="0.25">
      <c r="A119" s="297"/>
      <c r="B119" s="58" t="s">
        <v>342</v>
      </c>
      <c r="C119" s="58"/>
      <c r="D119" s="252">
        <v>10</v>
      </c>
    </row>
    <row r="120" spans="1:4" x14ac:dyDescent="0.25">
      <c r="A120" s="297"/>
      <c r="B120" s="58" t="s">
        <v>343</v>
      </c>
      <c r="C120" s="58"/>
      <c r="D120" s="252">
        <v>0</v>
      </c>
    </row>
    <row r="121" spans="1:4" x14ac:dyDescent="0.25">
      <c r="A121" s="297"/>
      <c r="B121" s="251" t="s">
        <v>97</v>
      </c>
      <c r="C121" s="251"/>
      <c r="D121" s="252" t="s">
        <v>7</v>
      </c>
    </row>
    <row r="122" spans="1:4" x14ac:dyDescent="0.25">
      <c r="A122" s="297"/>
      <c r="B122" s="251" t="s">
        <v>98</v>
      </c>
      <c r="C122" s="251"/>
      <c r="D122" s="252" t="s">
        <v>7</v>
      </c>
    </row>
    <row r="123" spans="1:4" x14ac:dyDescent="0.25">
      <c r="A123" s="297"/>
      <c r="B123" s="251" t="s">
        <v>99</v>
      </c>
      <c r="C123" s="251"/>
      <c r="D123" s="252" t="s">
        <v>7</v>
      </c>
    </row>
    <row r="124" spans="1:4" x14ac:dyDescent="0.25">
      <c r="A124" s="297"/>
      <c r="B124" s="58"/>
      <c r="C124" s="58"/>
      <c r="D124" s="252"/>
    </row>
    <row r="125" spans="1:4" x14ac:dyDescent="0.25">
      <c r="A125" s="113"/>
      <c r="B125" s="48" t="s">
        <v>402</v>
      </c>
      <c r="C125" s="48"/>
      <c r="D125" s="118"/>
    </row>
    <row r="126" spans="1:4" x14ac:dyDescent="0.25">
      <c r="A126" s="113"/>
      <c r="B126" s="47" t="s">
        <v>342</v>
      </c>
      <c r="C126" s="47"/>
      <c r="D126" s="118"/>
    </row>
    <row r="127" spans="1:4" x14ac:dyDescent="0.25">
      <c r="A127" s="113"/>
      <c r="B127" s="47" t="s">
        <v>343</v>
      </c>
      <c r="C127" s="47"/>
      <c r="D127" s="118"/>
    </row>
    <row r="128" spans="1:4" x14ac:dyDescent="0.25">
      <c r="A128" s="113"/>
      <c r="B128" s="112" t="s">
        <v>414</v>
      </c>
      <c r="C128" s="100"/>
      <c r="D128" s="118"/>
    </row>
    <row r="129" spans="1:5" x14ac:dyDescent="0.25">
      <c r="A129" s="113"/>
      <c r="B129" s="100" t="s">
        <v>485</v>
      </c>
      <c r="C129" s="100"/>
      <c r="D129" s="118"/>
    </row>
    <row r="130" spans="1:5" x14ac:dyDescent="0.25">
      <c r="A130" s="113"/>
      <c r="B130" s="100" t="s">
        <v>521</v>
      </c>
      <c r="C130" s="100"/>
      <c r="D130" s="118"/>
    </row>
    <row r="131" spans="1:5" x14ac:dyDescent="0.25">
      <c r="A131" s="113"/>
      <c r="B131" s="100" t="s">
        <v>406</v>
      </c>
      <c r="C131" s="100"/>
      <c r="D131" s="118"/>
    </row>
    <row r="132" spans="1:5" x14ac:dyDescent="0.25">
      <c r="A132" s="113"/>
      <c r="B132" s="100" t="s">
        <v>404</v>
      </c>
      <c r="C132" s="100"/>
      <c r="D132" s="118"/>
    </row>
    <row r="133" spans="1:5" x14ac:dyDescent="0.25">
      <c r="A133" s="113"/>
      <c r="B133" s="100" t="s">
        <v>403</v>
      </c>
      <c r="C133" s="100"/>
      <c r="D133" s="118"/>
    </row>
    <row r="134" spans="1:5" x14ac:dyDescent="0.25">
      <c r="A134" s="113"/>
      <c r="B134" s="100" t="s">
        <v>408</v>
      </c>
      <c r="C134" s="100"/>
      <c r="D134" s="118"/>
    </row>
    <row r="135" spans="1:5" x14ac:dyDescent="0.25">
      <c r="A135" s="113"/>
      <c r="B135" s="100" t="s">
        <v>409</v>
      </c>
      <c r="C135" s="100"/>
      <c r="D135" s="118"/>
    </row>
    <row r="136" spans="1:5" x14ac:dyDescent="0.25">
      <c r="A136" s="113"/>
      <c r="B136" s="100" t="s">
        <v>410</v>
      </c>
      <c r="C136" s="100"/>
      <c r="D136" s="118"/>
    </row>
    <row r="137" spans="1:5" x14ac:dyDescent="0.25">
      <c r="A137" s="113"/>
      <c r="B137" s="100" t="s">
        <v>522</v>
      </c>
      <c r="C137" s="100"/>
      <c r="D137" s="118"/>
    </row>
    <row r="138" spans="1:5" x14ac:dyDescent="0.25">
      <c r="A138" s="113"/>
      <c r="B138" s="100" t="s">
        <v>411</v>
      </c>
      <c r="C138" s="100"/>
      <c r="D138" s="118"/>
    </row>
    <row r="139" spans="1:5" x14ac:dyDescent="0.25">
      <c r="A139" s="113"/>
      <c r="B139" s="100" t="s">
        <v>412</v>
      </c>
      <c r="C139" s="100"/>
      <c r="D139" s="118"/>
    </row>
    <row r="140" spans="1:5" x14ac:dyDescent="0.25">
      <c r="A140" s="113"/>
      <c r="B140" s="100" t="s">
        <v>346</v>
      </c>
      <c r="C140" s="100"/>
      <c r="D140" s="118"/>
    </row>
    <row r="141" spans="1:5" x14ac:dyDescent="0.25">
      <c r="A141" s="113"/>
      <c r="B141" s="100" t="s">
        <v>351</v>
      </c>
      <c r="C141" s="100"/>
      <c r="D141" s="118"/>
    </row>
    <row r="142" spans="1:5" x14ac:dyDescent="0.25">
      <c r="A142" s="113"/>
      <c r="B142" s="100" t="s">
        <v>413</v>
      </c>
      <c r="C142" s="100"/>
      <c r="D142" s="118"/>
    </row>
    <row r="143" spans="1:5" x14ac:dyDescent="0.25">
      <c r="A143" s="113"/>
      <c r="B143" s="100" t="s">
        <v>415</v>
      </c>
      <c r="C143" s="100"/>
      <c r="D143" s="118"/>
    </row>
    <row r="144" spans="1:5" x14ac:dyDescent="0.25">
      <c r="A144" s="113"/>
      <c r="B144" s="123">
        <v>5000</v>
      </c>
      <c r="C144" s="100">
        <v>10000</v>
      </c>
      <c r="D144" s="118">
        <v>8</v>
      </c>
      <c r="E144" s="301" t="s">
        <v>417</v>
      </c>
    </row>
    <row r="145" spans="1:5" x14ac:dyDescent="0.25">
      <c r="A145" s="113"/>
      <c r="B145" s="123">
        <v>10001</v>
      </c>
      <c r="C145" s="100">
        <v>25000</v>
      </c>
      <c r="D145" s="118">
        <v>6</v>
      </c>
      <c r="E145" s="301"/>
    </row>
    <row r="146" spans="1:5" x14ac:dyDescent="0.25">
      <c r="A146" s="113"/>
      <c r="B146" s="123">
        <v>25001</v>
      </c>
      <c r="C146" s="100">
        <v>50000</v>
      </c>
      <c r="D146" s="118">
        <v>4</v>
      </c>
      <c r="E146" s="301"/>
    </row>
    <row r="147" spans="1:5" x14ac:dyDescent="0.25">
      <c r="A147" s="113"/>
      <c r="B147" s="123">
        <v>50001</v>
      </c>
      <c r="C147" s="100">
        <v>100000</v>
      </c>
      <c r="D147" s="118">
        <v>2</v>
      </c>
      <c r="E147" s="301"/>
    </row>
    <row r="148" spans="1:5" x14ac:dyDescent="0.25">
      <c r="A148" s="113"/>
      <c r="B148" s="123">
        <v>100001</v>
      </c>
      <c r="C148" s="100">
        <v>200000</v>
      </c>
      <c r="D148" s="118">
        <v>1</v>
      </c>
      <c r="E148" s="301"/>
    </row>
    <row r="149" spans="1:5" x14ac:dyDescent="0.25">
      <c r="A149" s="113"/>
      <c r="B149" s="112" t="s">
        <v>421</v>
      </c>
      <c r="C149" s="100"/>
      <c r="D149" s="118"/>
    </row>
    <row r="150" spans="1:5" x14ac:dyDescent="0.25">
      <c r="A150" s="113"/>
      <c r="B150" s="100" t="s">
        <v>422</v>
      </c>
      <c r="C150" s="100"/>
      <c r="D150" s="118"/>
    </row>
    <row r="151" spans="1:5" x14ac:dyDescent="0.25">
      <c r="A151" s="113"/>
      <c r="B151" s="102"/>
      <c r="C151" s="100"/>
      <c r="D151" s="118"/>
    </row>
    <row r="152" spans="1:5" x14ac:dyDescent="0.25">
      <c r="A152" s="113"/>
      <c r="B152" s="112" t="s">
        <v>432</v>
      </c>
      <c r="C152" s="100"/>
      <c r="D152" s="118"/>
    </row>
    <row r="153" spans="1:5" x14ac:dyDescent="0.25">
      <c r="A153" s="113"/>
      <c r="B153" s="102" t="s">
        <v>430</v>
      </c>
      <c r="C153" s="100"/>
      <c r="D153" s="118"/>
    </row>
    <row r="154" spans="1:5" x14ac:dyDescent="0.25">
      <c r="A154" s="113"/>
      <c r="B154" s="112" t="s">
        <v>425</v>
      </c>
      <c r="C154" s="100"/>
      <c r="D154" s="118"/>
    </row>
    <row r="155" spans="1:5" x14ac:dyDescent="0.25">
      <c r="A155" s="113"/>
      <c r="B155" s="123">
        <v>5000</v>
      </c>
      <c r="C155" s="100">
        <v>10000</v>
      </c>
      <c r="D155" s="118">
        <v>8</v>
      </c>
      <c r="E155" s="301" t="s">
        <v>431</v>
      </c>
    </row>
    <row r="156" spans="1:5" x14ac:dyDescent="0.25">
      <c r="A156" s="113"/>
      <c r="B156" s="123">
        <v>10001</v>
      </c>
      <c r="C156" s="100">
        <v>25000</v>
      </c>
      <c r="D156" s="118">
        <v>6</v>
      </c>
      <c r="E156" s="301"/>
    </row>
    <row r="157" spans="1:5" x14ac:dyDescent="0.25">
      <c r="A157" s="113"/>
      <c r="B157" s="123">
        <v>25001</v>
      </c>
      <c r="C157" s="100">
        <v>50000</v>
      </c>
      <c r="D157" s="118">
        <v>4</v>
      </c>
      <c r="E157" s="301"/>
    </row>
    <row r="158" spans="1:5" x14ac:dyDescent="0.25">
      <c r="A158" s="113"/>
      <c r="B158" s="123">
        <v>50001</v>
      </c>
      <c r="C158" s="100">
        <v>100000</v>
      </c>
      <c r="D158" s="118">
        <v>2</v>
      </c>
      <c r="E158" s="301"/>
    </row>
    <row r="159" spans="1:5" x14ac:dyDescent="0.25">
      <c r="A159" s="113"/>
      <c r="B159" s="123">
        <v>100001</v>
      </c>
      <c r="C159" s="100">
        <v>200000</v>
      </c>
      <c r="D159" s="118">
        <v>1</v>
      </c>
      <c r="E159" s="301"/>
    </row>
    <row r="160" spans="1:5" x14ac:dyDescent="0.25">
      <c r="A160" s="113"/>
      <c r="B160" s="102"/>
      <c r="C160" s="100"/>
      <c r="D160" s="118"/>
    </row>
    <row r="161" spans="1:4" x14ac:dyDescent="0.25">
      <c r="A161" s="113"/>
      <c r="B161" s="112" t="s">
        <v>429</v>
      </c>
      <c r="C161" s="100"/>
      <c r="D161" s="118"/>
    </row>
    <row r="162" spans="1:4" x14ac:dyDescent="0.25">
      <c r="A162" s="113"/>
      <c r="B162" s="112" t="s">
        <v>426</v>
      </c>
      <c r="C162" s="100"/>
      <c r="D162" s="118"/>
    </row>
    <row r="163" spans="1:4" x14ac:dyDescent="0.25">
      <c r="A163" s="113"/>
      <c r="B163" s="123">
        <v>0</v>
      </c>
      <c r="C163" s="100">
        <v>10000</v>
      </c>
      <c r="D163" s="118">
        <v>10</v>
      </c>
    </row>
    <row r="164" spans="1:4" x14ac:dyDescent="0.25">
      <c r="A164" s="113"/>
      <c r="B164" s="123">
        <v>10001</v>
      </c>
      <c r="C164" s="100">
        <v>25000</v>
      </c>
      <c r="D164" s="118">
        <v>8</v>
      </c>
    </row>
    <row r="165" spans="1:4" x14ac:dyDescent="0.25">
      <c r="A165" s="113"/>
      <c r="B165" s="123">
        <v>25001</v>
      </c>
      <c r="C165" s="100">
        <v>50000</v>
      </c>
      <c r="D165" s="118">
        <v>6</v>
      </c>
    </row>
    <row r="166" spans="1:4" x14ac:dyDescent="0.25">
      <c r="A166" s="113"/>
      <c r="B166" s="123">
        <v>50001</v>
      </c>
      <c r="C166" s="100">
        <v>100000</v>
      </c>
      <c r="D166" s="118">
        <v>4</v>
      </c>
    </row>
    <row r="167" spans="1:4" x14ac:dyDescent="0.25">
      <c r="A167" s="113"/>
      <c r="B167" s="123">
        <v>100001</v>
      </c>
      <c r="C167" s="100">
        <v>200000</v>
      </c>
      <c r="D167" s="118">
        <v>2</v>
      </c>
    </row>
    <row r="168" spans="1:4" x14ac:dyDescent="0.25">
      <c r="A168" s="113"/>
      <c r="B168" s="112"/>
      <c r="C168" s="100"/>
      <c r="D168" s="118"/>
    </row>
    <row r="169" spans="1:4" x14ac:dyDescent="0.25">
      <c r="A169" s="113"/>
      <c r="B169" s="112" t="s">
        <v>427</v>
      </c>
      <c r="C169" s="100"/>
      <c r="D169" s="118"/>
    </row>
    <row r="170" spans="1:4" x14ac:dyDescent="0.25">
      <c r="A170" s="113"/>
      <c r="B170" s="100" t="s">
        <v>435</v>
      </c>
      <c r="C170" s="100"/>
      <c r="D170" s="118"/>
    </row>
    <row r="171" spans="1:4" x14ac:dyDescent="0.25">
      <c r="A171" s="92"/>
      <c r="B171" s="48" t="s">
        <v>100</v>
      </c>
      <c r="C171" s="48"/>
      <c r="D171" s="118"/>
    </row>
    <row r="172" spans="1:4" x14ac:dyDescent="0.25">
      <c r="A172" s="6"/>
      <c r="B172" s="47" t="s">
        <v>101</v>
      </c>
      <c r="C172" s="47"/>
      <c r="D172" s="118">
        <v>0</v>
      </c>
    </row>
    <row r="173" spans="1:4" x14ac:dyDescent="0.25">
      <c r="A173" s="6"/>
      <c r="B173" s="47" t="s">
        <v>102</v>
      </c>
      <c r="C173" s="47"/>
      <c r="D173" s="118">
        <v>0</v>
      </c>
    </row>
    <row r="174" spans="1:4" x14ac:dyDescent="0.25">
      <c r="A174" s="6"/>
      <c r="B174" s="100" t="s">
        <v>103</v>
      </c>
      <c r="C174" s="100"/>
      <c r="D174" s="118" t="s">
        <v>7</v>
      </c>
    </row>
    <row r="175" spans="1:4" x14ac:dyDescent="0.25">
      <c r="A175" s="6"/>
      <c r="B175" s="100" t="s">
        <v>104</v>
      </c>
      <c r="C175" s="100"/>
      <c r="D175" s="118" t="s">
        <v>7</v>
      </c>
    </row>
    <row r="176" spans="1:4" x14ac:dyDescent="0.25">
      <c r="A176" s="6"/>
      <c r="B176" s="100" t="s">
        <v>105</v>
      </c>
      <c r="C176" s="100"/>
      <c r="D176" s="118" t="s">
        <v>7</v>
      </c>
    </row>
    <row r="177" spans="1:4" x14ac:dyDescent="0.25">
      <c r="A177" s="6"/>
      <c r="B177" s="100" t="s">
        <v>106</v>
      </c>
      <c r="C177" s="100"/>
      <c r="D177" s="118" t="s">
        <v>7</v>
      </c>
    </row>
    <row r="178" spans="1:4" x14ac:dyDescent="0.25">
      <c r="A178" s="6"/>
      <c r="B178" s="100" t="s">
        <v>107</v>
      </c>
      <c r="C178" s="100"/>
      <c r="D178" s="118" t="s">
        <v>7</v>
      </c>
    </row>
    <row r="179" spans="1:4" x14ac:dyDescent="0.25">
      <c r="A179" s="6"/>
      <c r="B179" s="100" t="s">
        <v>356</v>
      </c>
      <c r="C179" s="100"/>
      <c r="D179" s="118"/>
    </row>
    <row r="180" spans="1:4" x14ac:dyDescent="0.25">
      <c r="A180" s="6"/>
      <c r="B180" s="100" t="s">
        <v>357</v>
      </c>
      <c r="C180" s="100"/>
      <c r="D180" s="118"/>
    </row>
    <row r="181" spans="1:4" x14ac:dyDescent="0.25">
      <c r="A181" s="6"/>
      <c r="B181" s="100" t="s">
        <v>358</v>
      </c>
      <c r="C181" s="100"/>
      <c r="D181" s="118"/>
    </row>
    <row r="182" spans="1:4" x14ac:dyDescent="0.25">
      <c r="A182" s="6"/>
      <c r="B182" s="100" t="s">
        <v>108</v>
      </c>
      <c r="C182" s="100"/>
      <c r="D182" s="118" t="s">
        <v>7</v>
      </c>
    </row>
    <row r="183" spans="1:4" x14ac:dyDescent="0.25">
      <c r="A183" s="6"/>
      <c r="B183" s="100" t="s">
        <v>109</v>
      </c>
      <c r="C183" s="100"/>
      <c r="D183" s="118"/>
    </row>
    <row r="184" spans="1:4" x14ac:dyDescent="0.25">
      <c r="A184" s="6"/>
      <c r="B184" s="100"/>
      <c r="C184" s="100"/>
      <c r="D184" s="118"/>
    </row>
    <row r="185" spans="1:4" x14ac:dyDescent="0.25">
      <c r="A185" s="92"/>
      <c r="B185" s="48" t="s">
        <v>110</v>
      </c>
      <c r="C185" s="48"/>
      <c r="D185" s="118"/>
    </row>
    <row r="186" spans="1:4" x14ac:dyDescent="0.25">
      <c r="A186" s="6"/>
      <c r="B186" s="47" t="s">
        <v>342</v>
      </c>
      <c r="C186" s="47"/>
      <c r="D186" s="118">
        <v>0</v>
      </c>
    </row>
    <row r="187" spans="1:4" ht="17.100000000000001" customHeight="1" x14ac:dyDescent="0.25">
      <c r="A187" s="6"/>
      <c r="B187" s="47" t="s">
        <v>343</v>
      </c>
      <c r="C187" s="47"/>
      <c r="D187" s="118">
        <v>0</v>
      </c>
    </row>
    <row r="188" spans="1:4" x14ac:dyDescent="0.25">
      <c r="A188" s="133"/>
      <c r="B188" s="100"/>
      <c r="C188" s="100"/>
      <c r="D188" s="118"/>
    </row>
    <row r="189" spans="1:4" x14ac:dyDescent="0.25">
      <c r="A189" s="91"/>
      <c r="B189" s="134" t="s">
        <v>111</v>
      </c>
      <c r="C189" s="107"/>
      <c r="D189" s="118"/>
    </row>
    <row r="190" spans="1:4" x14ac:dyDescent="0.25">
      <c r="A190" s="92"/>
      <c r="B190" s="48" t="s">
        <v>112</v>
      </c>
      <c r="C190" s="48"/>
      <c r="D190" s="118"/>
    </row>
    <row r="191" spans="1:4" x14ac:dyDescent="0.25">
      <c r="A191" s="6"/>
      <c r="B191" s="47" t="s">
        <v>12</v>
      </c>
      <c r="C191" s="47"/>
      <c r="D191" s="118">
        <v>10</v>
      </c>
    </row>
    <row r="192" spans="1:4" x14ac:dyDescent="0.25">
      <c r="A192" s="6"/>
      <c r="B192" s="47" t="s">
        <v>13</v>
      </c>
      <c r="C192" s="47"/>
      <c r="D192" s="118">
        <v>4</v>
      </c>
    </row>
    <row r="193" spans="1:4" x14ac:dyDescent="0.25">
      <c r="A193" s="6"/>
      <c r="B193" s="100" t="s">
        <v>113</v>
      </c>
      <c r="C193" s="100"/>
      <c r="D193" s="118"/>
    </row>
    <row r="194" spans="1:4" x14ac:dyDescent="0.25">
      <c r="A194" s="92"/>
      <c r="B194" s="48" t="s">
        <v>114</v>
      </c>
      <c r="C194" s="48"/>
      <c r="D194" s="118"/>
    </row>
    <row r="195" spans="1:4" x14ac:dyDescent="0.25">
      <c r="A195" s="6"/>
      <c r="B195" s="47">
        <v>0</v>
      </c>
      <c r="C195" s="47">
        <v>2</v>
      </c>
      <c r="D195" s="118">
        <v>5</v>
      </c>
    </row>
    <row r="196" spans="1:4" x14ac:dyDescent="0.25">
      <c r="A196" s="6"/>
      <c r="B196" s="47">
        <v>3</v>
      </c>
      <c r="C196" s="47">
        <v>5</v>
      </c>
      <c r="D196" s="118">
        <v>7</v>
      </c>
    </row>
    <row r="197" spans="1:4" x14ac:dyDescent="0.25">
      <c r="A197" s="6"/>
      <c r="B197" s="47">
        <v>6</v>
      </c>
      <c r="C197" s="47">
        <v>7</v>
      </c>
      <c r="D197" s="118">
        <v>4</v>
      </c>
    </row>
    <row r="198" spans="1:4" x14ac:dyDescent="0.25">
      <c r="A198" s="6"/>
      <c r="B198" s="47">
        <v>8</v>
      </c>
      <c r="C198" s="47">
        <v>20</v>
      </c>
      <c r="D198" s="118">
        <v>3</v>
      </c>
    </row>
    <row r="199" spans="1:4" x14ac:dyDescent="0.25">
      <c r="A199" s="92"/>
      <c r="B199" s="48" t="s">
        <v>119</v>
      </c>
      <c r="C199" s="48"/>
      <c r="D199" s="118"/>
    </row>
    <row r="200" spans="1:4" x14ac:dyDescent="0.25">
      <c r="A200" s="6"/>
      <c r="B200" s="47" t="s">
        <v>12</v>
      </c>
      <c r="C200" s="47"/>
      <c r="D200" s="118">
        <v>10</v>
      </c>
    </row>
    <row r="201" spans="1:4" x14ac:dyDescent="0.25">
      <c r="A201" s="6"/>
      <c r="B201" s="47" t="s">
        <v>13</v>
      </c>
      <c r="C201" s="47"/>
      <c r="D201" s="118">
        <v>1</v>
      </c>
    </row>
    <row r="202" spans="1:4" x14ac:dyDescent="0.25">
      <c r="A202" s="298" t="s">
        <v>444</v>
      </c>
      <c r="B202" s="48" t="s">
        <v>40</v>
      </c>
      <c r="C202" s="48"/>
      <c r="D202" s="118"/>
    </row>
    <row r="203" spans="1:4" x14ac:dyDescent="0.25">
      <c r="A203" s="299"/>
      <c r="B203" s="47" t="s">
        <v>41</v>
      </c>
      <c r="C203" s="47"/>
      <c r="D203" s="118">
        <v>2</v>
      </c>
    </row>
    <row r="204" spans="1:4" x14ac:dyDescent="0.25">
      <c r="A204" s="299"/>
      <c r="B204" s="47" t="s">
        <v>42</v>
      </c>
      <c r="C204" s="47"/>
      <c r="D204" s="118">
        <v>8</v>
      </c>
    </row>
    <row r="205" spans="1:4" x14ac:dyDescent="0.25">
      <c r="A205" s="299"/>
      <c r="B205" s="47" t="s">
        <v>43</v>
      </c>
      <c r="C205" s="47"/>
      <c r="D205" s="118">
        <v>6</v>
      </c>
    </row>
    <row r="206" spans="1:4" x14ac:dyDescent="0.25">
      <c r="A206" s="299"/>
      <c r="B206" s="97" t="s">
        <v>445</v>
      </c>
      <c r="C206" s="47"/>
      <c r="D206" s="118"/>
    </row>
    <row r="207" spans="1:4" x14ac:dyDescent="0.25">
      <c r="A207" s="299"/>
      <c r="B207" s="124" t="s">
        <v>437</v>
      </c>
      <c r="C207" s="97"/>
      <c r="D207" s="118" t="s">
        <v>7</v>
      </c>
    </row>
    <row r="208" spans="1:4" x14ac:dyDescent="0.25">
      <c r="A208" s="299"/>
      <c r="B208" s="124" t="s">
        <v>438</v>
      </c>
      <c r="C208" s="97"/>
      <c r="D208" s="118"/>
    </row>
    <row r="209" spans="1:4" x14ac:dyDescent="0.25">
      <c r="A209" s="299"/>
      <c r="B209" s="124" t="s">
        <v>439</v>
      </c>
      <c r="C209" s="97"/>
      <c r="D209" s="118"/>
    </row>
    <row r="210" spans="1:4" x14ac:dyDescent="0.25">
      <c r="A210" s="299"/>
      <c r="B210" s="124" t="s">
        <v>440</v>
      </c>
      <c r="C210" s="97"/>
      <c r="D210" s="118"/>
    </row>
    <row r="211" spans="1:4" x14ac:dyDescent="0.25">
      <c r="A211" s="299"/>
      <c r="B211" s="124" t="s">
        <v>441</v>
      </c>
      <c r="C211" s="97"/>
      <c r="D211" s="118"/>
    </row>
    <row r="212" spans="1:4" x14ac:dyDescent="0.25">
      <c r="A212" s="299"/>
      <c r="B212" s="124" t="s">
        <v>315</v>
      </c>
      <c r="C212" s="97"/>
      <c r="D212" s="118"/>
    </row>
    <row r="213" spans="1:4" x14ac:dyDescent="0.25">
      <c r="A213" s="299"/>
      <c r="B213" s="124" t="s">
        <v>316</v>
      </c>
      <c r="C213" s="97"/>
      <c r="D213" s="118"/>
    </row>
    <row r="214" spans="1:4" x14ac:dyDescent="0.25">
      <c r="A214" s="299"/>
      <c r="B214" s="124" t="s">
        <v>317</v>
      </c>
      <c r="C214" s="97"/>
      <c r="D214" s="118"/>
    </row>
    <row r="215" spans="1:4" x14ac:dyDescent="0.25">
      <c r="A215" s="299"/>
      <c r="B215" s="124" t="s">
        <v>442</v>
      </c>
      <c r="C215" s="97"/>
      <c r="D215" s="118"/>
    </row>
    <row r="216" spans="1:4" x14ac:dyDescent="0.25">
      <c r="A216" s="299"/>
      <c r="B216" s="97" t="s">
        <v>446</v>
      </c>
      <c r="C216" s="47"/>
      <c r="D216" s="118"/>
    </row>
    <row r="217" spans="1:4" x14ac:dyDescent="0.25">
      <c r="A217" s="299"/>
      <c r="B217" s="124" t="s">
        <v>437</v>
      </c>
      <c r="C217" s="97"/>
      <c r="D217" s="118" t="s">
        <v>7</v>
      </c>
    </row>
    <row r="218" spans="1:4" x14ac:dyDescent="0.25">
      <c r="A218" s="299"/>
      <c r="B218" s="124" t="s">
        <v>438</v>
      </c>
      <c r="C218" s="97"/>
      <c r="D218" s="118"/>
    </row>
    <row r="219" spans="1:4" x14ac:dyDescent="0.25">
      <c r="A219" s="299"/>
      <c r="B219" s="124" t="s">
        <v>439</v>
      </c>
      <c r="C219" s="97"/>
      <c r="D219" s="118"/>
    </row>
    <row r="220" spans="1:4" x14ac:dyDescent="0.25">
      <c r="A220" s="299"/>
      <c r="B220" s="124" t="s">
        <v>440</v>
      </c>
      <c r="C220" s="97"/>
      <c r="D220" s="118"/>
    </row>
    <row r="221" spans="1:4" x14ac:dyDescent="0.25">
      <c r="A221" s="299"/>
      <c r="B221" s="124" t="s">
        <v>441</v>
      </c>
      <c r="C221" s="97"/>
      <c r="D221" s="118"/>
    </row>
    <row r="222" spans="1:4" x14ac:dyDescent="0.25">
      <c r="A222" s="299"/>
      <c r="B222" s="124" t="s">
        <v>315</v>
      </c>
      <c r="C222" s="97"/>
      <c r="D222" s="118"/>
    </row>
    <row r="223" spans="1:4" x14ac:dyDescent="0.25">
      <c r="A223" s="299"/>
      <c r="B223" s="124" t="s">
        <v>316</v>
      </c>
      <c r="C223" s="97"/>
      <c r="D223" s="118"/>
    </row>
    <row r="224" spans="1:4" x14ac:dyDescent="0.25">
      <c r="A224" s="299"/>
      <c r="B224" s="124" t="s">
        <v>317</v>
      </c>
      <c r="C224" s="97"/>
      <c r="D224" s="118"/>
    </row>
    <row r="225" spans="1:4" x14ac:dyDescent="0.25">
      <c r="A225" s="299"/>
      <c r="B225" s="124" t="s">
        <v>442</v>
      </c>
      <c r="C225" s="97"/>
      <c r="D225" s="118"/>
    </row>
    <row r="226" spans="1:4" x14ac:dyDescent="0.25">
      <c r="A226" s="299"/>
      <c r="B226" s="124"/>
      <c r="C226" s="97"/>
      <c r="D226" s="118"/>
    </row>
    <row r="227" spans="1:4" x14ac:dyDescent="0.25">
      <c r="A227" s="299"/>
      <c r="B227" s="97" t="s">
        <v>420</v>
      </c>
      <c r="C227" s="97"/>
      <c r="D227" s="118"/>
    </row>
    <row r="228" spans="1:4" x14ac:dyDescent="0.25">
      <c r="A228" s="299"/>
      <c r="B228" s="97" t="s">
        <v>428</v>
      </c>
      <c r="C228" s="97"/>
      <c r="D228" s="118"/>
    </row>
    <row r="229" spans="1:4" x14ac:dyDescent="0.25">
      <c r="A229" s="299"/>
      <c r="B229" s="122" t="s">
        <v>436</v>
      </c>
      <c r="C229" s="97"/>
      <c r="D229" s="118"/>
    </row>
    <row r="230" spans="1:4" x14ac:dyDescent="0.25">
      <c r="A230" s="299"/>
      <c r="B230" s="97">
        <v>1000</v>
      </c>
      <c r="C230" s="97">
        <v>2500</v>
      </c>
      <c r="D230" s="118">
        <v>10</v>
      </c>
    </row>
    <row r="231" spans="1:4" x14ac:dyDescent="0.25">
      <c r="A231" s="299"/>
      <c r="B231" s="97">
        <v>2501</v>
      </c>
      <c r="C231" s="97">
        <v>5000</v>
      </c>
      <c r="D231" s="118">
        <v>8</v>
      </c>
    </row>
    <row r="232" spans="1:4" x14ac:dyDescent="0.25">
      <c r="A232" s="299"/>
      <c r="B232" s="97">
        <v>5001</v>
      </c>
      <c r="C232" s="97">
        <v>10000</v>
      </c>
      <c r="D232" s="118">
        <v>6</v>
      </c>
    </row>
    <row r="233" spans="1:4" x14ac:dyDescent="0.25">
      <c r="A233" s="299"/>
      <c r="B233" s="97">
        <v>10001</v>
      </c>
      <c r="C233" s="97">
        <v>25000</v>
      </c>
      <c r="D233" s="118">
        <v>4</v>
      </c>
    </row>
    <row r="234" spans="1:4" x14ac:dyDescent="0.25">
      <c r="A234" s="299"/>
      <c r="B234" s="97">
        <v>25001</v>
      </c>
      <c r="C234" s="97">
        <v>50000</v>
      </c>
      <c r="D234" s="118">
        <v>2</v>
      </c>
    </row>
    <row r="235" spans="1:4" x14ac:dyDescent="0.25">
      <c r="A235" s="299"/>
      <c r="B235" s="97">
        <v>50001</v>
      </c>
      <c r="C235" s="97">
        <v>100000</v>
      </c>
      <c r="D235" s="118">
        <v>1</v>
      </c>
    </row>
    <row r="236" spans="1:4" x14ac:dyDescent="0.25">
      <c r="A236" s="299"/>
      <c r="B236" s="97" t="s">
        <v>443</v>
      </c>
      <c r="C236" s="97"/>
      <c r="D236" s="118"/>
    </row>
    <row r="237" spans="1:4" x14ac:dyDescent="0.25">
      <c r="A237" s="299"/>
      <c r="B237" s="97">
        <v>500</v>
      </c>
      <c r="C237" s="97">
        <v>1000</v>
      </c>
      <c r="D237" s="118">
        <v>10</v>
      </c>
    </row>
    <row r="238" spans="1:4" x14ac:dyDescent="0.25">
      <c r="A238" s="299"/>
      <c r="B238" s="97">
        <v>1001</v>
      </c>
      <c r="C238" s="97">
        <v>2500</v>
      </c>
      <c r="D238" s="118">
        <v>8</v>
      </c>
    </row>
    <row r="239" spans="1:4" x14ac:dyDescent="0.25">
      <c r="A239" s="299"/>
      <c r="B239" s="97">
        <v>2501</v>
      </c>
      <c r="C239" s="97">
        <v>3500</v>
      </c>
      <c r="D239" s="118">
        <v>6</v>
      </c>
    </row>
    <row r="240" spans="1:4" x14ac:dyDescent="0.25">
      <c r="A240" s="299"/>
      <c r="B240" s="97">
        <v>3501</v>
      </c>
      <c r="C240" s="97">
        <v>5000</v>
      </c>
      <c r="D240" s="118">
        <v>4</v>
      </c>
    </row>
    <row r="241" spans="1:4" x14ac:dyDescent="0.25">
      <c r="A241" s="299"/>
      <c r="B241" s="97">
        <v>5001</v>
      </c>
      <c r="C241" s="97">
        <v>10000</v>
      </c>
      <c r="D241" s="118">
        <v>2</v>
      </c>
    </row>
    <row r="242" spans="1:4" x14ac:dyDescent="0.25">
      <c r="A242" s="299"/>
      <c r="B242" s="97"/>
      <c r="C242" s="97"/>
      <c r="D242" s="118"/>
    </row>
    <row r="243" spans="1:4" x14ac:dyDescent="0.25">
      <c r="A243" s="300"/>
      <c r="B243" s="97"/>
      <c r="C243" s="97"/>
      <c r="D243" s="118"/>
    </row>
    <row r="244" spans="1:4" x14ac:dyDescent="0.25">
      <c r="A244" s="92"/>
      <c r="B244" s="48" t="s">
        <v>45</v>
      </c>
      <c r="C244" s="48"/>
      <c r="D244" s="118"/>
    </row>
    <row r="245" spans="1:4" x14ac:dyDescent="0.25">
      <c r="A245" s="6"/>
      <c r="B245" s="47" t="s">
        <v>342</v>
      </c>
      <c r="C245" s="47"/>
      <c r="D245" s="118">
        <v>10</v>
      </c>
    </row>
    <row r="246" spans="1:4" x14ac:dyDescent="0.25">
      <c r="A246" s="6"/>
      <c r="B246" s="104" t="s">
        <v>46</v>
      </c>
      <c r="C246" s="104"/>
      <c r="D246" s="118" t="s">
        <v>7</v>
      </c>
    </row>
    <row r="247" spans="1:4" x14ac:dyDescent="0.25">
      <c r="A247" s="6"/>
      <c r="B247" s="104" t="s">
        <v>47</v>
      </c>
      <c r="C247" s="104"/>
      <c r="D247" s="118" t="s">
        <v>7</v>
      </c>
    </row>
    <row r="248" spans="1:4" x14ac:dyDescent="0.25">
      <c r="A248" s="6"/>
      <c r="B248" s="105" t="s">
        <v>343</v>
      </c>
      <c r="C248" s="105"/>
      <c r="D248" s="118">
        <v>0</v>
      </c>
    </row>
    <row r="249" spans="1:4" x14ac:dyDescent="0.25">
      <c r="A249" s="6"/>
      <c r="B249" s="105"/>
      <c r="C249" s="105"/>
      <c r="D249" s="118"/>
    </row>
    <row r="250" spans="1:4" x14ac:dyDescent="0.25">
      <c r="A250" s="6"/>
      <c r="B250" s="48" t="s">
        <v>48</v>
      </c>
      <c r="C250" s="48"/>
      <c r="D250" s="118"/>
    </row>
    <row r="251" spans="1:4" x14ac:dyDescent="0.25">
      <c r="A251" s="6"/>
      <c r="B251" s="125">
        <v>0</v>
      </c>
      <c r="C251" s="126">
        <v>2</v>
      </c>
      <c r="D251" s="127">
        <v>2</v>
      </c>
    </row>
    <row r="252" spans="1:4" x14ac:dyDescent="0.25">
      <c r="A252" s="6"/>
      <c r="B252" s="125">
        <v>3</v>
      </c>
      <c r="C252" s="126">
        <v>5</v>
      </c>
      <c r="D252" s="127">
        <v>4</v>
      </c>
    </row>
    <row r="253" spans="1:4" x14ac:dyDescent="0.25">
      <c r="A253" s="6"/>
      <c r="B253" s="125">
        <v>6</v>
      </c>
      <c r="C253" s="126">
        <v>10</v>
      </c>
      <c r="D253" s="127">
        <v>6</v>
      </c>
    </row>
    <row r="254" spans="1:4" x14ac:dyDescent="0.25">
      <c r="A254" s="6"/>
      <c r="B254" s="125">
        <v>11</v>
      </c>
      <c r="C254" s="126">
        <v>20</v>
      </c>
      <c r="D254" s="127">
        <v>8</v>
      </c>
    </row>
    <row r="255" spans="1:4" x14ac:dyDescent="0.25">
      <c r="A255" s="6"/>
      <c r="B255" s="125">
        <v>21</v>
      </c>
      <c r="C255" s="126">
        <v>50</v>
      </c>
      <c r="D255" s="127">
        <v>10</v>
      </c>
    </row>
    <row r="256" spans="1:4" x14ac:dyDescent="0.25">
      <c r="A256" s="6"/>
      <c r="B256" s="47"/>
      <c r="C256" s="47"/>
      <c r="D256" s="118"/>
    </row>
    <row r="257" spans="1:4" x14ac:dyDescent="0.25">
      <c r="A257" s="91"/>
      <c r="B257" s="106" t="s">
        <v>54</v>
      </c>
      <c r="C257" s="106"/>
      <c r="D257" s="118"/>
    </row>
    <row r="258" spans="1:4" x14ac:dyDescent="0.25">
      <c r="A258" s="91"/>
      <c r="B258" s="46" t="s">
        <v>55</v>
      </c>
      <c r="C258" s="46"/>
      <c r="D258" s="118"/>
    </row>
    <row r="259" spans="1:4" x14ac:dyDescent="0.25">
      <c r="A259" s="92"/>
      <c r="B259" s="46" t="s">
        <v>56</v>
      </c>
      <c r="C259" s="46"/>
      <c r="D259" s="118"/>
    </row>
    <row r="260" spans="1:4" x14ac:dyDescent="0.25">
      <c r="A260" s="6"/>
      <c r="B260" s="128">
        <v>0.25</v>
      </c>
      <c r="C260" s="47">
        <v>2</v>
      </c>
      <c r="D260" s="118">
        <v>3</v>
      </c>
    </row>
    <row r="261" spans="1:4" x14ac:dyDescent="0.25">
      <c r="A261" s="6"/>
      <c r="B261" s="128">
        <v>2.1</v>
      </c>
      <c r="C261" s="47">
        <v>5</v>
      </c>
      <c r="D261" s="118">
        <v>5</v>
      </c>
    </row>
    <row r="262" spans="1:4" x14ac:dyDescent="0.25">
      <c r="A262" s="6"/>
      <c r="B262" s="128">
        <v>5.0999999999999996</v>
      </c>
      <c r="C262" s="47">
        <v>7</v>
      </c>
      <c r="D262" s="118">
        <v>7</v>
      </c>
    </row>
    <row r="263" spans="1:4" x14ac:dyDescent="0.25">
      <c r="A263" s="6"/>
      <c r="B263" s="128">
        <v>7.1</v>
      </c>
      <c r="C263" s="47">
        <v>10</v>
      </c>
      <c r="D263" s="118">
        <v>9</v>
      </c>
    </row>
    <row r="264" spans="1:4" x14ac:dyDescent="0.25">
      <c r="A264" s="6"/>
      <c r="B264" s="128">
        <v>10.1</v>
      </c>
      <c r="C264" s="47">
        <v>25</v>
      </c>
      <c r="D264" s="118">
        <v>10</v>
      </c>
    </row>
    <row r="265" spans="1:4" x14ac:dyDescent="0.25">
      <c r="A265" s="92"/>
      <c r="B265" s="48" t="s">
        <v>57</v>
      </c>
      <c r="C265" s="48"/>
      <c r="D265" s="118"/>
    </row>
    <row r="266" spans="1:4" x14ac:dyDescent="0.25">
      <c r="A266" s="6"/>
      <c r="B266" s="128" t="s">
        <v>42</v>
      </c>
      <c r="C266" s="47"/>
      <c r="D266" s="118"/>
    </row>
    <row r="267" spans="1:4" x14ac:dyDescent="0.25">
      <c r="A267" s="6"/>
      <c r="B267" s="128" t="s">
        <v>43</v>
      </c>
      <c r="C267" s="47"/>
      <c r="D267" s="118"/>
    </row>
    <row r="268" spans="1:4" x14ac:dyDescent="0.25">
      <c r="A268" s="6"/>
      <c r="B268" s="128" t="s">
        <v>58</v>
      </c>
      <c r="C268" s="47"/>
      <c r="D268" s="118"/>
    </row>
    <row r="269" spans="1:4" x14ac:dyDescent="0.25">
      <c r="A269" s="6"/>
      <c r="B269" s="128" t="s">
        <v>60</v>
      </c>
      <c r="C269" s="47"/>
      <c r="D269" s="118"/>
    </row>
    <row r="270" spans="1:4" x14ac:dyDescent="0.25">
      <c r="A270" s="93"/>
      <c r="B270" s="94" t="s">
        <v>59</v>
      </c>
      <c r="C270" s="94"/>
      <c r="D270" s="118"/>
    </row>
    <row r="271" spans="1:4" x14ac:dyDescent="0.25">
      <c r="A271" s="6"/>
      <c r="B271" s="129">
        <v>1</v>
      </c>
      <c r="C271" s="95">
        <v>5</v>
      </c>
      <c r="D271" s="119"/>
    </row>
    <row r="272" spans="1:4" x14ac:dyDescent="0.25">
      <c r="A272" s="6"/>
      <c r="B272" s="129">
        <v>6</v>
      </c>
      <c r="C272" s="95">
        <v>10</v>
      </c>
      <c r="D272" s="119"/>
    </row>
    <row r="273" spans="1:4" x14ac:dyDescent="0.25">
      <c r="A273" s="6"/>
      <c r="B273" s="129">
        <v>11</v>
      </c>
      <c r="C273" s="95">
        <v>25</v>
      </c>
      <c r="D273" s="119"/>
    </row>
    <row r="274" spans="1:4" x14ac:dyDescent="0.25">
      <c r="A274" s="6"/>
      <c r="B274" s="129">
        <v>26</v>
      </c>
      <c r="C274" s="95">
        <v>50</v>
      </c>
      <c r="D274" s="119"/>
    </row>
    <row r="275" spans="1:4" x14ac:dyDescent="0.25">
      <c r="A275" s="6"/>
      <c r="B275" s="47" t="s">
        <v>60</v>
      </c>
      <c r="C275" s="47"/>
      <c r="D275" s="118"/>
    </row>
    <row r="276" spans="1:4" x14ac:dyDescent="0.25">
      <c r="A276" s="93"/>
      <c r="B276" s="94" t="s">
        <v>61</v>
      </c>
      <c r="C276" s="94"/>
      <c r="D276" s="118"/>
    </row>
    <row r="277" spans="1:4" x14ac:dyDescent="0.25">
      <c r="A277" s="6"/>
      <c r="B277" s="129">
        <v>1</v>
      </c>
      <c r="C277" s="95">
        <v>5</v>
      </c>
      <c r="D277" s="119"/>
    </row>
    <row r="278" spans="1:4" x14ac:dyDescent="0.25">
      <c r="A278" s="6"/>
      <c r="B278" s="129">
        <v>6</v>
      </c>
      <c r="C278" s="95">
        <v>10</v>
      </c>
      <c r="D278" s="119"/>
    </row>
    <row r="279" spans="1:4" x14ac:dyDescent="0.25">
      <c r="A279" s="6"/>
      <c r="B279" s="129">
        <v>11</v>
      </c>
      <c r="C279" s="95">
        <v>25</v>
      </c>
      <c r="D279" s="119"/>
    </row>
    <row r="280" spans="1:4" x14ac:dyDescent="0.25">
      <c r="A280" s="6"/>
      <c r="B280" s="129">
        <v>26</v>
      </c>
      <c r="C280" s="95">
        <v>50</v>
      </c>
      <c r="D280" s="130"/>
    </row>
    <row r="281" spans="1:4" x14ac:dyDescent="0.25">
      <c r="A281" s="6"/>
    </row>
    <row r="282" spans="1:4" x14ac:dyDescent="0.25">
      <c r="A282" s="96"/>
      <c r="B282" s="132" t="s">
        <v>62</v>
      </c>
      <c r="C282" s="97"/>
      <c r="D282" s="100" t="s">
        <v>7</v>
      </c>
    </row>
    <row r="283" spans="1:4" x14ac:dyDescent="0.25">
      <c r="A283" s="96"/>
      <c r="B283" s="131" t="s">
        <v>447</v>
      </c>
      <c r="C283" s="97"/>
      <c r="D283" s="100"/>
    </row>
    <row r="284" spans="1:4" x14ac:dyDescent="0.25">
      <c r="A284" s="96"/>
      <c r="B284" s="131" t="s">
        <v>314</v>
      </c>
      <c r="C284" s="97"/>
      <c r="D284" s="100"/>
    </row>
    <row r="285" spans="1:4" x14ac:dyDescent="0.25">
      <c r="A285" s="96"/>
      <c r="B285" s="131" t="s">
        <v>441</v>
      </c>
      <c r="C285" s="97"/>
      <c r="D285" s="100"/>
    </row>
    <row r="286" spans="1:4" x14ac:dyDescent="0.25">
      <c r="A286" s="96"/>
      <c r="B286" s="131" t="s">
        <v>315</v>
      </c>
      <c r="C286" s="97"/>
      <c r="D286" s="100"/>
    </row>
    <row r="287" spans="1:4" x14ac:dyDescent="0.25">
      <c r="A287" s="96"/>
      <c r="B287" s="131" t="s">
        <v>316</v>
      </c>
      <c r="C287" s="97"/>
      <c r="D287" s="100"/>
    </row>
    <row r="288" spans="1:4" x14ac:dyDescent="0.25">
      <c r="A288" s="96"/>
      <c r="B288" s="131" t="s">
        <v>317</v>
      </c>
      <c r="C288" s="97"/>
      <c r="D288" s="100"/>
    </row>
    <row r="289" spans="1:4" x14ac:dyDescent="0.25">
      <c r="A289" s="96"/>
      <c r="B289" s="131" t="s">
        <v>448</v>
      </c>
      <c r="C289" s="97"/>
      <c r="D289" s="100"/>
    </row>
    <row r="290" spans="1:4" x14ac:dyDescent="0.25">
      <c r="A290" s="96"/>
      <c r="B290" s="97"/>
      <c r="C290" s="97"/>
      <c r="D290" s="100"/>
    </row>
    <row r="291" spans="1:4" x14ac:dyDescent="0.25">
      <c r="A291" s="96"/>
      <c r="B291" s="97" t="s">
        <v>63</v>
      </c>
      <c r="C291" s="97"/>
      <c r="D291" s="100"/>
    </row>
    <row r="292" spans="1:4" x14ac:dyDescent="0.25">
      <c r="A292" s="96"/>
      <c r="B292" s="97" t="s">
        <v>342</v>
      </c>
      <c r="C292" s="97"/>
      <c r="D292" s="100">
        <v>10</v>
      </c>
    </row>
    <row r="293" spans="1:4" x14ac:dyDescent="0.25">
      <c r="A293" s="96"/>
      <c r="B293" s="97" t="s">
        <v>343</v>
      </c>
      <c r="C293" s="97"/>
      <c r="D293" s="100">
        <v>0</v>
      </c>
    </row>
    <row r="294" spans="1:4" x14ac:dyDescent="0.25">
      <c r="A294" s="92"/>
      <c r="B294" s="48" t="s">
        <v>64</v>
      </c>
      <c r="C294" s="48"/>
      <c r="D294" s="118"/>
    </row>
    <row r="295" spans="1:4" x14ac:dyDescent="0.25">
      <c r="A295" s="6"/>
      <c r="B295" s="47" t="s">
        <v>65</v>
      </c>
      <c r="C295" s="47"/>
      <c r="D295" s="118">
        <v>10</v>
      </c>
    </row>
    <row r="296" spans="1:4" x14ac:dyDescent="0.25">
      <c r="A296" s="6"/>
      <c r="B296" s="47" t="s">
        <v>66</v>
      </c>
      <c r="C296" s="47"/>
      <c r="D296" s="118">
        <v>9</v>
      </c>
    </row>
    <row r="297" spans="1:4" x14ac:dyDescent="0.25">
      <c r="A297" s="6"/>
      <c r="B297" s="47" t="s">
        <v>67</v>
      </c>
      <c r="C297" s="47"/>
      <c r="D297" s="118">
        <v>8</v>
      </c>
    </row>
    <row r="298" spans="1:4" x14ac:dyDescent="0.25">
      <c r="A298" s="6"/>
      <c r="B298" s="47" t="s">
        <v>68</v>
      </c>
      <c r="C298" s="47"/>
      <c r="D298" s="118">
        <v>4</v>
      </c>
    </row>
    <row r="299" spans="1:4" x14ac:dyDescent="0.25">
      <c r="A299" s="6"/>
      <c r="B299" s="47" t="s">
        <v>69</v>
      </c>
      <c r="C299" s="47"/>
      <c r="D299" s="118">
        <v>4</v>
      </c>
    </row>
    <row r="300" spans="1:4" x14ac:dyDescent="0.25">
      <c r="A300" s="6"/>
      <c r="B300" s="47" t="s">
        <v>70</v>
      </c>
      <c r="C300" s="47"/>
      <c r="D300" s="118">
        <v>5</v>
      </c>
    </row>
    <row r="301" spans="1:4" x14ac:dyDescent="0.25">
      <c r="A301" s="6"/>
      <c r="B301" s="47" t="s">
        <v>71</v>
      </c>
      <c r="C301" s="47"/>
      <c r="D301" s="118">
        <v>3</v>
      </c>
    </row>
    <row r="302" spans="1:4" x14ac:dyDescent="0.25">
      <c r="A302" s="6"/>
      <c r="B302" s="48" t="s">
        <v>72</v>
      </c>
      <c r="C302" s="48"/>
      <c r="D302" s="118"/>
    </row>
    <row r="303" spans="1:4" x14ac:dyDescent="0.25">
      <c r="A303" s="6"/>
      <c r="B303" s="128">
        <v>1.1000000000000001</v>
      </c>
      <c r="C303" s="47">
        <v>3.5</v>
      </c>
      <c r="D303" s="118"/>
    </row>
    <row r="304" spans="1:4" x14ac:dyDescent="0.25">
      <c r="A304" s="6"/>
      <c r="B304" s="128">
        <v>3.6</v>
      </c>
      <c r="C304" s="47">
        <v>4.5</v>
      </c>
      <c r="D304" s="118"/>
    </row>
    <row r="305" spans="1:4" x14ac:dyDescent="0.25">
      <c r="A305" s="6"/>
      <c r="B305" s="128">
        <v>4.5999999999999996</v>
      </c>
      <c r="C305" s="47">
        <v>5.5</v>
      </c>
      <c r="D305" s="118"/>
    </row>
    <row r="306" spans="1:4" x14ac:dyDescent="0.25">
      <c r="A306" s="6"/>
      <c r="B306" s="128">
        <v>5.6</v>
      </c>
      <c r="C306" s="47">
        <v>6.5</v>
      </c>
      <c r="D306" s="118"/>
    </row>
    <row r="307" spans="1:4" x14ac:dyDescent="0.25">
      <c r="A307" s="6"/>
      <c r="B307" s="128">
        <v>6.6</v>
      </c>
      <c r="C307" s="47">
        <v>7.5</v>
      </c>
      <c r="D307" s="118"/>
    </row>
    <row r="308" spans="1:4" x14ac:dyDescent="0.25">
      <c r="A308" s="6"/>
      <c r="B308" s="128">
        <v>7.6</v>
      </c>
      <c r="C308" s="47">
        <v>8.5</v>
      </c>
      <c r="D308" s="118"/>
    </row>
    <row r="309" spans="1:4" x14ac:dyDescent="0.25">
      <c r="A309" s="6"/>
      <c r="B309" s="128">
        <v>8.6</v>
      </c>
      <c r="C309" s="47">
        <v>9.5</v>
      </c>
      <c r="D309" s="118"/>
    </row>
    <row r="310" spans="1:4" x14ac:dyDescent="0.25">
      <c r="A310" s="92"/>
      <c r="B310" s="48" t="s">
        <v>450</v>
      </c>
      <c r="C310" s="48"/>
      <c r="D310" s="118"/>
    </row>
    <row r="311" spans="1:4" x14ac:dyDescent="0.25">
      <c r="A311" s="6"/>
      <c r="B311" s="47" t="s">
        <v>451</v>
      </c>
      <c r="C311" s="47"/>
      <c r="D311" s="118"/>
    </row>
    <row r="312" spans="1:4" x14ac:dyDescent="0.25">
      <c r="A312" s="6"/>
      <c r="B312" s="47" t="s">
        <v>74</v>
      </c>
      <c r="C312" s="47"/>
      <c r="D312" s="118"/>
    </row>
    <row r="313" spans="1:4" x14ac:dyDescent="0.25">
      <c r="A313" s="6"/>
      <c r="B313" s="47" t="s">
        <v>449</v>
      </c>
      <c r="C313" s="47"/>
      <c r="D313" s="118"/>
    </row>
    <row r="314" spans="1:4" x14ac:dyDescent="0.25">
      <c r="A314" s="6"/>
      <c r="B314" s="47" t="s">
        <v>75</v>
      </c>
      <c r="C314" s="47"/>
      <c r="D314" s="118"/>
    </row>
    <row r="315" spans="1:4" x14ac:dyDescent="0.25">
      <c r="A315" s="6"/>
      <c r="B315" s="47" t="s">
        <v>452</v>
      </c>
      <c r="C315" s="47"/>
      <c r="D315" s="118"/>
    </row>
    <row r="316" spans="1:4" x14ac:dyDescent="0.25">
      <c r="A316" s="6"/>
      <c r="B316" s="47" t="s">
        <v>76</v>
      </c>
      <c r="C316" s="47"/>
      <c r="D316" s="118"/>
    </row>
    <row r="317" spans="1:4" x14ac:dyDescent="0.25">
      <c r="A317" s="6"/>
      <c r="B317" s="47" t="s">
        <v>77</v>
      </c>
      <c r="C317" s="47"/>
      <c r="D317" s="118"/>
    </row>
    <row r="318" spans="1:4" x14ac:dyDescent="0.25">
      <c r="A318" s="6"/>
      <c r="B318" s="47" t="s">
        <v>78</v>
      </c>
      <c r="C318" s="47"/>
      <c r="D318" s="118"/>
    </row>
    <row r="319" spans="1:4" x14ac:dyDescent="0.25">
      <c r="A319" s="6"/>
      <c r="B319" s="47" t="s">
        <v>453</v>
      </c>
      <c r="C319" s="47"/>
      <c r="D319" s="118"/>
    </row>
    <row r="320" spans="1:4" x14ac:dyDescent="0.25">
      <c r="A320" s="6"/>
      <c r="B320" s="47" t="s">
        <v>454</v>
      </c>
      <c r="C320" s="47"/>
      <c r="D320" s="118"/>
    </row>
    <row r="321" spans="1:4" x14ac:dyDescent="0.25">
      <c r="A321" s="6"/>
      <c r="B321" s="47" t="s">
        <v>455</v>
      </c>
      <c r="C321" s="47"/>
      <c r="D321" s="118"/>
    </row>
    <row r="322" spans="1:4" x14ac:dyDescent="0.25">
      <c r="A322" s="6"/>
      <c r="B322" s="47" t="s">
        <v>456</v>
      </c>
      <c r="C322" s="47"/>
      <c r="D322" s="118"/>
    </row>
    <row r="323" spans="1:4" x14ac:dyDescent="0.25">
      <c r="A323" s="6"/>
      <c r="B323" s="47" t="s">
        <v>457</v>
      </c>
      <c r="C323" s="47"/>
      <c r="D323" s="118"/>
    </row>
    <row r="324" spans="1:4" x14ac:dyDescent="0.25">
      <c r="A324" s="91"/>
      <c r="B324" s="134" t="s">
        <v>120</v>
      </c>
      <c r="C324" s="107"/>
      <c r="D324" s="118"/>
    </row>
    <row r="325" spans="1:4" x14ac:dyDescent="0.25">
      <c r="A325" s="92"/>
      <c r="B325" s="48" t="s">
        <v>329</v>
      </c>
      <c r="C325" s="48"/>
      <c r="D325" s="118"/>
    </row>
    <row r="326" spans="1:4" x14ac:dyDescent="0.25">
      <c r="A326" s="6"/>
      <c r="B326" s="47" t="s">
        <v>121</v>
      </c>
      <c r="C326" s="47"/>
      <c r="D326" s="118">
        <v>7</v>
      </c>
    </row>
    <row r="327" spans="1:4" x14ac:dyDescent="0.25">
      <c r="A327" s="6"/>
      <c r="B327" s="108" t="s">
        <v>122</v>
      </c>
      <c r="C327" s="108"/>
      <c r="D327" s="118"/>
    </row>
    <row r="328" spans="1:4" x14ac:dyDescent="0.25">
      <c r="A328" s="6"/>
      <c r="B328" s="108" t="s">
        <v>123</v>
      </c>
      <c r="C328" s="108"/>
      <c r="D328" s="118"/>
    </row>
    <row r="329" spans="1:4" x14ac:dyDescent="0.25">
      <c r="A329" s="6"/>
      <c r="B329" s="108" t="s">
        <v>124</v>
      </c>
      <c r="C329" s="108"/>
      <c r="D329" s="118"/>
    </row>
    <row r="330" spans="1:4" x14ac:dyDescent="0.25">
      <c r="A330" s="6"/>
      <c r="B330" s="108" t="s">
        <v>125</v>
      </c>
      <c r="C330" s="108"/>
      <c r="D330" s="118"/>
    </row>
    <row r="331" spans="1:4" x14ac:dyDescent="0.25">
      <c r="A331" s="6"/>
      <c r="B331" s="108" t="s">
        <v>126</v>
      </c>
      <c r="C331" s="108"/>
      <c r="D331" s="118"/>
    </row>
    <row r="332" spans="1:4" x14ac:dyDescent="0.25">
      <c r="A332" s="6"/>
      <c r="B332" s="108" t="s">
        <v>127</v>
      </c>
      <c r="C332" s="108"/>
      <c r="D332" s="118"/>
    </row>
    <row r="333" spans="1:4" x14ac:dyDescent="0.25">
      <c r="A333" s="6"/>
      <c r="B333" s="108" t="s">
        <v>128</v>
      </c>
      <c r="C333" s="108"/>
      <c r="D333" s="118"/>
    </row>
    <row r="334" spans="1:4" x14ac:dyDescent="0.25">
      <c r="A334" s="6"/>
      <c r="B334" s="108" t="s">
        <v>129</v>
      </c>
      <c r="C334" s="108"/>
      <c r="D334" s="118"/>
    </row>
    <row r="335" spans="1:4" x14ac:dyDescent="0.25">
      <c r="A335" s="6"/>
      <c r="B335" s="108" t="s">
        <v>130</v>
      </c>
      <c r="C335" s="108"/>
      <c r="D335" s="118"/>
    </row>
    <row r="336" spans="1:4" x14ac:dyDescent="0.25">
      <c r="A336" s="6"/>
      <c r="B336" s="108" t="s">
        <v>131</v>
      </c>
      <c r="C336" s="108"/>
      <c r="D336" s="118"/>
    </row>
    <row r="337" spans="1:4" x14ac:dyDescent="0.25">
      <c r="A337" s="6"/>
      <c r="B337" s="108" t="s">
        <v>132</v>
      </c>
      <c r="C337" s="108"/>
      <c r="D337" s="118"/>
    </row>
    <row r="338" spans="1:4" x14ac:dyDescent="0.25">
      <c r="A338" s="6"/>
      <c r="B338" s="108" t="s">
        <v>133</v>
      </c>
      <c r="C338" s="108"/>
      <c r="D338" s="118"/>
    </row>
    <row r="339" spans="1:4" x14ac:dyDescent="0.25">
      <c r="A339" s="6"/>
      <c r="B339" s="108" t="s">
        <v>134</v>
      </c>
      <c r="C339" s="108"/>
      <c r="D339" s="118"/>
    </row>
    <row r="340" spans="1:4" x14ac:dyDescent="0.25">
      <c r="A340" s="6"/>
      <c r="B340" s="108" t="s">
        <v>135</v>
      </c>
      <c r="C340" s="108"/>
      <c r="D340" s="118"/>
    </row>
    <row r="341" spans="1:4" x14ac:dyDescent="0.25">
      <c r="A341" s="6"/>
      <c r="B341" s="108" t="s">
        <v>136</v>
      </c>
      <c r="C341" s="108"/>
      <c r="D341" s="118"/>
    </row>
    <row r="342" spans="1:4" x14ac:dyDescent="0.25">
      <c r="A342" s="6"/>
      <c r="B342" s="108" t="s">
        <v>137</v>
      </c>
      <c r="C342" s="108"/>
      <c r="D342" s="118"/>
    </row>
    <row r="343" spans="1:4" x14ac:dyDescent="0.25">
      <c r="A343" s="6"/>
      <c r="B343" s="108" t="s">
        <v>138</v>
      </c>
      <c r="C343" s="108"/>
      <c r="D343" s="118"/>
    </row>
    <row r="344" spans="1:4" x14ac:dyDescent="0.25">
      <c r="A344" s="6"/>
      <c r="B344" s="108" t="s">
        <v>139</v>
      </c>
      <c r="C344" s="108"/>
      <c r="D344" s="118"/>
    </row>
    <row r="345" spans="1:4" x14ac:dyDescent="0.25">
      <c r="A345" s="6"/>
      <c r="B345" s="108" t="s">
        <v>140</v>
      </c>
      <c r="C345" s="108"/>
      <c r="D345" s="118"/>
    </row>
    <row r="346" spans="1:4" x14ac:dyDescent="0.25">
      <c r="A346" s="6"/>
      <c r="B346" s="108" t="s">
        <v>141</v>
      </c>
      <c r="C346" s="108"/>
      <c r="D346" s="118"/>
    </row>
    <row r="347" spans="1:4" x14ac:dyDescent="0.25">
      <c r="A347" s="6"/>
      <c r="B347" s="108" t="s">
        <v>142</v>
      </c>
      <c r="C347" s="108"/>
      <c r="D347" s="118"/>
    </row>
    <row r="348" spans="1:4" x14ac:dyDescent="0.25">
      <c r="A348" s="6"/>
      <c r="B348" s="108" t="s">
        <v>143</v>
      </c>
      <c r="C348" s="108"/>
      <c r="D348" s="118"/>
    </row>
    <row r="349" spans="1:4" x14ac:dyDescent="0.25">
      <c r="A349" s="6"/>
      <c r="B349" s="108" t="s">
        <v>144</v>
      </c>
      <c r="C349" s="108"/>
      <c r="D349" s="118"/>
    </row>
    <row r="350" spans="1:4" x14ac:dyDescent="0.25">
      <c r="A350" s="6"/>
      <c r="B350" s="108" t="s">
        <v>145</v>
      </c>
      <c r="C350" s="108"/>
      <c r="D350" s="118"/>
    </row>
    <row r="351" spans="1:4" x14ac:dyDescent="0.25">
      <c r="A351" s="92"/>
      <c r="B351" s="48" t="s">
        <v>458</v>
      </c>
      <c r="C351" s="48"/>
      <c r="D351" s="118"/>
    </row>
    <row r="352" spans="1:4" x14ac:dyDescent="0.25">
      <c r="A352" s="6"/>
      <c r="B352" s="47" t="s">
        <v>146</v>
      </c>
      <c r="C352" s="47"/>
      <c r="D352" s="118">
        <v>3</v>
      </c>
    </row>
    <row r="353" spans="1:5" x14ac:dyDescent="0.25">
      <c r="A353" s="6"/>
      <c r="B353" s="47" t="s">
        <v>367</v>
      </c>
      <c r="C353" s="47"/>
      <c r="D353" s="118">
        <v>4</v>
      </c>
    </row>
    <row r="354" spans="1:5" x14ac:dyDescent="0.25">
      <c r="A354" s="6"/>
      <c r="B354" s="47" t="s">
        <v>366</v>
      </c>
      <c r="C354" s="47"/>
      <c r="D354" s="118">
        <v>5</v>
      </c>
    </row>
    <row r="355" spans="1:5" x14ac:dyDescent="0.25">
      <c r="A355" s="6"/>
      <c r="B355" s="47" t="s">
        <v>147</v>
      </c>
      <c r="C355" s="47"/>
      <c r="D355" s="118">
        <v>6</v>
      </c>
    </row>
    <row r="356" spans="1:5" x14ac:dyDescent="0.25">
      <c r="A356" s="6"/>
      <c r="B356" s="47" t="s">
        <v>148</v>
      </c>
      <c r="C356" s="47"/>
      <c r="D356" s="118">
        <v>7</v>
      </c>
    </row>
    <row r="357" spans="1:5" x14ac:dyDescent="0.25">
      <c r="A357" s="6"/>
      <c r="B357" s="47" t="s">
        <v>149</v>
      </c>
      <c r="C357" s="47"/>
      <c r="D357" s="118">
        <v>8</v>
      </c>
    </row>
    <row r="358" spans="1:5" x14ac:dyDescent="0.25">
      <c r="A358" s="6"/>
      <c r="B358" s="47" t="s">
        <v>150</v>
      </c>
      <c r="C358" s="47"/>
      <c r="D358" s="118">
        <v>9</v>
      </c>
    </row>
    <row r="359" spans="1:5" x14ac:dyDescent="0.25">
      <c r="A359" s="92"/>
      <c r="B359" s="48" t="s">
        <v>460</v>
      </c>
      <c r="C359" s="48"/>
      <c r="D359" s="118"/>
    </row>
    <row r="360" spans="1:5" x14ac:dyDescent="0.25">
      <c r="A360" s="6"/>
      <c r="B360" s="128">
        <v>0</v>
      </c>
      <c r="C360" s="47">
        <v>1</v>
      </c>
      <c r="D360" s="118">
        <v>3</v>
      </c>
      <c r="E360" s="109" t="s">
        <v>459</v>
      </c>
    </row>
    <row r="361" spans="1:5" x14ac:dyDescent="0.25">
      <c r="A361" s="6"/>
      <c r="B361" s="128">
        <v>2</v>
      </c>
      <c r="C361" s="47">
        <v>4</v>
      </c>
      <c r="D361" s="118">
        <v>5</v>
      </c>
    </row>
    <row r="362" spans="1:5" x14ac:dyDescent="0.25">
      <c r="A362" s="6"/>
      <c r="B362" s="128">
        <v>5</v>
      </c>
      <c r="C362" s="47">
        <v>6</v>
      </c>
      <c r="D362" s="118">
        <v>7</v>
      </c>
    </row>
    <row r="363" spans="1:5" x14ac:dyDescent="0.25">
      <c r="A363" s="6"/>
      <c r="B363" s="128">
        <v>7</v>
      </c>
      <c r="C363" s="47">
        <v>9</v>
      </c>
      <c r="D363" s="118">
        <v>9</v>
      </c>
    </row>
    <row r="364" spans="1:5" x14ac:dyDescent="0.25">
      <c r="A364" s="6"/>
      <c r="B364" s="128">
        <v>10</v>
      </c>
      <c r="C364" s="47">
        <v>100</v>
      </c>
      <c r="D364" s="118">
        <v>10</v>
      </c>
    </row>
    <row r="365" spans="1:5" x14ac:dyDescent="0.25">
      <c r="A365" s="92"/>
      <c r="B365" s="48" t="s">
        <v>151</v>
      </c>
      <c r="C365" s="48"/>
      <c r="D365" s="118"/>
    </row>
    <row r="366" spans="1:5" x14ac:dyDescent="0.25">
      <c r="A366" s="6"/>
      <c r="B366" s="47" t="s">
        <v>152</v>
      </c>
      <c r="C366" s="47"/>
      <c r="D366" s="118"/>
    </row>
    <row r="367" spans="1:5" x14ac:dyDescent="0.25">
      <c r="A367" s="6"/>
      <c r="B367" s="47" t="s">
        <v>153</v>
      </c>
      <c r="C367" s="47"/>
      <c r="D367" s="118"/>
    </row>
    <row r="368" spans="1:5" x14ac:dyDescent="0.25">
      <c r="A368" s="6"/>
      <c r="B368" s="47" t="s">
        <v>154</v>
      </c>
      <c r="C368" s="47"/>
      <c r="D368" s="118"/>
    </row>
    <row r="369" spans="1:4" x14ac:dyDescent="0.25">
      <c r="A369" s="6"/>
      <c r="B369" s="47" t="s">
        <v>155</v>
      </c>
      <c r="C369" s="47"/>
      <c r="D369" s="118"/>
    </row>
    <row r="370" spans="1:4" x14ac:dyDescent="0.25">
      <c r="A370" s="6"/>
      <c r="B370" s="47" t="s">
        <v>156</v>
      </c>
      <c r="C370" s="47"/>
      <c r="D370" s="118"/>
    </row>
    <row r="371" spans="1:4" x14ac:dyDescent="0.25">
      <c r="A371" s="6"/>
      <c r="B371" s="48" t="s">
        <v>157</v>
      </c>
      <c r="C371" s="48"/>
      <c r="D371" s="118"/>
    </row>
    <row r="372" spans="1:4" x14ac:dyDescent="0.25">
      <c r="A372" s="6"/>
      <c r="B372" s="47" t="s">
        <v>152</v>
      </c>
      <c r="C372" s="47"/>
      <c r="D372" s="118"/>
    </row>
    <row r="373" spans="1:4" x14ac:dyDescent="0.25">
      <c r="A373" s="6"/>
      <c r="B373" s="47" t="s">
        <v>153</v>
      </c>
      <c r="C373" s="47"/>
      <c r="D373" s="118"/>
    </row>
    <row r="374" spans="1:4" x14ac:dyDescent="0.25">
      <c r="A374" s="6"/>
      <c r="B374" s="47" t="s">
        <v>154</v>
      </c>
      <c r="C374" s="47"/>
      <c r="D374" s="118"/>
    </row>
    <row r="375" spans="1:4" x14ac:dyDescent="0.25">
      <c r="A375" s="6"/>
      <c r="B375" s="47" t="s">
        <v>155</v>
      </c>
      <c r="C375" s="47"/>
      <c r="D375" s="118"/>
    </row>
    <row r="376" spans="1:4" x14ac:dyDescent="0.25">
      <c r="A376" s="6"/>
      <c r="B376" s="47" t="s">
        <v>156</v>
      </c>
      <c r="C376" s="47"/>
      <c r="D376" s="118"/>
    </row>
    <row r="377" spans="1:4" x14ac:dyDescent="0.25">
      <c r="A377" s="92"/>
      <c r="B377" s="48" t="s">
        <v>464</v>
      </c>
      <c r="C377" s="48"/>
      <c r="D377" s="118"/>
    </row>
    <row r="378" spans="1:4" x14ac:dyDescent="0.25">
      <c r="A378" s="6"/>
      <c r="B378" s="47">
        <v>10000</v>
      </c>
      <c r="C378" s="47">
        <v>20000</v>
      </c>
      <c r="D378" s="118">
        <v>4</v>
      </c>
    </row>
    <row r="379" spans="1:4" x14ac:dyDescent="0.25">
      <c r="A379" s="6"/>
      <c r="B379" s="47">
        <v>20001</v>
      </c>
      <c r="C379" s="47">
        <v>30000</v>
      </c>
      <c r="D379" s="118">
        <v>6</v>
      </c>
    </row>
    <row r="380" spans="1:4" x14ac:dyDescent="0.25">
      <c r="A380" s="6"/>
      <c r="B380" s="47">
        <v>30001</v>
      </c>
      <c r="C380" s="47">
        <v>40000</v>
      </c>
      <c r="D380" s="118">
        <v>10</v>
      </c>
    </row>
    <row r="381" spans="1:4" x14ac:dyDescent="0.25">
      <c r="A381" s="92"/>
      <c r="B381" s="48" t="s">
        <v>333</v>
      </c>
      <c r="C381" s="48"/>
      <c r="D381" s="118"/>
    </row>
    <row r="382" spans="1:4" x14ac:dyDescent="0.25">
      <c r="A382" s="6"/>
      <c r="B382" s="47">
        <v>5000</v>
      </c>
      <c r="C382" s="47">
        <v>25000</v>
      </c>
      <c r="D382" s="118">
        <v>3</v>
      </c>
    </row>
    <row r="383" spans="1:4" x14ac:dyDescent="0.25">
      <c r="A383" s="6"/>
      <c r="B383" s="47">
        <v>25001</v>
      </c>
      <c r="C383" s="47">
        <v>50000</v>
      </c>
      <c r="D383" s="118">
        <v>4</v>
      </c>
    </row>
    <row r="384" spans="1:4" x14ac:dyDescent="0.25">
      <c r="A384" s="6"/>
      <c r="B384" s="47">
        <v>50001</v>
      </c>
      <c r="C384" s="47">
        <v>75000</v>
      </c>
      <c r="D384" s="118">
        <v>5</v>
      </c>
    </row>
    <row r="385" spans="1:4" x14ac:dyDescent="0.25">
      <c r="A385" s="6"/>
      <c r="B385" s="47">
        <v>75001</v>
      </c>
      <c r="C385" s="47">
        <v>100000</v>
      </c>
      <c r="D385" s="118">
        <v>8</v>
      </c>
    </row>
    <row r="386" spans="1:4" x14ac:dyDescent="0.25">
      <c r="A386" s="6"/>
      <c r="B386" s="47">
        <v>100001</v>
      </c>
      <c r="C386" s="47">
        <v>500000</v>
      </c>
      <c r="D386" s="118">
        <v>10</v>
      </c>
    </row>
    <row r="387" spans="1:4" x14ac:dyDescent="0.25">
      <c r="A387" s="92"/>
      <c r="B387" s="48" t="s">
        <v>158</v>
      </c>
      <c r="C387" s="48"/>
      <c r="D387" s="118"/>
    </row>
    <row r="388" spans="1:4" x14ac:dyDescent="0.25">
      <c r="A388" s="6"/>
      <c r="B388" s="47" t="s">
        <v>368</v>
      </c>
      <c r="C388" s="47"/>
      <c r="D388" s="118">
        <v>1</v>
      </c>
    </row>
    <row r="389" spans="1:4" x14ac:dyDescent="0.25">
      <c r="A389" s="6"/>
      <c r="B389" s="47" t="s">
        <v>369</v>
      </c>
      <c r="C389" s="47"/>
      <c r="D389" s="118">
        <v>4</v>
      </c>
    </row>
    <row r="390" spans="1:4" x14ac:dyDescent="0.25">
      <c r="A390" s="6"/>
      <c r="B390" s="47" t="s">
        <v>370</v>
      </c>
      <c r="C390" s="47"/>
      <c r="D390" s="118">
        <v>0</v>
      </c>
    </row>
    <row r="391" spans="1:4" x14ac:dyDescent="0.25">
      <c r="A391" s="6"/>
      <c r="B391" s="47" t="s">
        <v>371</v>
      </c>
      <c r="C391" s="47"/>
      <c r="D391" s="118">
        <v>8</v>
      </c>
    </row>
    <row r="392" spans="1:4" x14ac:dyDescent="0.25">
      <c r="A392" s="6"/>
      <c r="B392" s="47" t="s">
        <v>372</v>
      </c>
      <c r="C392" s="47"/>
      <c r="D392" s="118">
        <v>10</v>
      </c>
    </row>
    <row r="393" spans="1:4" x14ac:dyDescent="0.25">
      <c r="A393" s="92"/>
      <c r="B393" s="48" t="s">
        <v>159</v>
      </c>
      <c r="C393" s="48"/>
      <c r="D393" s="118"/>
    </row>
    <row r="394" spans="1:4" x14ac:dyDescent="0.25">
      <c r="A394" s="6"/>
      <c r="B394" s="47" t="s">
        <v>12</v>
      </c>
      <c r="C394" s="47"/>
      <c r="D394" s="118">
        <v>1</v>
      </c>
    </row>
    <row r="395" spans="1:4" x14ac:dyDescent="0.25">
      <c r="A395" s="6"/>
      <c r="B395" s="47" t="s">
        <v>13</v>
      </c>
      <c r="C395" s="47"/>
      <c r="D395" s="118">
        <v>10</v>
      </c>
    </row>
    <row r="396" spans="1:4" x14ac:dyDescent="0.25">
      <c r="A396" s="92"/>
      <c r="B396" s="48" t="s">
        <v>160</v>
      </c>
      <c r="C396" s="48"/>
      <c r="D396" s="118"/>
    </row>
    <row r="397" spans="1:4" x14ac:dyDescent="0.25">
      <c r="A397" s="6"/>
      <c r="B397" s="47" t="s">
        <v>161</v>
      </c>
      <c r="C397" s="47"/>
      <c r="D397" s="118"/>
    </row>
    <row r="398" spans="1:4" x14ac:dyDescent="0.25">
      <c r="A398" s="6"/>
      <c r="B398" s="47" t="s">
        <v>162</v>
      </c>
      <c r="C398" s="47"/>
      <c r="D398" s="118"/>
    </row>
    <row r="399" spans="1:4" x14ac:dyDescent="0.25">
      <c r="A399" s="6"/>
      <c r="B399" s="47" t="s">
        <v>163</v>
      </c>
      <c r="C399" s="47"/>
      <c r="D399" s="118"/>
    </row>
    <row r="400" spans="1:4" x14ac:dyDescent="0.25">
      <c r="A400" s="6"/>
      <c r="B400" s="47" t="s">
        <v>164</v>
      </c>
      <c r="C400" s="47"/>
      <c r="D400" s="118"/>
    </row>
    <row r="401" spans="1:4" x14ac:dyDescent="0.25">
      <c r="A401" s="6"/>
      <c r="B401" s="47" t="s">
        <v>165</v>
      </c>
      <c r="C401" s="47"/>
      <c r="D401" s="118"/>
    </row>
    <row r="402" spans="1:4" x14ac:dyDescent="0.25">
      <c r="A402" s="6"/>
      <c r="B402" s="47" t="s">
        <v>166</v>
      </c>
      <c r="C402" s="47"/>
      <c r="D402" s="118"/>
    </row>
    <row r="403" spans="1:4" x14ac:dyDescent="0.25">
      <c r="A403" s="6"/>
      <c r="B403" s="47" t="s">
        <v>167</v>
      </c>
      <c r="C403" s="47"/>
      <c r="D403" s="118"/>
    </row>
    <row r="404" spans="1:4" x14ac:dyDescent="0.25">
      <c r="A404" s="6"/>
      <c r="B404" s="47" t="s">
        <v>168</v>
      </c>
      <c r="C404" s="47"/>
      <c r="D404" s="118"/>
    </row>
    <row r="405" spans="1:4" x14ac:dyDescent="0.25">
      <c r="A405" s="6"/>
      <c r="B405" s="47" t="s">
        <v>169</v>
      </c>
      <c r="C405" s="47"/>
      <c r="D405" s="118"/>
    </row>
    <row r="406" spans="1:4" x14ac:dyDescent="0.25">
      <c r="A406" s="6"/>
      <c r="B406" s="47" t="s">
        <v>170</v>
      </c>
      <c r="C406" s="47"/>
      <c r="D406" s="118"/>
    </row>
    <row r="407" spans="1:4" x14ac:dyDescent="0.25">
      <c r="A407" s="6"/>
      <c r="B407" s="47" t="s">
        <v>171</v>
      </c>
      <c r="C407" s="47"/>
      <c r="D407" s="118">
        <v>9</v>
      </c>
    </row>
    <row r="408" spans="1:4" x14ac:dyDescent="0.25">
      <c r="A408" s="6"/>
      <c r="B408" s="47"/>
      <c r="C408" s="47"/>
      <c r="D408" s="118"/>
    </row>
    <row r="409" spans="1:4" x14ac:dyDescent="0.25">
      <c r="A409" s="91"/>
      <c r="B409" s="134" t="s">
        <v>172</v>
      </c>
      <c r="C409" s="76"/>
      <c r="D409" s="118"/>
    </row>
    <row r="410" spans="1:4" x14ac:dyDescent="0.25">
      <c r="A410" s="92"/>
      <c r="B410" s="48" t="s">
        <v>173</v>
      </c>
      <c r="C410" s="48"/>
      <c r="D410" s="118"/>
    </row>
    <row r="411" spans="1:4" x14ac:dyDescent="0.25">
      <c r="A411" s="6"/>
      <c r="B411" s="47" t="s">
        <v>174</v>
      </c>
      <c r="C411" s="47"/>
      <c r="D411" s="118"/>
    </row>
    <row r="412" spans="1:4" x14ac:dyDescent="0.25">
      <c r="A412" s="6"/>
      <c r="B412" s="47" t="s">
        <v>175</v>
      </c>
      <c r="C412" s="47"/>
      <c r="D412" s="118"/>
    </row>
    <row r="413" spans="1:4" x14ac:dyDescent="0.25">
      <c r="A413" s="6"/>
      <c r="B413" s="47" t="s">
        <v>176</v>
      </c>
      <c r="C413" s="47"/>
      <c r="D413" s="118"/>
    </row>
    <row r="414" spans="1:4" x14ac:dyDescent="0.25">
      <c r="A414" s="6"/>
      <c r="B414" s="47" t="s">
        <v>177</v>
      </c>
      <c r="C414" s="47"/>
      <c r="D414" s="118"/>
    </row>
    <row r="415" spans="1:4" x14ac:dyDescent="0.25">
      <c r="A415" s="6"/>
      <c r="B415" s="47" t="s">
        <v>178</v>
      </c>
      <c r="C415" s="47"/>
      <c r="D415" s="118"/>
    </row>
    <row r="416" spans="1:4" x14ac:dyDescent="0.25">
      <c r="A416" s="6"/>
      <c r="B416" s="47" t="s">
        <v>179</v>
      </c>
      <c r="C416" s="47"/>
      <c r="D416" s="118"/>
    </row>
    <row r="417" spans="1:4" x14ac:dyDescent="0.25">
      <c r="A417" s="6"/>
      <c r="B417" s="47" t="s">
        <v>180</v>
      </c>
      <c r="C417" s="47"/>
      <c r="D417" s="118"/>
    </row>
    <row r="418" spans="1:4" x14ac:dyDescent="0.25">
      <c r="A418" s="92"/>
      <c r="B418" s="48" t="s">
        <v>461</v>
      </c>
      <c r="C418" s="48"/>
      <c r="D418" s="118"/>
    </row>
    <row r="419" spans="1:4" x14ac:dyDescent="0.25">
      <c r="A419" s="6"/>
      <c r="B419" s="47">
        <v>0</v>
      </c>
      <c r="C419" s="47">
        <v>2</v>
      </c>
      <c r="D419" s="118">
        <v>3</v>
      </c>
    </row>
    <row r="420" spans="1:4" x14ac:dyDescent="0.25">
      <c r="A420" s="6"/>
      <c r="B420" s="47">
        <v>3</v>
      </c>
      <c r="C420" s="47">
        <v>4.99</v>
      </c>
      <c r="D420" s="118">
        <v>5</v>
      </c>
    </row>
    <row r="421" spans="1:4" x14ac:dyDescent="0.25">
      <c r="A421" s="6"/>
      <c r="B421" s="47">
        <v>5</v>
      </c>
      <c r="C421" s="47">
        <v>6.99</v>
      </c>
      <c r="D421" s="118">
        <v>7</v>
      </c>
    </row>
    <row r="422" spans="1:4" x14ac:dyDescent="0.25">
      <c r="A422" s="6"/>
      <c r="B422" s="47">
        <v>7</v>
      </c>
      <c r="C422" s="47">
        <v>10</v>
      </c>
      <c r="D422" s="118">
        <v>10</v>
      </c>
    </row>
    <row r="423" spans="1:4" x14ac:dyDescent="0.25">
      <c r="A423" s="92"/>
      <c r="B423" s="48" t="s">
        <v>462</v>
      </c>
      <c r="C423" s="48"/>
      <c r="D423" s="118"/>
    </row>
    <row r="424" spans="1:4" x14ac:dyDescent="0.25">
      <c r="A424" s="6"/>
      <c r="B424" s="47">
        <v>5000</v>
      </c>
      <c r="C424" s="47">
        <v>25000</v>
      </c>
      <c r="D424" s="118">
        <v>3</v>
      </c>
    </row>
    <row r="425" spans="1:4" x14ac:dyDescent="0.25">
      <c r="A425" s="6"/>
      <c r="B425" s="47">
        <v>25001</v>
      </c>
      <c r="C425" s="47">
        <v>75000</v>
      </c>
      <c r="D425" s="118">
        <v>5</v>
      </c>
    </row>
    <row r="426" spans="1:4" x14ac:dyDescent="0.25">
      <c r="A426" s="6"/>
      <c r="B426" s="47">
        <v>75001</v>
      </c>
      <c r="C426" s="47">
        <v>150000</v>
      </c>
      <c r="D426" s="118">
        <v>7</v>
      </c>
    </row>
    <row r="427" spans="1:4" x14ac:dyDescent="0.25">
      <c r="A427" s="6"/>
      <c r="B427" s="47">
        <v>150001</v>
      </c>
      <c r="C427" s="47">
        <v>300000</v>
      </c>
      <c r="D427" s="118">
        <v>9</v>
      </c>
    </row>
    <row r="428" spans="1:4" x14ac:dyDescent="0.25">
      <c r="A428" s="6"/>
      <c r="B428" s="47">
        <v>300000</v>
      </c>
      <c r="C428" s="47">
        <v>1000000</v>
      </c>
      <c r="D428" s="118">
        <v>10</v>
      </c>
    </row>
    <row r="429" spans="1:4" x14ac:dyDescent="0.25">
      <c r="A429" s="92"/>
      <c r="B429" s="48" t="s">
        <v>181</v>
      </c>
      <c r="C429" s="48"/>
      <c r="D429" s="118"/>
    </row>
    <row r="430" spans="1:4" x14ac:dyDescent="0.25">
      <c r="A430" s="6"/>
      <c r="B430" s="47" t="s">
        <v>342</v>
      </c>
      <c r="C430" s="47"/>
      <c r="D430" s="118">
        <v>2</v>
      </c>
    </row>
    <row r="431" spans="1:4" x14ac:dyDescent="0.25">
      <c r="A431" s="6"/>
      <c r="B431" s="47" t="s">
        <v>343</v>
      </c>
      <c r="C431" s="47"/>
      <c r="D431" s="118">
        <v>10</v>
      </c>
    </row>
    <row r="432" spans="1:4" x14ac:dyDescent="0.25">
      <c r="A432" s="6"/>
      <c r="B432" s="110" t="s">
        <v>463</v>
      </c>
      <c r="C432" s="47"/>
      <c r="D432" s="118"/>
    </row>
    <row r="433" spans="1:4" x14ac:dyDescent="0.25">
      <c r="A433" s="92"/>
      <c r="B433" s="48" t="s">
        <v>182</v>
      </c>
      <c r="C433" s="48"/>
      <c r="D433" s="118"/>
    </row>
    <row r="434" spans="1:4" x14ac:dyDescent="0.25">
      <c r="A434" s="6"/>
      <c r="B434" s="47" t="s">
        <v>373</v>
      </c>
      <c r="C434" s="47"/>
      <c r="D434" s="118">
        <v>5</v>
      </c>
    </row>
    <row r="435" spans="1:4" x14ac:dyDescent="0.25">
      <c r="A435" s="6"/>
      <c r="B435" s="47" t="s">
        <v>498</v>
      </c>
      <c r="C435" s="47"/>
      <c r="D435" s="118">
        <v>7</v>
      </c>
    </row>
    <row r="436" spans="1:4" ht="31.5" x14ac:dyDescent="0.25">
      <c r="A436" s="92"/>
      <c r="B436" s="59" t="s">
        <v>340</v>
      </c>
      <c r="C436" s="59"/>
      <c r="D436" s="118"/>
    </row>
    <row r="437" spans="1:4" x14ac:dyDescent="0.25">
      <c r="A437" s="6"/>
      <c r="B437" s="47">
        <v>1</v>
      </c>
      <c r="C437" s="47">
        <v>5</v>
      </c>
      <c r="D437" s="118"/>
    </row>
    <row r="438" spans="1:4" x14ac:dyDescent="0.25">
      <c r="A438" s="6"/>
      <c r="B438" s="47">
        <v>6</v>
      </c>
      <c r="C438" s="47">
        <v>10</v>
      </c>
      <c r="D438" s="118"/>
    </row>
    <row r="439" spans="1:4" x14ac:dyDescent="0.25">
      <c r="A439" s="6"/>
      <c r="B439" s="47">
        <v>11</v>
      </c>
      <c r="C439" s="47">
        <v>15</v>
      </c>
      <c r="D439" s="118"/>
    </row>
    <row r="440" spans="1:4" x14ac:dyDescent="0.25">
      <c r="A440" s="92"/>
      <c r="B440" s="48" t="s">
        <v>184</v>
      </c>
      <c r="C440" s="48"/>
      <c r="D440" s="118"/>
    </row>
    <row r="441" spans="1:4" x14ac:dyDescent="0.25">
      <c r="A441" s="6"/>
      <c r="B441" s="47" t="s">
        <v>342</v>
      </c>
      <c r="C441" s="47"/>
      <c r="D441" s="118">
        <v>3</v>
      </c>
    </row>
    <row r="442" spans="1:4" x14ac:dyDescent="0.25">
      <c r="A442" s="6"/>
      <c r="B442" s="47" t="s">
        <v>343</v>
      </c>
      <c r="C442" s="47"/>
      <c r="D442" s="118">
        <v>10</v>
      </c>
    </row>
    <row r="443" spans="1:4" x14ac:dyDescent="0.25">
      <c r="A443" s="92"/>
      <c r="B443" s="48" t="s">
        <v>337</v>
      </c>
      <c r="C443" s="48"/>
      <c r="D443" s="118"/>
    </row>
    <row r="444" spans="1:4" x14ac:dyDescent="0.25">
      <c r="A444" s="6"/>
      <c r="B444" s="47">
        <v>0</v>
      </c>
      <c r="C444" s="47">
        <v>50000</v>
      </c>
      <c r="D444" s="118">
        <v>10</v>
      </c>
    </row>
    <row r="445" spans="1:4" x14ac:dyDescent="0.25">
      <c r="A445" s="6"/>
      <c r="B445" s="47">
        <v>50001</v>
      </c>
      <c r="C445" s="47">
        <v>100000</v>
      </c>
      <c r="D445" s="118">
        <v>8</v>
      </c>
    </row>
    <row r="446" spans="1:4" x14ac:dyDescent="0.25">
      <c r="A446" s="6"/>
      <c r="B446" s="47">
        <v>100001</v>
      </c>
      <c r="C446" s="47">
        <v>500000</v>
      </c>
      <c r="D446" s="118">
        <v>6</v>
      </c>
    </row>
    <row r="447" spans="1:4" x14ac:dyDescent="0.25">
      <c r="A447" s="6"/>
      <c r="B447" s="47">
        <v>500001</v>
      </c>
      <c r="C447" s="47">
        <v>1000000</v>
      </c>
      <c r="D447" s="118">
        <v>4</v>
      </c>
    </row>
    <row r="448" spans="1:4" x14ac:dyDescent="0.25">
      <c r="A448" s="6"/>
      <c r="B448" s="47">
        <v>1000001</v>
      </c>
      <c r="C448" s="47">
        <v>2000000</v>
      </c>
      <c r="D448" s="118">
        <v>2</v>
      </c>
    </row>
    <row r="449" spans="1:4" x14ac:dyDescent="0.25">
      <c r="A449" s="6"/>
      <c r="B449" s="47">
        <v>2000001</v>
      </c>
      <c r="C449" s="47">
        <v>5000000</v>
      </c>
      <c r="D449" s="118">
        <v>1</v>
      </c>
    </row>
    <row r="450" spans="1:4" x14ac:dyDescent="0.25">
      <c r="A450" s="93"/>
      <c r="B450" s="48" t="s">
        <v>324</v>
      </c>
      <c r="C450" s="48"/>
      <c r="D450" s="118"/>
    </row>
    <row r="451" spans="1:4" x14ac:dyDescent="0.25">
      <c r="A451" s="93"/>
      <c r="B451" s="47">
        <v>0</v>
      </c>
      <c r="C451" s="47">
        <v>1</v>
      </c>
      <c r="D451" s="118"/>
    </row>
    <row r="452" spans="1:4" x14ac:dyDescent="0.25">
      <c r="A452" s="93"/>
      <c r="B452" s="47">
        <v>1</v>
      </c>
      <c r="C452" s="47">
        <v>3</v>
      </c>
      <c r="D452" s="118"/>
    </row>
    <row r="453" spans="1:4" x14ac:dyDescent="0.25">
      <c r="A453" s="93"/>
      <c r="B453" s="47">
        <v>3</v>
      </c>
      <c r="C453" s="47">
        <v>5</v>
      </c>
      <c r="D453" s="118"/>
    </row>
    <row r="454" spans="1:4" x14ac:dyDescent="0.25">
      <c r="A454" s="6"/>
      <c r="B454" s="48" t="s">
        <v>341</v>
      </c>
      <c r="C454" s="48"/>
      <c r="D454" s="118"/>
    </row>
    <row r="455" spans="1:4" x14ac:dyDescent="0.25">
      <c r="A455" s="6"/>
      <c r="B455" s="47" t="s">
        <v>191</v>
      </c>
      <c r="C455" s="47"/>
      <c r="D455" s="118">
        <v>2</v>
      </c>
    </row>
    <row r="456" spans="1:4" x14ac:dyDescent="0.25">
      <c r="A456" s="6"/>
      <c r="B456" s="47" t="s">
        <v>192</v>
      </c>
      <c r="C456" s="47"/>
      <c r="D456" s="118">
        <v>4</v>
      </c>
    </row>
    <row r="457" spans="1:4" x14ac:dyDescent="0.25">
      <c r="A457" s="6"/>
      <c r="B457" s="47" t="s">
        <v>193</v>
      </c>
      <c r="C457" s="47"/>
      <c r="D457" s="118">
        <v>6</v>
      </c>
    </row>
    <row r="458" spans="1:4" x14ac:dyDescent="0.25">
      <c r="A458" s="6"/>
      <c r="B458" s="47" t="s">
        <v>194</v>
      </c>
      <c r="C458" s="47"/>
      <c r="D458" s="118">
        <v>8</v>
      </c>
    </row>
    <row r="459" spans="1:4" x14ac:dyDescent="0.25">
      <c r="A459" s="6"/>
      <c r="B459" s="47" t="s">
        <v>195</v>
      </c>
      <c r="C459" s="47"/>
      <c r="D459" s="118">
        <v>0</v>
      </c>
    </row>
    <row r="460" spans="1:4" x14ac:dyDescent="0.25">
      <c r="A460" s="6"/>
      <c r="B460" s="47" t="s">
        <v>196</v>
      </c>
      <c r="C460" s="47"/>
      <c r="D460" s="118">
        <v>10</v>
      </c>
    </row>
    <row r="461" spans="1:4" x14ac:dyDescent="0.25">
      <c r="A461" s="91"/>
      <c r="B461" s="134" t="s">
        <v>197</v>
      </c>
      <c r="C461" s="107"/>
      <c r="D461" s="118"/>
    </row>
    <row r="462" spans="1:4" x14ac:dyDescent="0.25">
      <c r="A462" s="92"/>
      <c r="B462" s="48" t="s">
        <v>198</v>
      </c>
      <c r="C462" s="48"/>
      <c r="D462" s="118"/>
    </row>
    <row r="463" spans="1:4" x14ac:dyDescent="0.25">
      <c r="A463" s="6"/>
      <c r="B463" s="47" t="s">
        <v>199</v>
      </c>
      <c r="C463" s="47"/>
      <c r="D463" s="118"/>
    </row>
    <row r="464" spans="1:4" x14ac:dyDescent="0.25">
      <c r="A464" s="6"/>
      <c r="B464" s="47" t="s">
        <v>200</v>
      </c>
      <c r="C464" s="47"/>
      <c r="D464" s="118"/>
    </row>
    <row r="465" spans="1:4" x14ac:dyDescent="0.25">
      <c r="A465" s="6"/>
      <c r="B465" s="47" t="s">
        <v>201</v>
      </c>
      <c r="C465" s="47"/>
      <c r="D465" s="118"/>
    </row>
    <row r="466" spans="1:4" x14ac:dyDescent="0.25">
      <c r="A466" s="92"/>
      <c r="B466" s="48" t="s">
        <v>202</v>
      </c>
      <c r="C466" s="48"/>
      <c r="D466" s="118"/>
    </row>
    <row r="467" spans="1:4" x14ac:dyDescent="0.25">
      <c r="A467" s="6"/>
      <c r="B467" s="47" t="s">
        <v>203</v>
      </c>
      <c r="C467" s="47"/>
      <c r="D467" s="118"/>
    </row>
    <row r="468" spans="1:4" x14ac:dyDescent="0.25">
      <c r="A468" s="6"/>
      <c r="B468" s="47" t="s">
        <v>204</v>
      </c>
      <c r="C468" s="47"/>
      <c r="D468" s="118"/>
    </row>
    <row r="469" spans="1:4" x14ac:dyDescent="0.25">
      <c r="A469" s="6"/>
      <c r="B469" s="47" t="s">
        <v>205</v>
      </c>
      <c r="C469" s="47"/>
      <c r="D469" s="118"/>
    </row>
    <row r="470" spans="1:4" x14ac:dyDescent="0.25">
      <c r="A470" s="91"/>
      <c r="B470" s="134" t="s">
        <v>206</v>
      </c>
      <c r="C470" s="107"/>
      <c r="D470" s="118"/>
    </row>
    <row r="471" spans="1:4" x14ac:dyDescent="0.25">
      <c r="A471" s="92"/>
      <c r="B471" s="48" t="s">
        <v>207</v>
      </c>
      <c r="C471" s="48"/>
      <c r="D471" s="118"/>
    </row>
    <row r="472" spans="1:4" x14ac:dyDescent="0.25">
      <c r="A472" s="6"/>
      <c r="B472" s="47" t="s">
        <v>208</v>
      </c>
      <c r="C472" s="47"/>
      <c r="D472" s="118"/>
    </row>
    <row r="473" spans="1:4" x14ac:dyDescent="0.25">
      <c r="A473" s="6"/>
      <c r="B473" s="47" t="s">
        <v>209</v>
      </c>
      <c r="C473" s="47"/>
      <c r="D473" s="118"/>
    </row>
    <row r="474" spans="1:4" x14ac:dyDescent="0.25">
      <c r="A474" s="6"/>
      <c r="B474" s="47" t="s">
        <v>210</v>
      </c>
      <c r="C474" s="47"/>
      <c r="D474" s="118"/>
    </row>
    <row r="475" spans="1:4" x14ac:dyDescent="0.25">
      <c r="A475" s="6"/>
      <c r="B475" s="47" t="s">
        <v>211</v>
      </c>
      <c r="C475" s="47"/>
      <c r="D475" s="118"/>
    </row>
    <row r="476" spans="1:4" x14ac:dyDescent="0.25">
      <c r="A476" s="6"/>
      <c r="B476" s="47" t="s">
        <v>212</v>
      </c>
      <c r="C476" s="47"/>
      <c r="D476" s="118"/>
    </row>
    <row r="477" spans="1:4" x14ac:dyDescent="0.25">
      <c r="A477" s="6"/>
      <c r="B477" s="47" t="s">
        <v>213</v>
      </c>
      <c r="C477" s="47"/>
      <c r="D477" s="118"/>
    </row>
    <row r="478" spans="1:4" x14ac:dyDescent="0.25">
      <c r="A478" s="6"/>
      <c r="B478" s="47" t="s">
        <v>214</v>
      </c>
      <c r="C478" s="47"/>
      <c r="D478" s="118"/>
    </row>
    <row r="479" spans="1:4" x14ac:dyDescent="0.25">
      <c r="A479" s="6"/>
      <c r="B479" s="47" t="s">
        <v>215</v>
      </c>
      <c r="C479" s="47"/>
      <c r="D479" s="118"/>
    </row>
    <row r="480" spans="1:4" x14ac:dyDescent="0.25">
      <c r="A480" s="6"/>
      <c r="B480" s="47" t="s">
        <v>216</v>
      </c>
      <c r="C480" s="47"/>
      <c r="D480" s="118"/>
    </row>
    <row r="481" spans="1:4" x14ac:dyDescent="0.25">
      <c r="A481" s="92"/>
      <c r="B481" s="48" t="s">
        <v>217</v>
      </c>
      <c r="C481" s="48"/>
      <c r="D481" s="118"/>
    </row>
    <row r="482" spans="1:4" x14ac:dyDescent="0.25">
      <c r="A482" s="6"/>
      <c r="B482" s="47">
        <v>0</v>
      </c>
      <c r="C482" s="47">
        <v>50</v>
      </c>
      <c r="D482" s="118"/>
    </row>
    <row r="483" spans="1:4" x14ac:dyDescent="0.25">
      <c r="A483" s="6"/>
      <c r="B483" s="47">
        <v>51</v>
      </c>
      <c r="C483" s="47">
        <v>100</v>
      </c>
      <c r="D483" s="118"/>
    </row>
    <row r="484" spans="1:4" x14ac:dyDescent="0.25">
      <c r="A484" s="6"/>
      <c r="B484" s="47">
        <v>101</v>
      </c>
      <c r="C484" s="47">
        <v>150</v>
      </c>
      <c r="D484" s="118"/>
    </row>
    <row r="485" spans="1:4" x14ac:dyDescent="0.25">
      <c r="A485" s="92"/>
      <c r="B485" s="48" t="s">
        <v>338</v>
      </c>
      <c r="C485" s="48"/>
      <c r="D485" s="118"/>
    </row>
    <row r="486" spans="1:4" x14ac:dyDescent="0.25">
      <c r="A486" s="6"/>
      <c r="B486" s="47">
        <v>0</v>
      </c>
      <c r="C486" s="47">
        <v>5000</v>
      </c>
      <c r="D486" s="118"/>
    </row>
    <row r="487" spans="1:4" x14ac:dyDescent="0.25">
      <c r="A487" s="6"/>
      <c r="B487" s="47">
        <v>5001</v>
      </c>
      <c r="C487" s="47">
        <v>20000</v>
      </c>
      <c r="D487" s="118"/>
    </row>
    <row r="488" spans="1:4" x14ac:dyDescent="0.25">
      <c r="A488" s="6"/>
      <c r="B488" s="47">
        <v>20001</v>
      </c>
      <c r="C488" s="47">
        <v>50000</v>
      </c>
      <c r="D488" s="118"/>
    </row>
    <row r="489" spans="1:4" x14ac:dyDescent="0.25">
      <c r="A489" s="6"/>
      <c r="B489" s="47">
        <v>50001</v>
      </c>
      <c r="C489" s="47">
        <v>200000</v>
      </c>
      <c r="D489" s="118"/>
    </row>
    <row r="490" spans="1:4" x14ac:dyDescent="0.25">
      <c r="A490" s="91"/>
      <c r="B490" s="134" t="s">
        <v>225</v>
      </c>
      <c r="C490" s="107"/>
      <c r="D490" s="118"/>
    </row>
    <row r="491" spans="1:4" x14ac:dyDescent="0.25">
      <c r="A491" s="92"/>
      <c r="B491" s="48" t="s">
        <v>226</v>
      </c>
      <c r="C491" s="48"/>
      <c r="D491" s="118"/>
    </row>
    <row r="492" spans="1:4" x14ac:dyDescent="0.25">
      <c r="A492" s="6"/>
      <c r="B492" s="47" t="s">
        <v>227</v>
      </c>
      <c r="C492" s="47"/>
      <c r="D492" s="118"/>
    </row>
    <row r="493" spans="1:4" x14ac:dyDescent="0.25">
      <c r="A493" s="6"/>
      <c r="B493" s="47" t="s">
        <v>228</v>
      </c>
      <c r="C493" s="47"/>
      <c r="D493" s="118"/>
    </row>
    <row r="494" spans="1:4" x14ac:dyDescent="0.25">
      <c r="A494" s="6"/>
      <c r="B494" s="47" t="s">
        <v>229</v>
      </c>
      <c r="C494" s="47"/>
      <c r="D494" s="118"/>
    </row>
    <row r="495" spans="1:4" x14ac:dyDescent="0.25">
      <c r="A495" s="6"/>
      <c r="B495" s="47" t="s">
        <v>230</v>
      </c>
      <c r="C495" s="47"/>
      <c r="D495" s="118"/>
    </row>
    <row r="496" spans="1:4" x14ac:dyDescent="0.25">
      <c r="A496" s="6"/>
      <c r="B496" s="47" t="s">
        <v>231</v>
      </c>
      <c r="C496" s="47"/>
      <c r="D496" s="118"/>
    </row>
    <row r="497" spans="1:4" x14ac:dyDescent="0.25">
      <c r="A497" s="6"/>
      <c r="B497" s="47" t="s">
        <v>232</v>
      </c>
      <c r="C497" s="47"/>
      <c r="D497" s="118"/>
    </row>
    <row r="498" spans="1:4" x14ac:dyDescent="0.25">
      <c r="A498" s="6"/>
      <c r="B498" s="47" t="s">
        <v>346</v>
      </c>
      <c r="C498" s="47"/>
      <c r="D498" s="118"/>
    </row>
    <row r="499" spans="1:4" ht="31.5" x14ac:dyDescent="0.25">
      <c r="A499" s="92"/>
      <c r="B499" s="59" t="s">
        <v>339</v>
      </c>
      <c r="C499" s="59"/>
      <c r="D499" s="118"/>
    </row>
    <row r="500" spans="1:4" x14ac:dyDescent="0.25">
      <c r="A500" s="6"/>
      <c r="B500" s="47" t="s">
        <v>233</v>
      </c>
      <c r="C500" s="47"/>
      <c r="D500" s="118"/>
    </row>
    <row r="501" spans="1:4" x14ac:dyDescent="0.25">
      <c r="A501" s="6"/>
      <c r="B501" s="47" t="s">
        <v>234</v>
      </c>
      <c r="C501" s="47"/>
      <c r="D501" s="118"/>
    </row>
    <row r="502" spans="1:4" x14ac:dyDescent="0.25">
      <c r="A502" s="6"/>
      <c r="B502" s="47" t="s">
        <v>235</v>
      </c>
      <c r="C502" s="47"/>
      <c r="D502" s="118"/>
    </row>
    <row r="503" spans="1:4" x14ac:dyDescent="0.25">
      <c r="A503" s="6"/>
      <c r="B503" s="47" t="s">
        <v>236</v>
      </c>
      <c r="C503" s="47"/>
      <c r="D503" s="118"/>
    </row>
    <row r="504" spans="1:4" x14ac:dyDescent="0.25">
      <c r="A504" s="6"/>
      <c r="B504" s="47" t="s">
        <v>237</v>
      </c>
      <c r="C504" s="47"/>
      <c r="D504" s="118"/>
    </row>
    <row r="505" spans="1:4" x14ac:dyDescent="0.25">
      <c r="A505" s="6"/>
      <c r="B505" s="47" t="s">
        <v>238</v>
      </c>
      <c r="C505" s="47"/>
      <c r="D505" s="118"/>
    </row>
    <row r="506" spans="1:4" x14ac:dyDescent="0.25">
      <c r="A506" s="91"/>
      <c r="B506" s="134" t="s">
        <v>225</v>
      </c>
      <c r="C506" s="107"/>
      <c r="D506" s="118"/>
    </row>
    <row r="507" spans="1:4" x14ac:dyDescent="0.25">
      <c r="A507" s="6"/>
      <c r="B507" s="98" t="s">
        <v>247</v>
      </c>
      <c r="C507" s="98"/>
      <c r="D507" s="118" t="s">
        <v>7</v>
      </c>
    </row>
    <row r="508" spans="1:4" ht="31.5" x14ac:dyDescent="0.25">
      <c r="A508" s="6"/>
      <c r="B508" s="99" t="s">
        <v>248</v>
      </c>
      <c r="C508" s="99"/>
      <c r="D508" s="118" t="s">
        <v>7</v>
      </c>
    </row>
    <row r="509" spans="1:4" x14ac:dyDescent="0.25">
      <c r="A509" s="6"/>
      <c r="B509" s="98" t="s">
        <v>249</v>
      </c>
      <c r="C509" s="98"/>
      <c r="D509" s="118" t="s">
        <v>7</v>
      </c>
    </row>
    <row r="510" spans="1:4" ht="31.5" x14ac:dyDescent="0.25">
      <c r="A510" s="6"/>
      <c r="B510" s="99" t="s">
        <v>248</v>
      </c>
      <c r="C510" s="99"/>
      <c r="D510" s="118" t="s">
        <v>7</v>
      </c>
    </row>
    <row r="511" spans="1:4" x14ac:dyDescent="0.25">
      <c r="A511" s="6"/>
      <c r="B511" s="100" t="s">
        <v>250</v>
      </c>
      <c r="C511" s="100"/>
      <c r="D511" s="118" t="s">
        <v>7</v>
      </c>
    </row>
    <row r="512" spans="1:4" x14ac:dyDescent="0.25">
      <c r="A512" s="6"/>
      <c r="B512" s="100" t="s">
        <v>251</v>
      </c>
      <c r="C512" s="100"/>
      <c r="D512" s="118" t="s">
        <v>7</v>
      </c>
    </row>
    <row r="513" spans="1:4" x14ac:dyDescent="0.25">
      <c r="A513" s="6"/>
      <c r="B513" s="100" t="s">
        <v>252</v>
      </c>
      <c r="C513" s="100"/>
      <c r="D513" s="118" t="s">
        <v>7</v>
      </c>
    </row>
    <row r="514" spans="1:4" x14ac:dyDescent="0.25">
      <c r="A514" s="6"/>
      <c r="B514" s="100" t="s">
        <v>465</v>
      </c>
      <c r="C514" s="100"/>
      <c r="D514" s="118" t="s">
        <v>7</v>
      </c>
    </row>
    <row r="515" spans="1:4" x14ac:dyDescent="0.25">
      <c r="A515" s="6"/>
      <c r="B515" s="100" t="s">
        <v>466</v>
      </c>
      <c r="C515" s="100"/>
      <c r="D515" s="118" t="s">
        <v>7</v>
      </c>
    </row>
    <row r="516" spans="1:4" x14ac:dyDescent="0.25">
      <c r="A516" s="6"/>
      <c r="B516" s="100"/>
      <c r="C516" s="100"/>
      <c r="D516" s="118"/>
    </row>
    <row r="517" spans="1:4" x14ac:dyDescent="0.25">
      <c r="A517" s="91"/>
      <c r="B517" s="134" t="s">
        <v>257</v>
      </c>
      <c r="C517" s="107"/>
      <c r="D517" s="118" t="s">
        <v>7</v>
      </c>
    </row>
    <row r="518" spans="1:4" x14ac:dyDescent="0.25">
      <c r="A518" s="6"/>
      <c r="B518" s="100" t="s">
        <v>258</v>
      </c>
      <c r="C518" s="100"/>
      <c r="D518" s="118" t="s">
        <v>7</v>
      </c>
    </row>
    <row r="519" spans="1:4" x14ac:dyDescent="0.25">
      <c r="A519" s="6"/>
      <c r="B519" s="97" t="s">
        <v>259</v>
      </c>
      <c r="C519" s="97"/>
      <c r="D519" s="118" t="s">
        <v>7</v>
      </c>
    </row>
    <row r="520" spans="1:4" x14ac:dyDescent="0.25">
      <c r="A520" s="6"/>
      <c r="B520" s="97" t="s">
        <v>260</v>
      </c>
      <c r="C520" s="97"/>
      <c r="D520" s="118" t="s">
        <v>7</v>
      </c>
    </row>
    <row r="521" spans="1:4" x14ac:dyDescent="0.25">
      <c r="A521" s="6"/>
      <c r="B521" s="97" t="s">
        <v>261</v>
      </c>
      <c r="C521" s="97"/>
      <c r="D521" s="118" t="s">
        <v>7</v>
      </c>
    </row>
    <row r="522" spans="1:4" x14ac:dyDescent="0.25">
      <c r="A522" s="6"/>
      <c r="B522" s="97" t="s">
        <v>262</v>
      </c>
      <c r="C522" s="97"/>
      <c r="D522" s="118" t="s">
        <v>7</v>
      </c>
    </row>
    <row r="523" spans="1:4" x14ac:dyDescent="0.25">
      <c r="A523" s="6"/>
      <c r="B523" s="97" t="s">
        <v>263</v>
      </c>
      <c r="C523" s="97"/>
      <c r="D523" s="118" t="s">
        <v>7</v>
      </c>
    </row>
    <row r="524" spans="1:4" x14ac:dyDescent="0.25">
      <c r="A524" s="6"/>
      <c r="B524" s="97" t="s">
        <v>264</v>
      </c>
      <c r="C524" s="97"/>
      <c r="D524" s="118" t="s">
        <v>7</v>
      </c>
    </row>
    <row r="525" spans="1:4" x14ac:dyDescent="0.25">
      <c r="A525" s="6"/>
      <c r="B525" s="97" t="s">
        <v>265</v>
      </c>
      <c r="C525" s="97"/>
      <c r="D525" s="118" t="s">
        <v>7</v>
      </c>
    </row>
    <row r="526" spans="1:4" x14ac:dyDescent="0.25">
      <c r="A526" s="6"/>
      <c r="B526" s="97" t="s">
        <v>266</v>
      </c>
      <c r="C526" s="97"/>
      <c r="D526" s="118" t="s">
        <v>7</v>
      </c>
    </row>
    <row r="527" spans="1:4" x14ac:dyDescent="0.25">
      <c r="A527" s="6"/>
      <c r="B527" s="97" t="s">
        <v>267</v>
      </c>
      <c r="C527" s="97"/>
      <c r="D527" s="118" t="s">
        <v>7</v>
      </c>
    </row>
    <row r="528" spans="1:4" x14ac:dyDescent="0.25">
      <c r="A528" s="6"/>
      <c r="B528" s="97" t="s">
        <v>268</v>
      </c>
      <c r="C528" s="97"/>
      <c r="D528" s="118" t="s">
        <v>7</v>
      </c>
    </row>
    <row r="529" spans="1:4" x14ac:dyDescent="0.25">
      <c r="A529" s="6"/>
      <c r="B529" s="97" t="s">
        <v>269</v>
      </c>
      <c r="C529" s="97"/>
      <c r="D529" s="118"/>
    </row>
    <row r="530" spans="1:4" x14ac:dyDescent="0.25">
      <c r="A530" s="6"/>
      <c r="B530" s="97" t="s">
        <v>270</v>
      </c>
      <c r="C530" s="97"/>
      <c r="D530" s="118"/>
    </row>
    <row r="531" spans="1:4" x14ac:dyDescent="0.25">
      <c r="A531" s="6"/>
      <c r="B531" s="97" t="s">
        <v>271</v>
      </c>
      <c r="C531" s="97"/>
      <c r="D531" s="118"/>
    </row>
    <row r="532" spans="1:4" x14ac:dyDescent="0.25">
      <c r="A532" s="6"/>
      <c r="B532" s="97" t="s">
        <v>272</v>
      </c>
      <c r="C532" s="97"/>
      <c r="D532" s="118"/>
    </row>
    <row r="533" spans="1:4" x14ac:dyDescent="0.25">
      <c r="A533" s="6"/>
      <c r="B533" s="97" t="s">
        <v>273</v>
      </c>
      <c r="C533" s="97"/>
      <c r="D533" s="118" t="s">
        <v>7</v>
      </c>
    </row>
    <row r="534" spans="1:4" x14ac:dyDescent="0.25">
      <c r="A534" s="6"/>
      <c r="B534" s="97" t="s">
        <v>274</v>
      </c>
      <c r="C534" s="97"/>
      <c r="D534" s="118" t="s">
        <v>7</v>
      </c>
    </row>
    <row r="535" spans="1:4" x14ac:dyDescent="0.25">
      <c r="A535" s="6"/>
      <c r="B535" s="97" t="s">
        <v>275</v>
      </c>
      <c r="C535" s="97"/>
      <c r="D535" s="118" t="s">
        <v>7</v>
      </c>
    </row>
    <row r="536" spans="1:4" x14ac:dyDescent="0.25">
      <c r="A536" s="6"/>
      <c r="B536" s="97" t="s">
        <v>276</v>
      </c>
      <c r="C536" s="97"/>
      <c r="D536" s="118" t="s">
        <v>7</v>
      </c>
    </row>
    <row r="537" spans="1:4" x14ac:dyDescent="0.25">
      <c r="A537" s="6"/>
      <c r="B537" s="97" t="s">
        <v>277</v>
      </c>
      <c r="C537" s="97"/>
      <c r="D537" s="118" t="s">
        <v>7</v>
      </c>
    </row>
    <row r="538" spans="1:4" x14ac:dyDescent="0.25">
      <c r="A538" s="6"/>
      <c r="B538" s="97" t="s">
        <v>278</v>
      </c>
      <c r="C538" s="97"/>
      <c r="D538" s="118" t="s">
        <v>7</v>
      </c>
    </row>
    <row r="539" spans="1:4" x14ac:dyDescent="0.25">
      <c r="A539" s="6"/>
      <c r="B539" s="97" t="s">
        <v>279</v>
      </c>
      <c r="C539" s="97"/>
      <c r="D539" s="118" t="s">
        <v>7</v>
      </c>
    </row>
    <row r="540" spans="1:4" x14ac:dyDescent="0.25">
      <c r="A540" s="6"/>
      <c r="B540" s="97" t="s">
        <v>280</v>
      </c>
      <c r="C540" s="97"/>
      <c r="D540" s="118" t="s">
        <v>7</v>
      </c>
    </row>
    <row r="541" spans="1:4" x14ac:dyDescent="0.25">
      <c r="A541" s="6"/>
      <c r="B541" s="97" t="s">
        <v>281</v>
      </c>
      <c r="C541" s="97"/>
      <c r="D541" s="118" t="s">
        <v>7</v>
      </c>
    </row>
    <row r="542" spans="1:4" x14ac:dyDescent="0.25">
      <c r="A542" s="6"/>
      <c r="B542" s="97" t="s">
        <v>282</v>
      </c>
      <c r="C542" s="97"/>
      <c r="D542" s="118" t="s">
        <v>7</v>
      </c>
    </row>
    <row r="543" spans="1:4" x14ac:dyDescent="0.25">
      <c r="A543" s="6"/>
      <c r="B543" s="97" t="s">
        <v>283</v>
      </c>
      <c r="C543" s="97"/>
      <c r="D543" s="118" t="s">
        <v>7</v>
      </c>
    </row>
    <row r="544" spans="1:4" x14ac:dyDescent="0.25">
      <c r="A544" s="6"/>
      <c r="B544" s="97" t="s">
        <v>284</v>
      </c>
      <c r="C544" s="97"/>
      <c r="D544" s="118" t="s">
        <v>7</v>
      </c>
    </row>
    <row r="545" spans="1:4" x14ac:dyDescent="0.25">
      <c r="A545" s="6"/>
      <c r="B545" s="97" t="s">
        <v>285</v>
      </c>
      <c r="C545" s="97"/>
      <c r="D545" s="118" t="s">
        <v>7</v>
      </c>
    </row>
    <row r="546" spans="1:4" x14ac:dyDescent="0.25">
      <c r="A546" s="6"/>
      <c r="B546" s="97" t="s">
        <v>286</v>
      </c>
      <c r="C546" s="97"/>
      <c r="D546" s="118" t="s">
        <v>7</v>
      </c>
    </row>
    <row r="547" spans="1:4" x14ac:dyDescent="0.25">
      <c r="A547" s="6"/>
      <c r="B547" s="97" t="s">
        <v>287</v>
      </c>
      <c r="C547" s="97"/>
      <c r="D547" s="118" t="s">
        <v>7</v>
      </c>
    </row>
    <row r="548" spans="1:4" x14ac:dyDescent="0.25">
      <c r="A548" s="6"/>
      <c r="B548" s="97"/>
      <c r="C548" s="97"/>
      <c r="D548" s="118"/>
    </row>
    <row r="549" spans="1:4" x14ac:dyDescent="0.25">
      <c r="A549" s="6"/>
      <c r="B549" s="97" t="s">
        <v>288</v>
      </c>
      <c r="C549" s="97"/>
      <c r="D549" s="118" t="s">
        <v>7</v>
      </c>
    </row>
    <row r="550" spans="1:4" x14ac:dyDescent="0.25">
      <c r="A550" s="6"/>
      <c r="B550" s="97" t="s">
        <v>289</v>
      </c>
      <c r="C550" s="97"/>
      <c r="D550" s="118" t="s">
        <v>7</v>
      </c>
    </row>
    <row r="551" spans="1:4" x14ac:dyDescent="0.25">
      <c r="A551" s="6"/>
      <c r="B551" s="97" t="s">
        <v>290</v>
      </c>
      <c r="C551" s="97"/>
      <c r="D551" s="118" t="s">
        <v>7</v>
      </c>
    </row>
    <row r="552" spans="1:4" x14ac:dyDescent="0.25">
      <c r="A552" s="6"/>
      <c r="B552" s="97" t="s">
        <v>291</v>
      </c>
      <c r="C552" s="97"/>
      <c r="D552" s="118" t="s">
        <v>7</v>
      </c>
    </row>
    <row r="553" spans="1:4" x14ac:dyDescent="0.25">
      <c r="A553" s="6"/>
      <c r="B553" s="120"/>
      <c r="C553" s="120"/>
      <c r="D553" s="120"/>
    </row>
  </sheetData>
  <mergeCells count="7">
    <mergeCell ref="A5:A22"/>
    <mergeCell ref="A105:A124"/>
    <mergeCell ref="A202:A243"/>
    <mergeCell ref="E144:E148"/>
    <mergeCell ref="E155:E159"/>
    <mergeCell ref="A23:A42"/>
    <mergeCell ref="A43:A94"/>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1"/>
  <sheetViews>
    <sheetView tabSelected="1" zoomScale="70" zoomScaleNormal="70" zoomScalePageLayoutView="85" workbookViewId="0">
      <selection activeCell="D19" sqref="D19:F19"/>
    </sheetView>
  </sheetViews>
  <sheetFormatPr defaultColWidth="8.85546875" defaultRowHeight="19.5" x14ac:dyDescent="0.25"/>
  <cols>
    <col min="1" max="1" width="13.28515625" style="90" customWidth="1"/>
    <col min="2" max="2" width="2.85546875" style="155" bestFit="1" customWidth="1"/>
    <col min="3" max="3" width="78.85546875" style="85" customWidth="1"/>
    <col min="4" max="4" width="24.5703125" style="80" bestFit="1" customWidth="1"/>
    <col min="5" max="5" width="24" style="80" bestFit="1" customWidth="1"/>
    <col min="6" max="6" width="24" style="77" bestFit="1" customWidth="1"/>
    <col min="7" max="7" width="23.28515625" style="77" customWidth="1"/>
    <col min="8" max="8" width="15.140625" style="77" bestFit="1" customWidth="1"/>
    <col min="9" max="9" width="9.7109375" style="77" customWidth="1"/>
    <col min="10" max="10" width="24.42578125" style="75" customWidth="1"/>
    <col min="11" max="11" width="21.5703125" style="277" customWidth="1"/>
    <col min="12" max="12" width="12.140625" style="74" customWidth="1"/>
    <col min="13" max="13" width="10.85546875" style="74" customWidth="1"/>
    <col min="14" max="14" width="8.7109375" style="74" customWidth="1"/>
    <col min="15" max="18" width="8.85546875" style="74"/>
    <col min="19" max="19" width="21.140625" style="74" bestFit="1" customWidth="1"/>
    <col min="20" max="16384" width="8.85546875" style="74"/>
  </cols>
  <sheetData>
    <row r="1" spans="1:12" ht="58.5" customHeight="1" thickBot="1" x14ac:dyDescent="0.3">
      <c r="A1" s="89"/>
      <c r="B1" s="148"/>
      <c r="C1" s="71" t="s">
        <v>3</v>
      </c>
      <c r="D1" s="351" t="s">
        <v>345</v>
      </c>
      <c r="E1" s="352"/>
      <c r="F1" s="352"/>
      <c r="G1" s="352"/>
      <c r="H1" s="353"/>
      <c r="I1" s="72"/>
      <c r="J1" s="73" t="s">
        <v>344</v>
      </c>
      <c r="K1" s="276" t="s">
        <v>467</v>
      </c>
      <c r="L1" s="74" t="s">
        <v>468</v>
      </c>
    </row>
    <row r="2" spans="1:12" ht="15.75" customHeight="1" x14ac:dyDescent="0.25">
      <c r="A2" s="316" t="s">
        <v>517</v>
      </c>
      <c r="B2" s="149" t="s">
        <v>380</v>
      </c>
      <c r="C2" s="135" t="s">
        <v>473</v>
      </c>
      <c r="D2" s="357" t="s">
        <v>381</v>
      </c>
      <c r="E2" s="357"/>
      <c r="F2" s="357"/>
      <c r="G2" s="136"/>
      <c r="H2" s="136"/>
      <c r="I2" s="136"/>
      <c r="J2" s="137" t="s">
        <v>346</v>
      </c>
      <c r="K2" s="348">
        <f>AVERAGE(J2:J17)</f>
        <v>8</v>
      </c>
      <c r="L2" s="74" t="e">
        <f>SUM(K2:K229)</f>
        <v>#DIV/0!</v>
      </c>
    </row>
    <row r="3" spans="1:12" ht="15.75" customHeight="1" x14ac:dyDescent="0.25">
      <c r="A3" s="312"/>
      <c r="B3" s="150" t="s">
        <v>380</v>
      </c>
      <c r="C3" s="138" t="s">
        <v>474</v>
      </c>
      <c r="D3" s="314" t="s">
        <v>377</v>
      </c>
      <c r="E3" s="314"/>
      <c r="F3" s="314"/>
      <c r="G3" s="139"/>
      <c r="H3" s="139"/>
      <c r="I3" s="139"/>
      <c r="J3" s="140" t="s">
        <v>346</v>
      </c>
      <c r="K3" s="349"/>
    </row>
    <row r="4" spans="1:12" ht="15.75" customHeight="1" x14ac:dyDescent="0.25">
      <c r="A4" s="312"/>
      <c r="B4" s="150" t="s">
        <v>380</v>
      </c>
      <c r="C4" s="138" t="s">
        <v>378</v>
      </c>
      <c r="D4" s="368" t="s">
        <v>379</v>
      </c>
      <c r="E4" s="369"/>
      <c r="F4" s="370"/>
      <c r="G4" s="139"/>
      <c r="H4" s="139"/>
      <c r="I4" s="139"/>
      <c r="J4" s="140" t="s">
        <v>346</v>
      </c>
      <c r="K4" s="349"/>
    </row>
    <row r="5" spans="1:12" ht="15.75" customHeight="1" x14ac:dyDescent="0.25">
      <c r="A5" s="312"/>
      <c r="B5" s="150"/>
      <c r="C5" s="138" t="s">
        <v>469</v>
      </c>
      <c r="D5" s="314" t="s">
        <v>347</v>
      </c>
      <c r="E5" s="314"/>
      <c r="F5" s="314"/>
      <c r="G5" s="139"/>
      <c r="H5" s="139"/>
      <c r="I5" s="139"/>
      <c r="J5" s="140" t="s">
        <v>346</v>
      </c>
      <c r="K5" s="349"/>
    </row>
    <row r="6" spans="1:12" ht="15.75" customHeight="1" x14ac:dyDescent="0.25">
      <c r="A6" s="312"/>
      <c r="B6" s="150"/>
      <c r="C6" s="138" t="s">
        <v>470</v>
      </c>
      <c r="D6" s="368" t="s">
        <v>377</v>
      </c>
      <c r="E6" s="369"/>
      <c r="F6" s="370"/>
      <c r="G6" s="139"/>
      <c r="H6" s="139"/>
      <c r="I6" s="139"/>
      <c r="J6" s="140"/>
      <c r="K6" s="349"/>
    </row>
    <row r="7" spans="1:12" x14ac:dyDescent="0.25">
      <c r="A7" s="312"/>
      <c r="B7" s="150" t="s">
        <v>380</v>
      </c>
      <c r="C7" s="142" t="s">
        <v>10</v>
      </c>
      <c r="D7" s="314">
        <v>21</v>
      </c>
      <c r="E7" s="314"/>
      <c r="F7" s="314"/>
      <c r="G7" s="139"/>
      <c r="H7" s="139"/>
      <c r="I7" s="139"/>
      <c r="J7" s="140">
        <f>LOOKUP(D7,'Logic Page+ Weightage'!B8:C12,'Logic Page+ Weightage'!D8:D12)</f>
        <v>10</v>
      </c>
      <c r="K7" s="349"/>
    </row>
    <row r="8" spans="1:12" ht="15.75" customHeight="1" x14ac:dyDescent="0.25">
      <c r="A8" s="312"/>
      <c r="B8" s="150" t="s">
        <v>380</v>
      </c>
      <c r="C8" s="142" t="s">
        <v>11</v>
      </c>
      <c r="D8" s="314">
        <v>9664531845</v>
      </c>
      <c r="E8" s="314"/>
      <c r="F8" s="314"/>
      <c r="G8" s="139"/>
      <c r="H8" s="139"/>
      <c r="I8" s="139"/>
      <c r="J8" s="140" t="s">
        <v>346</v>
      </c>
      <c r="K8" s="349"/>
    </row>
    <row r="9" spans="1:12" ht="15.75" customHeight="1" x14ac:dyDescent="0.25">
      <c r="A9" s="312"/>
      <c r="B9" s="150"/>
      <c r="C9" s="142" t="s">
        <v>14</v>
      </c>
      <c r="D9" s="314">
        <v>9220630191</v>
      </c>
      <c r="E9" s="314"/>
      <c r="F9" s="314"/>
      <c r="G9" s="139"/>
      <c r="H9" s="139"/>
      <c r="I9" s="139"/>
      <c r="J9" s="140" t="s">
        <v>346</v>
      </c>
      <c r="K9" s="349"/>
    </row>
    <row r="10" spans="1:12" ht="15.75" customHeight="1" x14ac:dyDescent="0.25">
      <c r="A10" s="312"/>
      <c r="B10" s="150" t="s">
        <v>380</v>
      </c>
      <c r="C10" s="142" t="s">
        <v>375</v>
      </c>
      <c r="D10" s="367">
        <v>124578965412</v>
      </c>
      <c r="E10" s="367"/>
      <c r="F10" s="367"/>
      <c r="G10" s="143"/>
      <c r="H10" s="143"/>
      <c r="I10" s="143"/>
      <c r="J10" s="140" t="s">
        <v>346</v>
      </c>
      <c r="K10" s="349"/>
    </row>
    <row r="11" spans="1:12" ht="19.5" customHeight="1" x14ac:dyDescent="0.25">
      <c r="A11" s="312"/>
      <c r="B11" s="150"/>
      <c r="C11" s="142" t="s">
        <v>382</v>
      </c>
      <c r="D11" s="354" t="s">
        <v>342</v>
      </c>
      <c r="E11" s="355"/>
      <c r="F11" s="356"/>
      <c r="G11" s="143"/>
      <c r="H11" s="143"/>
      <c r="I11" s="143"/>
      <c r="J11" s="140" t="s">
        <v>346</v>
      </c>
      <c r="K11" s="349"/>
    </row>
    <row r="12" spans="1:12" ht="19.5" customHeight="1" x14ac:dyDescent="0.25">
      <c r="A12" s="312"/>
      <c r="B12" s="150"/>
      <c r="C12" s="142"/>
      <c r="D12" s="314" t="str">
        <f>IF($D$11="Yes","Specify other ID Proof","NA")</f>
        <v>Specify other ID Proof</v>
      </c>
      <c r="E12" s="314"/>
      <c r="F12" s="314"/>
      <c r="G12" s="144" t="str">
        <f>IF($D$12="NA","NA","Passport")</f>
        <v>Passport</v>
      </c>
      <c r="H12" s="144" t="s">
        <v>343</v>
      </c>
      <c r="I12" s="144"/>
      <c r="J12" s="140" t="s">
        <v>346</v>
      </c>
      <c r="K12" s="349"/>
    </row>
    <row r="13" spans="1:12" ht="19.5" customHeight="1" x14ac:dyDescent="0.25">
      <c r="A13" s="312"/>
      <c r="B13" s="150"/>
      <c r="C13" s="142"/>
      <c r="D13" s="371"/>
      <c r="E13" s="372"/>
      <c r="F13" s="373"/>
      <c r="G13" s="144" t="str">
        <f>IF($D$12="NA","NA","PAN Card")</f>
        <v>PAN Card</v>
      </c>
      <c r="H13" s="144" t="s">
        <v>343</v>
      </c>
      <c r="I13" s="144"/>
      <c r="J13" s="140" t="s">
        <v>346</v>
      </c>
      <c r="K13" s="349"/>
    </row>
    <row r="14" spans="1:12" ht="19.5" customHeight="1" x14ac:dyDescent="0.25">
      <c r="A14" s="312"/>
      <c r="B14" s="150"/>
      <c r="C14" s="142"/>
      <c r="D14" s="371"/>
      <c r="E14" s="372"/>
      <c r="F14" s="373"/>
      <c r="G14" s="144" t="str">
        <f>IF($D$12="NA","NA","Voting card")</f>
        <v>Voting card</v>
      </c>
      <c r="H14" s="144" t="s">
        <v>342</v>
      </c>
      <c r="I14" s="144"/>
      <c r="J14" s="140" t="s">
        <v>346</v>
      </c>
      <c r="K14" s="349"/>
    </row>
    <row r="15" spans="1:12" ht="19.5" customHeight="1" x14ac:dyDescent="0.25">
      <c r="A15" s="312"/>
      <c r="B15" s="151"/>
      <c r="C15" s="145"/>
      <c r="D15" s="371"/>
      <c r="E15" s="372"/>
      <c r="F15" s="373"/>
      <c r="G15" s="144" t="str">
        <f>IF($D$12="NA","NA","Driving Licence")</f>
        <v>Driving Licence</v>
      </c>
      <c r="H15" s="144" t="s">
        <v>342</v>
      </c>
      <c r="I15" s="144"/>
      <c r="J15" s="146"/>
      <c r="K15" s="349"/>
    </row>
    <row r="16" spans="1:12" ht="19.5" customHeight="1" x14ac:dyDescent="0.25">
      <c r="A16" s="312"/>
      <c r="B16" s="151"/>
      <c r="C16" s="145"/>
      <c r="D16" s="395"/>
      <c r="E16" s="395"/>
      <c r="F16" s="395"/>
      <c r="G16" s="147" t="str">
        <f>IF($D$12="NA","NA","Other")</f>
        <v>Other</v>
      </c>
      <c r="H16" s="147" t="s">
        <v>343</v>
      </c>
      <c r="I16" s="147"/>
      <c r="J16" s="146" t="s">
        <v>346</v>
      </c>
      <c r="K16" s="349"/>
    </row>
    <row r="17" spans="1:17" ht="15.75" customHeight="1" thickBot="1" x14ac:dyDescent="0.3">
      <c r="A17" s="317"/>
      <c r="B17" s="152"/>
      <c r="C17" s="142" t="s">
        <v>527</v>
      </c>
      <c r="D17" s="314">
        <v>7</v>
      </c>
      <c r="E17" s="314"/>
      <c r="F17" s="314"/>
      <c r="G17" s="141"/>
      <c r="H17" s="141"/>
      <c r="I17" s="141"/>
      <c r="J17" s="140">
        <f>LOOKUP(D17,'Logic Page+ Weightage'!$B$251:$C$255,'Logic Page+ Weightage'!$D$251:$D$255)</f>
        <v>6</v>
      </c>
      <c r="K17" s="350"/>
      <c r="L17" s="315" t="s">
        <v>360</v>
      </c>
      <c r="M17" s="315"/>
      <c r="N17" s="315"/>
    </row>
    <row r="18" spans="1:17" ht="21" customHeight="1" x14ac:dyDescent="0.25">
      <c r="A18" s="336" t="s">
        <v>528</v>
      </c>
      <c r="B18" s="171" t="s">
        <v>380</v>
      </c>
      <c r="C18" s="178" t="s">
        <v>80</v>
      </c>
      <c r="D18" s="362" t="s">
        <v>85</v>
      </c>
      <c r="E18" s="362"/>
      <c r="F18" s="362"/>
      <c r="G18" s="160"/>
      <c r="H18" s="160"/>
      <c r="I18" s="160"/>
      <c r="J18" s="161">
        <f>IF(D18="illiterate",2,IF(D18="Primary education",4,IF(D18="matriculate",6,IF(D18="graduate",8,10))))</f>
        <v>10</v>
      </c>
      <c r="K18" s="333">
        <f>AVERAGE(J18:J24)</f>
        <v>7.666666666666667</v>
      </c>
    </row>
    <row r="19" spans="1:17" ht="15.75" customHeight="1" x14ac:dyDescent="0.25">
      <c r="A19" s="337"/>
      <c r="B19" s="172"/>
      <c r="C19" s="179" t="s">
        <v>90</v>
      </c>
      <c r="D19" s="342" t="s">
        <v>95</v>
      </c>
      <c r="E19" s="342"/>
      <c r="F19" s="342"/>
      <c r="G19" s="156"/>
      <c r="H19" s="156"/>
      <c r="I19" s="156"/>
      <c r="J19" s="157">
        <f>IF(D19="Fluent",10,IF(D19="Read",8,IF(D19="Write",8,IF(D19="Speak",7,3))))</f>
        <v>3</v>
      </c>
      <c r="K19" s="334"/>
    </row>
    <row r="20" spans="1:17" ht="18.75" customHeight="1" x14ac:dyDescent="0.25">
      <c r="A20" s="337"/>
      <c r="B20" s="172"/>
      <c r="C20" s="180" t="s">
        <v>96</v>
      </c>
      <c r="D20" s="342" t="s">
        <v>342</v>
      </c>
      <c r="E20" s="342"/>
      <c r="F20" s="342"/>
      <c r="G20" s="158"/>
      <c r="H20" s="156"/>
      <c r="I20" s="156"/>
      <c r="J20" s="159">
        <f>IF(D20="yes",10,"Zero")</f>
        <v>10</v>
      </c>
      <c r="K20" s="334"/>
    </row>
    <row r="21" spans="1:17" ht="32.25" customHeight="1" x14ac:dyDescent="0.25">
      <c r="A21" s="337"/>
      <c r="B21" s="172"/>
      <c r="C21" s="181" t="s">
        <v>97</v>
      </c>
      <c r="D21" s="343" t="str">
        <f>IF($D$20="yes","Please specify the type and the name of the training Programs","NA")</f>
        <v>Please specify the type and the name of the training Programs</v>
      </c>
      <c r="E21" s="343"/>
      <c r="F21" s="343"/>
      <c r="G21" s="156" t="s">
        <v>471</v>
      </c>
      <c r="H21" s="156"/>
      <c r="I21" s="156"/>
      <c r="J21" s="157" t="s">
        <v>346</v>
      </c>
      <c r="K21" s="334"/>
    </row>
    <row r="22" spans="1:17" ht="30.75" customHeight="1" x14ac:dyDescent="0.25">
      <c r="A22" s="337"/>
      <c r="B22" s="172"/>
      <c r="C22" s="181" t="s">
        <v>98</v>
      </c>
      <c r="D22" s="342" t="str">
        <f>IF($D$20="yes","Date &amp; Duration of the program","NA")</f>
        <v>Date &amp; Duration of the program</v>
      </c>
      <c r="E22" s="342"/>
      <c r="F22" s="342"/>
      <c r="G22" s="162">
        <v>42818</v>
      </c>
      <c r="H22" s="156"/>
      <c r="I22" s="156"/>
      <c r="J22" s="157" t="s">
        <v>346</v>
      </c>
      <c r="K22" s="334"/>
    </row>
    <row r="23" spans="1:17" ht="20.25" customHeight="1" thickBot="1" x14ac:dyDescent="0.3">
      <c r="A23" s="337"/>
      <c r="B23" s="173"/>
      <c r="C23" s="181" t="s">
        <v>99</v>
      </c>
      <c r="D23" s="342" t="str">
        <f>IF($D$20="yes","Who conducted the programs?","NA")</f>
        <v>Who conducted the programs?</v>
      </c>
      <c r="E23" s="342"/>
      <c r="F23" s="342"/>
      <c r="G23" s="156" t="s">
        <v>472</v>
      </c>
      <c r="H23" s="156"/>
      <c r="I23" s="156"/>
      <c r="J23" s="157" t="s">
        <v>346</v>
      </c>
      <c r="K23" s="334"/>
    </row>
    <row r="24" spans="1:17" ht="20.25" customHeight="1" thickBot="1" x14ac:dyDescent="0.3">
      <c r="A24" s="338"/>
      <c r="B24" s="174"/>
      <c r="C24" s="175"/>
      <c r="D24" s="344" t="str">
        <f>IF($D$20="yes","For which crop was the program held?","NA")</f>
        <v>For which crop was the program held?</v>
      </c>
      <c r="E24" s="344"/>
      <c r="F24" s="344"/>
      <c r="G24" s="176" t="s">
        <v>365</v>
      </c>
      <c r="H24" s="176"/>
      <c r="I24" s="176"/>
      <c r="J24" s="177" t="s">
        <v>346</v>
      </c>
      <c r="K24" s="335"/>
    </row>
    <row r="25" spans="1:17" ht="19.5" customHeight="1" x14ac:dyDescent="0.25">
      <c r="A25" s="308" t="s">
        <v>507</v>
      </c>
      <c r="B25" s="153" t="s">
        <v>380</v>
      </c>
      <c r="C25" s="166" t="s">
        <v>17</v>
      </c>
      <c r="D25" s="358" t="s">
        <v>342</v>
      </c>
      <c r="E25" s="358"/>
      <c r="F25" s="358"/>
      <c r="G25" s="141"/>
      <c r="H25" s="141"/>
      <c r="I25" s="141"/>
      <c r="J25" s="167">
        <f>IF(D25="yes",10,"Zero")</f>
        <v>10</v>
      </c>
      <c r="K25" s="348">
        <f>IF(D25="Yes",AVERAGE(J25:J42),0)</f>
        <v>8.25</v>
      </c>
    </row>
    <row r="26" spans="1:17" x14ac:dyDescent="0.25">
      <c r="A26" s="309"/>
      <c r="B26" s="154"/>
      <c r="C26" s="163" t="s">
        <v>475</v>
      </c>
      <c r="D26" s="314" t="str">
        <f>IF($D$25="Yes","Spouse first name","NA")</f>
        <v>Spouse first name</v>
      </c>
      <c r="E26" s="314"/>
      <c r="F26" s="314"/>
      <c r="G26" s="141" t="s">
        <v>348</v>
      </c>
      <c r="H26" s="141"/>
      <c r="I26" s="141"/>
      <c r="J26" s="140" t="s">
        <v>346</v>
      </c>
      <c r="K26" s="349"/>
    </row>
    <row r="27" spans="1:17" x14ac:dyDescent="0.25">
      <c r="A27" s="309"/>
      <c r="B27" s="154"/>
      <c r="C27" s="163" t="s">
        <v>476</v>
      </c>
      <c r="D27" s="314" t="str">
        <f>IF($D$25="Yes","Spouse middle name","NA")</f>
        <v>Spouse middle name</v>
      </c>
      <c r="E27" s="314"/>
      <c r="F27" s="314"/>
      <c r="G27" s="141" t="s">
        <v>381</v>
      </c>
      <c r="H27" s="141"/>
      <c r="I27" s="141"/>
      <c r="J27" s="140" t="s">
        <v>346</v>
      </c>
      <c r="K27" s="349"/>
    </row>
    <row r="28" spans="1:17" x14ac:dyDescent="0.25">
      <c r="A28" s="309"/>
      <c r="B28" s="154"/>
      <c r="C28" s="163" t="s">
        <v>477</v>
      </c>
      <c r="D28" s="314" t="str">
        <f>IF($D$25="Yes","Spouse surname","NA")</f>
        <v>Spouse surname</v>
      </c>
      <c r="E28" s="314"/>
      <c r="F28" s="314"/>
      <c r="G28" s="141" t="s">
        <v>379</v>
      </c>
      <c r="H28" s="141"/>
      <c r="I28" s="141"/>
      <c r="J28" s="140" t="s">
        <v>346</v>
      </c>
      <c r="K28" s="349"/>
      <c r="N28" s="83"/>
      <c r="O28" s="83"/>
      <c r="P28" s="83"/>
      <c r="Q28" s="83"/>
    </row>
    <row r="29" spans="1:17" x14ac:dyDescent="0.25">
      <c r="A29" s="309"/>
      <c r="B29" s="154"/>
      <c r="C29" s="168" t="s">
        <v>478</v>
      </c>
      <c r="D29" s="314" t="str">
        <f>IF($D$25="Yes","Spouse Age","NA")</f>
        <v>Spouse Age</v>
      </c>
      <c r="E29" s="314"/>
      <c r="F29" s="314"/>
      <c r="G29" s="141">
        <v>45</v>
      </c>
      <c r="H29" s="141"/>
      <c r="I29" s="141"/>
      <c r="J29" s="140">
        <f>IF(D25="yes",LOOKUP(G29,'Logic Page+ Weightage'!B48:C52,'Logic Page+ Weightage'!D48:D52),0)</f>
        <v>4</v>
      </c>
      <c r="K29" s="349"/>
      <c r="N29" s="83"/>
      <c r="O29" s="83"/>
      <c r="P29" s="83"/>
      <c r="Q29" s="83"/>
    </row>
    <row r="30" spans="1:17" x14ac:dyDescent="0.25">
      <c r="A30" s="309"/>
      <c r="B30" s="154"/>
      <c r="C30" s="168" t="s">
        <v>397</v>
      </c>
      <c r="D30" s="314" t="str">
        <f>IF($D$25="Yes","Spouse Mobile Number","NA")</f>
        <v>Spouse Mobile Number</v>
      </c>
      <c r="E30" s="314"/>
      <c r="F30" s="314"/>
      <c r="G30" s="141">
        <v>9664531845</v>
      </c>
      <c r="H30" s="141"/>
      <c r="I30" s="141"/>
      <c r="J30" s="140" t="s">
        <v>346</v>
      </c>
      <c r="K30" s="349"/>
      <c r="N30" s="69"/>
      <c r="O30" s="69"/>
      <c r="P30" s="170"/>
      <c r="Q30" s="83"/>
    </row>
    <row r="31" spans="1:17" x14ac:dyDescent="0.25">
      <c r="A31" s="309"/>
      <c r="B31" s="154"/>
      <c r="C31" s="168" t="s">
        <v>396</v>
      </c>
      <c r="D31" s="314" t="str">
        <f>IF($D$25="Yes","Spouse Adhar Number","NA")</f>
        <v>Spouse Adhar Number</v>
      </c>
      <c r="E31" s="314"/>
      <c r="F31" s="314"/>
      <c r="G31" s="143">
        <v>25478965478545</v>
      </c>
      <c r="H31" s="143"/>
      <c r="I31" s="143"/>
      <c r="J31" s="140" t="s">
        <v>346</v>
      </c>
      <c r="K31" s="349"/>
      <c r="N31" s="69"/>
      <c r="O31" s="69"/>
      <c r="P31" s="170"/>
      <c r="Q31" s="83"/>
    </row>
    <row r="32" spans="1:17" x14ac:dyDescent="0.25">
      <c r="A32" s="309"/>
      <c r="B32" s="154"/>
      <c r="C32" s="168" t="s">
        <v>395</v>
      </c>
      <c r="D32" s="314" t="str">
        <f>IF($D$25="Yes","Is your Spouse a part of any SHG?","NA")</f>
        <v>Is your Spouse a part of any SHG?</v>
      </c>
      <c r="E32" s="314"/>
      <c r="F32" s="314"/>
      <c r="G32" s="143" t="s">
        <v>342</v>
      </c>
      <c r="H32" s="143"/>
      <c r="I32" s="143"/>
      <c r="J32" s="140">
        <f>IF(AND(D25="yes",G32="yes"),10,"Zero")</f>
        <v>10</v>
      </c>
      <c r="K32" s="349"/>
      <c r="N32" s="69"/>
      <c r="O32" s="69"/>
      <c r="P32" s="170"/>
      <c r="Q32" s="83"/>
    </row>
    <row r="33" spans="1:17" ht="31.5" x14ac:dyDescent="0.25">
      <c r="A33" s="309"/>
      <c r="B33" s="154"/>
      <c r="C33" s="163" t="s">
        <v>23</v>
      </c>
      <c r="D33" s="314"/>
      <c r="E33" s="314"/>
      <c r="F33" s="314"/>
      <c r="G33" s="169" t="str">
        <f>IF(G32="yes","Mention the name of SHG","NA")</f>
        <v>Mention the name of SHG</v>
      </c>
      <c r="H33" s="143" t="s">
        <v>352</v>
      </c>
      <c r="I33" s="143"/>
      <c r="J33" s="140" t="s">
        <v>346</v>
      </c>
      <c r="K33" s="349"/>
      <c r="N33" s="69"/>
      <c r="O33" s="69"/>
      <c r="P33" s="170"/>
      <c r="Q33" s="83"/>
    </row>
    <row r="34" spans="1:17" x14ac:dyDescent="0.25">
      <c r="A34" s="309"/>
      <c r="B34" s="154"/>
      <c r="C34" s="168" t="s">
        <v>479</v>
      </c>
      <c r="D34" s="314" t="str">
        <f>IF($D$25="Yes","Spouse Occupation","NA")</f>
        <v>Spouse Occupation</v>
      </c>
      <c r="E34" s="314"/>
      <c r="F34" s="314"/>
      <c r="G34" s="141" t="s">
        <v>387</v>
      </c>
      <c r="H34" s="143"/>
      <c r="I34" s="143"/>
      <c r="J34" s="140">
        <f>IF(D25="NO",0,IF(G34="Housewife",1,IF(G34="Farmer",2,IF(OR(G34="Daily Wage worker",G34="Others"),3,4))))</f>
        <v>4</v>
      </c>
      <c r="K34" s="349"/>
      <c r="N34" s="69"/>
      <c r="O34" s="69"/>
      <c r="P34" s="170"/>
      <c r="Q34" s="83"/>
    </row>
    <row r="35" spans="1:17" x14ac:dyDescent="0.25">
      <c r="A35" s="309"/>
      <c r="B35" s="154"/>
      <c r="C35" s="164" t="s">
        <v>400</v>
      </c>
      <c r="D35" s="314" t="str">
        <f>IF($D$25="Yes","Spouse monthly Income","NA")</f>
        <v>Spouse monthly Income</v>
      </c>
      <c r="E35" s="314"/>
      <c r="F35" s="314"/>
      <c r="G35" s="141">
        <v>12000</v>
      </c>
      <c r="H35" s="141"/>
      <c r="I35" s="141"/>
      <c r="J35" s="140">
        <f>IF(D25="No",0,LOOKUP(G35,'Logic Page+ Weightage'!B74:C78,'Logic Page+ Weightage'!D74:D78))</f>
        <v>10</v>
      </c>
      <c r="K35" s="349"/>
      <c r="N35" s="69"/>
      <c r="O35" s="69"/>
      <c r="P35" s="170"/>
      <c r="Q35" s="83"/>
    </row>
    <row r="36" spans="1:17" x14ac:dyDescent="0.25">
      <c r="A36" s="309"/>
      <c r="B36" s="154"/>
      <c r="C36" s="164" t="s">
        <v>28</v>
      </c>
      <c r="D36" s="314" t="str">
        <f>IF($D$25="Yes","Any microfinance help taken by spouse?","NA")</f>
        <v>Any microfinance help taken by spouse?</v>
      </c>
      <c r="E36" s="314"/>
      <c r="F36" s="314"/>
      <c r="G36" s="143" t="s">
        <v>342</v>
      </c>
      <c r="H36" s="141"/>
      <c r="I36" s="141"/>
      <c r="J36" s="140" t="s">
        <v>346</v>
      </c>
      <c r="K36" s="349"/>
      <c r="N36" s="69"/>
      <c r="O36" s="69"/>
      <c r="P36" s="170"/>
      <c r="Q36" s="83"/>
    </row>
    <row r="37" spans="1:17" ht="31.5" x14ac:dyDescent="0.25">
      <c r="A37" s="309"/>
      <c r="B37" s="154"/>
      <c r="C37" s="163" t="s">
        <v>401</v>
      </c>
      <c r="D37" s="396"/>
      <c r="E37" s="396"/>
      <c r="F37" s="396"/>
      <c r="G37" s="169" t="str">
        <f>IF(G36="yes","Mention name of Microfinance Firm","NA")</f>
        <v>Mention name of Microfinance Firm</v>
      </c>
      <c r="H37" s="141" t="s">
        <v>353</v>
      </c>
      <c r="I37" s="141"/>
      <c r="J37" s="140" t="s">
        <v>346</v>
      </c>
      <c r="K37" s="349"/>
      <c r="N37" s="69"/>
      <c r="O37" s="69"/>
      <c r="P37" s="170"/>
      <c r="Q37" s="83"/>
    </row>
    <row r="38" spans="1:17" ht="40.5" customHeight="1" x14ac:dyDescent="0.25">
      <c r="A38" s="309"/>
      <c r="B38" s="154"/>
      <c r="C38" s="164" t="s">
        <v>392</v>
      </c>
      <c r="D38" s="396"/>
      <c r="E38" s="396"/>
      <c r="F38" s="396"/>
      <c r="G38" s="169" t="str">
        <f>IF(G36="yes","Amount taken from Microfinance Firm","NA")</f>
        <v>Amount taken from Microfinance Firm</v>
      </c>
      <c r="H38" s="141">
        <v>50000</v>
      </c>
      <c r="I38" s="141"/>
      <c r="J38" s="140" t="s">
        <v>346</v>
      </c>
      <c r="K38" s="349"/>
      <c r="N38" s="83"/>
      <c r="O38" s="83"/>
      <c r="P38" s="83"/>
      <c r="Q38" s="83"/>
    </row>
    <row r="39" spans="1:17" ht="40.5" customHeight="1" x14ac:dyDescent="0.25">
      <c r="A39" s="309"/>
      <c r="B39" s="154"/>
      <c r="C39" s="164"/>
      <c r="D39" s="364"/>
      <c r="E39" s="365"/>
      <c r="F39" s="366"/>
      <c r="G39" s="169" t="str">
        <f>IF(G36="yes","Loan Purpose from Microfinance Firm","NA")</f>
        <v>Loan Purpose from Microfinance Firm</v>
      </c>
      <c r="H39" s="141" t="s">
        <v>407</v>
      </c>
      <c r="I39" s="141"/>
      <c r="J39" s="140" t="s">
        <v>346</v>
      </c>
      <c r="K39" s="349"/>
      <c r="N39" s="83"/>
      <c r="O39" s="83"/>
      <c r="P39" s="83"/>
      <c r="Q39" s="83"/>
    </row>
    <row r="40" spans="1:17" ht="61.5" customHeight="1" x14ac:dyDescent="0.25">
      <c r="A40" s="309"/>
      <c r="B40" s="154"/>
      <c r="C40" s="164"/>
      <c r="D40" s="364"/>
      <c r="E40" s="365"/>
      <c r="F40" s="366"/>
      <c r="G40" s="169" t="str">
        <f>IF(G36="yes","How much amount is due to be Paid Back to the MFF?","NA")</f>
        <v>How much amount is due to be Paid Back to the MFF?</v>
      </c>
      <c r="H40" s="141">
        <v>25000</v>
      </c>
      <c r="I40" s="141"/>
      <c r="J40" s="140">
        <f>LOOKUP(H40,'Logic Page+ Weightage'!$F$44:$G$48,'Logic Page+ Weightage'!$H$44:$H$48)</f>
        <v>10</v>
      </c>
      <c r="K40" s="349"/>
      <c r="N40" s="83"/>
      <c r="O40" s="83"/>
      <c r="P40" s="83"/>
      <c r="Q40" s="83"/>
    </row>
    <row r="41" spans="1:17" ht="43.5" customHeight="1" x14ac:dyDescent="0.25">
      <c r="A41" s="309"/>
      <c r="B41" s="154"/>
      <c r="C41" s="164"/>
      <c r="D41" s="364"/>
      <c r="E41" s="365"/>
      <c r="F41" s="366"/>
      <c r="G41" s="169" t="str">
        <f>IF(G36="yes","How much EMI  Paid to MFF?","NA")</f>
        <v>How much EMI  Paid to MFF?</v>
      </c>
      <c r="H41" s="141">
        <v>5000</v>
      </c>
      <c r="I41" s="141"/>
      <c r="J41" s="140">
        <f>LOOKUP(H41,'Logic Page+ Weightage'!$F$51:$G$56,'Logic Page+ Weightage'!$H$51:$H$56)</f>
        <v>8</v>
      </c>
      <c r="K41" s="349"/>
      <c r="N41" s="83"/>
      <c r="O41" s="83"/>
      <c r="P41" s="83"/>
      <c r="Q41" s="83"/>
    </row>
    <row r="42" spans="1:17" ht="43.5" customHeight="1" thickBot="1" x14ac:dyDescent="0.3">
      <c r="A42" s="310"/>
      <c r="B42" s="236"/>
      <c r="C42" s="237"/>
      <c r="D42" s="345"/>
      <c r="E42" s="346"/>
      <c r="F42" s="347"/>
      <c r="G42" s="234" t="str">
        <f>IF(G36="yes","Therefore, No. of Months of EMI","NA")</f>
        <v>Therefore, No. of Months of EMI</v>
      </c>
      <c r="H42" s="235">
        <f>H40/H41</f>
        <v>5</v>
      </c>
      <c r="I42" s="235"/>
      <c r="J42" s="167">
        <f>LOOKUP(H42,'Logic Page+ Weightage'!$F$59:$G$63,'Logic Page+ Weightage'!$H$59:$H$63)</f>
        <v>10</v>
      </c>
      <c r="K42" s="350"/>
      <c r="N42" s="83"/>
      <c r="O42" s="83"/>
      <c r="P42" s="83"/>
      <c r="Q42" s="83"/>
    </row>
    <row r="43" spans="1:17" ht="21" customHeight="1" x14ac:dyDescent="0.25">
      <c r="A43" s="336" t="s">
        <v>529</v>
      </c>
      <c r="B43" s="171"/>
      <c r="C43" s="183" t="str">
        <f>IF($D$25="Yes","Spouse Educational Qualification Details:","NA")</f>
        <v>Spouse Educational Qualification Details:</v>
      </c>
      <c r="D43" s="339" t="s">
        <v>85</v>
      </c>
      <c r="E43" s="340"/>
      <c r="F43" s="341"/>
      <c r="G43" s="160"/>
      <c r="H43" s="160"/>
      <c r="I43" s="160"/>
      <c r="J43" s="161">
        <f>IF(D25="yes",IF(D43="illiterate",2,IF(D43="Primary education",4,IF(D43="matriculate",6,IF(D43="graduate",8,10)))),"Zero")</f>
        <v>10</v>
      </c>
      <c r="K43" s="333">
        <f>AVERAGE(J43:J49)</f>
        <v>9</v>
      </c>
    </row>
    <row r="44" spans="1:17" x14ac:dyDescent="0.25">
      <c r="A44" s="337"/>
      <c r="B44" s="172"/>
      <c r="C44" s="182" t="str">
        <f>IF($D$25="Yes","What is your proficiency in English?","NA")</f>
        <v>What is your proficiency in English?</v>
      </c>
      <c r="D44" s="342" t="s">
        <v>93</v>
      </c>
      <c r="E44" s="342"/>
      <c r="F44" s="342"/>
      <c r="G44" s="156"/>
      <c r="H44" s="156"/>
      <c r="I44" s="156"/>
      <c r="J44" s="157">
        <f>IF(D25="yes",IF(D44="Fluent",10,IF(D44="Read",8,IF(D44="Write",8,IF(D44="Speak",7,3)))),"Zero")</f>
        <v>8</v>
      </c>
      <c r="K44" s="334"/>
    </row>
    <row r="45" spans="1:17" ht="18.75" customHeight="1" x14ac:dyDescent="0.25">
      <c r="A45" s="337"/>
      <c r="B45" s="172"/>
      <c r="C45" s="184" t="str">
        <f>IF($D$25="Yes","Any participation in Farming Programs?","NA")</f>
        <v>Any participation in Farming Programs?</v>
      </c>
      <c r="D45" s="342" t="s">
        <v>343</v>
      </c>
      <c r="E45" s="342"/>
      <c r="F45" s="342"/>
      <c r="G45" s="158"/>
      <c r="H45" s="156"/>
      <c r="I45" s="156"/>
      <c r="J45" s="159" t="str">
        <f>IF(D25="yes",IF(D45="yes",10,"Zero"),"Zero")</f>
        <v>Zero</v>
      </c>
      <c r="K45" s="334"/>
    </row>
    <row r="46" spans="1:17" ht="32.25" customHeight="1" x14ac:dyDescent="0.25">
      <c r="A46" s="337"/>
      <c r="B46" s="172"/>
      <c r="C46" s="181" t="s">
        <v>97</v>
      </c>
      <c r="D46" s="343" t="str">
        <f>IF(AND(D25="Yes",$D$20="yes"),"Please specify the type of training Programs","NA")</f>
        <v>Please specify the type of training Programs</v>
      </c>
      <c r="E46" s="343"/>
      <c r="F46" s="343"/>
      <c r="G46" s="156" t="s">
        <v>471</v>
      </c>
      <c r="H46" s="156"/>
      <c r="I46" s="156"/>
      <c r="J46" s="157" t="s">
        <v>346</v>
      </c>
      <c r="K46" s="334"/>
    </row>
    <row r="47" spans="1:17" ht="30.75" customHeight="1" x14ac:dyDescent="0.25">
      <c r="A47" s="337"/>
      <c r="B47" s="172"/>
      <c r="C47" s="181" t="s">
        <v>98</v>
      </c>
      <c r="D47" s="342" t="str">
        <f>IF(AND(D25="Yes",$D$20="yes"),"Duration of the program","NA")</f>
        <v>Duration of the program</v>
      </c>
      <c r="E47" s="342"/>
      <c r="F47" s="342"/>
      <c r="G47" s="162">
        <v>42818</v>
      </c>
      <c r="H47" s="156"/>
      <c r="I47" s="156"/>
      <c r="J47" s="157" t="s">
        <v>346</v>
      </c>
      <c r="K47" s="334"/>
    </row>
    <row r="48" spans="1:17" ht="20.25" customHeight="1" thickBot="1" x14ac:dyDescent="0.3">
      <c r="A48" s="337"/>
      <c r="B48" s="173"/>
      <c r="C48" s="181" t="s">
        <v>99</v>
      </c>
      <c r="D48" s="342" t="str">
        <f>IF(AND(D25="Yes",$D$20="yes"),"Who conducted the programs?","NA")</f>
        <v>Who conducted the programs?</v>
      </c>
      <c r="E48" s="342"/>
      <c r="F48" s="342"/>
      <c r="G48" s="156" t="s">
        <v>472</v>
      </c>
      <c r="H48" s="156"/>
      <c r="I48" s="156"/>
      <c r="J48" s="157" t="s">
        <v>346</v>
      </c>
      <c r="K48" s="334"/>
    </row>
    <row r="49" spans="1:11" ht="20.25" customHeight="1" thickBot="1" x14ac:dyDescent="0.3">
      <c r="A49" s="338"/>
      <c r="B49" s="174"/>
      <c r="C49" s="175"/>
      <c r="D49" s="344" t="str">
        <f>IF(AND(D25="Yes",$D$20="yes"),"For What crop the program for?","NA")</f>
        <v>For What crop the program for?</v>
      </c>
      <c r="E49" s="344"/>
      <c r="F49" s="344"/>
      <c r="G49" s="176" t="s">
        <v>365</v>
      </c>
      <c r="H49" s="176"/>
      <c r="I49" s="176"/>
      <c r="J49" s="177" t="s">
        <v>346</v>
      </c>
      <c r="K49" s="335"/>
    </row>
    <row r="50" spans="1:11" ht="15.75" customHeight="1" x14ac:dyDescent="0.25">
      <c r="A50" s="321" t="s">
        <v>530</v>
      </c>
      <c r="B50" s="152"/>
      <c r="C50" s="192" t="s">
        <v>100</v>
      </c>
      <c r="D50" s="329" t="str">
        <f>IF($D$8&gt;1000000000,"Type of Phone Ownership","NA")</f>
        <v>Type of Phone Ownership</v>
      </c>
      <c r="E50" s="330"/>
      <c r="F50" s="331"/>
      <c r="G50" s="186" t="s">
        <v>101</v>
      </c>
      <c r="H50" s="141"/>
      <c r="I50" s="141"/>
      <c r="J50" s="140" t="s">
        <v>346</v>
      </c>
      <c r="K50" s="381" t="e">
        <f>AVERAGE(J50:J57)</f>
        <v>#DIV/0!</v>
      </c>
    </row>
    <row r="51" spans="1:11" ht="15.75" customHeight="1" x14ac:dyDescent="0.25">
      <c r="A51" s="322"/>
      <c r="B51" s="152"/>
      <c r="C51" s="193" t="s">
        <v>104</v>
      </c>
      <c r="D51" s="332" t="str">
        <f>IF($D$8&gt;1000000000,"Who is the service Provider?","NA")</f>
        <v>Who is the service Provider?</v>
      </c>
      <c r="E51" s="332"/>
      <c r="F51" s="332"/>
      <c r="G51" s="141" t="s">
        <v>355</v>
      </c>
      <c r="H51" s="141"/>
      <c r="I51" s="141"/>
      <c r="J51" s="140" t="s">
        <v>346</v>
      </c>
      <c r="K51" s="382"/>
    </row>
    <row r="52" spans="1:11" ht="15.75" customHeight="1" x14ac:dyDescent="0.25">
      <c r="A52" s="322"/>
      <c r="B52" s="152"/>
      <c r="C52" s="193" t="s">
        <v>105</v>
      </c>
      <c r="D52" s="332" t="str">
        <f>IF($D$8&gt;1000000000,"Do you receive sufficeint network Coverage?","NA")</f>
        <v>Do you receive sufficeint network Coverage?</v>
      </c>
      <c r="E52" s="332"/>
      <c r="F52" s="332"/>
      <c r="G52" s="141" t="s">
        <v>342</v>
      </c>
      <c r="H52" s="141"/>
      <c r="I52" s="141"/>
      <c r="J52" s="140" t="s">
        <v>346</v>
      </c>
      <c r="K52" s="382"/>
    </row>
    <row r="53" spans="1:11" ht="15.75" customHeight="1" x14ac:dyDescent="0.25">
      <c r="A53" s="322"/>
      <c r="B53" s="152"/>
      <c r="C53" s="193" t="s">
        <v>106</v>
      </c>
      <c r="D53" s="332" t="str">
        <f>IF($D$8&gt;1000000000,"Do you have Data Pack on your Phone ?","NA")</f>
        <v>Do you have Data Pack on your Phone ?</v>
      </c>
      <c r="E53" s="332"/>
      <c r="F53" s="332"/>
      <c r="G53" s="141" t="s">
        <v>342</v>
      </c>
      <c r="H53" s="141"/>
      <c r="I53" s="141"/>
      <c r="J53" s="140" t="s">
        <v>346</v>
      </c>
      <c r="K53" s="382"/>
    </row>
    <row r="54" spans="1:11" ht="15.75" customHeight="1" x14ac:dyDescent="0.25">
      <c r="A54" s="322"/>
      <c r="B54" s="152"/>
      <c r="C54" s="193" t="s">
        <v>107</v>
      </c>
      <c r="D54" s="329"/>
      <c r="E54" s="330"/>
      <c r="F54" s="331"/>
      <c r="G54" s="187" t="str">
        <f>IF(G53="yes","Specify Data pack","NA")</f>
        <v>Specify Data pack</v>
      </c>
      <c r="H54" s="141" t="s">
        <v>356</v>
      </c>
      <c r="I54" s="141"/>
      <c r="J54" s="140" t="s">
        <v>346</v>
      </c>
      <c r="K54" s="382"/>
    </row>
    <row r="55" spans="1:11" ht="15.75" customHeight="1" x14ac:dyDescent="0.25">
      <c r="A55" s="322"/>
      <c r="B55" s="152"/>
      <c r="C55" s="193" t="s">
        <v>108</v>
      </c>
      <c r="D55" s="329" t="str">
        <f>IF(AND($D$8&gt;1000000000,G50="Smartphone"),"Do you use apps regularly","NA")</f>
        <v>Do you use apps regularly</v>
      </c>
      <c r="E55" s="330"/>
      <c r="F55" s="331"/>
      <c r="G55" s="141" t="s">
        <v>343</v>
      </c>
      <c r="H55" s="141" t="s">
        <v>480</v>
      </c>
      <c r="I55" s="141"/>
      <c r="J55" s="140" t="s">
        <v>346</v>
      </c>
      <c r="K55" s="382"/>
    </row>
    <row r="56" spans="1:11" ht="15.75" customHeight="1" x14ac:dyDescent="0.25">
      <c r="A56" s="322"/>
      <c r="B56" s="152"/>
      <c r="C56" s="192" t="s">
        <v>110</v>
      </c>
      <c r="D56" s="314" t="str">
        <f>IF(AND($D$8&gt;1000000000,G50="Smartphone",G53="yes"),"Subscriptions to Farming Advisory Apps?","NA")</f>
        <v>Subscriptions to Farming Advisory Apps?</v>
      </c>
      <c r="E56" s="314"/>
      <c r="F56" s="314"/>
      <c r="G56" s="141" t="s">
        <v>342</v>
      </c>
      <c r="H56" s="141" t="s">
        <v>376</v>
      </c>
      <c r="I56" s="141"/>
      <c r="J56" s="140" t="s">
        <v>346</v>
      </c>
      <c r="K56" s="382"/>
    </row>
    <row r="57" spans="1:11" ht="15.75" customHeight="1" x14ac:dyDescent="0.25">
      <c r="A57" s="323"/>
      <c r="B57" s="152"/>
      <c r="C57" s="193" t="s">
        <v>103</v>
      </c>
      <c r="D57" s="314"/>
      <c r="E57" s="314"/>
      <c r="F57" s="314"/>
      <c r="G57" s="141"/>
      <c r="H57" s="141"/>
      <c r="I57" s="141"/>
      <c r="J57" s="140"/>
      <c r="K57" s="383"/>
    </row>
    <row r="58" spans="1:11" ht="22.5" customHeight="1" x14ac:dyDescent="0.25">
      <c r="A58" s="324" t="s">
        <v>518</v>
      </c>
      <c r="B58" s="152"/>
      <c r="C58" s="188" t="s">
        <v>112</v>
      </c>
      <c r="D58" s="327" t="s">
        <v>342</v>
      </c>
      <c r="E58" s="327"/>
      <c r="F58" s="327"/>
      <c r="G58" s="189"/>
      <c r="H58" s="189"/>
      <c r="I58" s="189"/>
      <c r="J58" s="190">
        <f>IF(D58="yes",10,4)</f>
        <v>10</v>
      </c>
      <c r="K58" s="384">
        <f>AVERAGE(J58:J61)</f>
        <v>5.333333333333333</v>
      </c>
    </row>
    <row r="59" spans="1:11" ht="31.5" customHeight="1" x14ac:dyDescent="0.25">
      <c r="A59" s="325"/>
      <c r="B59" s="152"/>
      <c r="C59" s="193" t="s">
        <v>113</v>
      </c>
      <c r="D59" s="328" t="str">
        <f>IF(D58="yes","How many members are there in your family?","NA")</f>
        <v>How many members are there in your family?</v>
      </c>
      <c r="E59" s="328"/>
      <c r="F59" s="328"/>
      <c r="G59" s="189">
        <v>5</v>
      </c>
      <c r="H59" s="189"/>
      <c r="I59" s="189"/>
      <c r="J59" s="191" t="s">
        <v>346</v>
      </c>
      <c r="K59" s="382"/>
    </row>
    <row r="60" spans="1:11" ht="15.75" customHeight="1" x14ac:dyDescent="0.25">
      <c r="A60" s="325"/>
      <c r="B60" s="152"/>
      <c r="C60" s="188" t="str">
        <f>IF($D$25="yes","Number of Children ","NA")</f>
        <v xml:space="preserve">Number of Children </v>
      </c>
      <c r="D60" s="327">
        <v>2</v>
      </c>
      <c r="E60" s="327"/>
      <c r="F60" s="327"/>
      <c r="G60" s="189"/>
      <c r="H60" s="189"/>
      <c r="I60" s="189"/>
      <c r="J60" s="194">
        <f>IF($D$25="yes",LOOKUP(D60,'Logic Page+ Weightage'!B195:C198,'Logic Page+ Weightage'!D195:D198),"Zero")</f>
        <v>5</v>
      </c>
      <c r="K60" s="382"/>
    </row>
    <row r="61" spans="1:11" ht="30.75" customHeight="1" x14ac:dyDescent="0.25">
      <c r="A61" s="326"/>
      <c r="B61" s="152"/>
      <c r="C61" s="192" t="str">
        <f>IF($D$25="yes","Any of your children use Smart Phones? ","NA")</f>
        <v xml:space="preserve">Any of your children use Smart Phones? </v>
      </c>
      <c r="D61" s="328" t="str">
        <f>IF(D60&gt;0,"Any of your children use Smart Phones? ","NA")</f>
        <v xml:space="preserve">Any of your children use Smart Phones? </v>
      </c>
      <c r="E61" s="328"/>
      <c r="F61" s="328"/>
      <c r="G61" s="189" t="s">
        <v>343</v>
      </c>
      <c r="H61" s="189"/>
      <c r="I61" s="189"/>
      <c r="J61" s="191">
        <f>IF(AND(D61="Any of your children use Smart Phones? ",G61="yes"),10,IF(AND(D61="Any of your children use Smart Phones? ",G61="No"),1,"Zero"))</f>
        <v>1</v>
      </c>
      <c r="K61" s="383"/>
    </row>
    <row r="62" spans="1:11" ht="15.75" customHeight="1" x14ac:dyDescent="0.25">
      <c r="A62" s="324" t="s">
        <v>531</v>
      </c>
      <c r="B62" s="152" t="s">
        <v>380</v>
      </c>
      <c r="C62" s="142" t="s">
        <v>40</v>
      </c>
      <c r="D62" s="314" t="s">
        <v>41</v>
      </c>
      <c r="E62" s="314"/>
      <c r="F62" s="314"/>
      <c r="G62" s="141"/>
      <c r="H62" s="141"/>
      <c r="I62" s="141"/>
      <c r="J62" s="140">
        <f>IF(D62="Rented",2,IF(D62="Owned",8,6))</f>
        <v>2</v>
      </c>
      <c r="K62" s="397">
        <f>AVERAGE(J62:J82)</f>
        <v>2</v>
      </c>
    </row>
    <row r="63" spans="1:11" ht="15.75" customHeight="1" x14ac:dyDescent="0.25">
      <c r="A63" s="325"/>
      <c r="B63" s="152"/>
      <c r="C63" s="195" t="s">
        <v>481</v>
      </c>
      <c r="D63" s="314"/>
      <c r="E63" s="314"/>
      <c r="F63" s="314"/>
      <c r="G63" s="141"/>
      <c r="H63" s="141"/>
      <c r="I63" s="141"/>
      <c r="J63" s="140" t="s">
        <v>346</v>
      </c>
      <c r="K63" s="349"/>
    </row>
    <row r="64" spans="1:11" ht="15.75" customHeight="1" x14ac:dyDescent="0.25">
      <c r="A64" s="325"/>
      <c r="B64" s="152"/>
      <c r="C64" s="196" t="s">
        <v>437</v>
      </c>
      <c r="D64" s="314"/>
      <c r="E64" s="314"/>
      <c r="F64" s="314"/>
      <c r="G64" s="141"/>
      <c r="H64" s="141"/>
      <c r="I64" s="141"/>
      <c r="J64" s="140" t="s">
        <v>346</v>
      </c>
      <c r="K64" s="349"/>
    </row>
    <row r="65" spans="1:11" ht="15.75" customHeight="1" x14ac:dyDescent="0.25">
      <c r="A65" s="325"/>
      <c r="B65" s="152"/>
      <c r="C65" s="196" t="s">
        <v>438</v>
      </c>
      <c r="D65" s="314"/>
      <c r="E65" s="314"/>
      <c r="F65" s="314"/>
      <c r="G65" s="141"/>
      <c r="H65" s="141"/>
      <c r="I65" s="141"/>
      <c r="J65" s="140" t="s">
        <v>346</v>
      </c>
      <c r="K65" s="349"/>
    </row>
    <row r="66" spans="1:11" ht="15.75" customHeight="1" x14ac:dyDescent="0.25">
      <c r="A66" s="325"/>
      <c r="B66" s="152"/>
      <c r="C66" s="196" t="s">
        <v>439</v>
      </c>
      <c r="D66" s="314"/>
      <c r="E66" s="314"/>
      <c r="F66" s="314"/>
      <c r="G66" s="141"/>
      <c r="H66" s="141"/>
      <c r="I66" s="141"/>
      <c r="J66" s="140" t="s">
        <v>346</v>
      </c>
      <c r="K66" s="349"/>
    </row>
    <row r="67" spans="1:11" ht="15.75" customHeight="1" x14ac:dyDescent="0.25">
      <c r="A67" s="325"/>
      <c r="B67" s="152"/>
      <c r="C67" s="196" t="s">
        <v>440</v>
      </c>
      <c r="D67" s="314"/>
      <c r="E67" s="314"/>
      <c r="F67" s="314"/>
      <c r="G67" s="141"/>
      <c r="H67" s="141"/>
      <c r="I67" s="141"/>
      <c r="J67" s="140" t="s">
        <v>346</v>
      </c>
      <c r="K67" s="349"/>
    </row>
    <row r="68" spans="1:11" ht="15.75" customHeight="1" x14ac:dyDescent="0.25">
      <c r="A68" s="325"/>
      <c r="B68" s="152"/>
      <c r="C68" s="196" t="s">
        <v>441</v>
      </c>
      <c r="D68" s="314"/>
      <c r="E68" s="314"/>
      <c r="F68" s="314"/>
      <c r="G68" s="141"/>
      <c r="H68" s="141"/>
      <c r="I68" s="141"/>
      <c r="J68" s="140" t="s">
        <v>346</v>
      </c>
      <c r="K68" s="349"/>
    </row>
    <row r="69" spans="1:11" ht="15.75" customHeight="1" x14ac:dyDescent="0.25">
      <c r="A69" s="325"/>
      <c r="B69" s="152"/>
      <c r="C69" s="196" t="s">
        <v>315</v>
      </c>
      <c r="D69" s="314"/>
      <c r="E69" s="314"/>
      <c r="F69" s="314"/>
      <c r="G69" s="141"/>
      <c r="H69" s="141"/>
      <c r="I69" s="141"/>
      <c r="J69" s="140" t="s">
        <v>346</v>
      </c>
      <c r="K69" s="349"/>
    </row>
    <row r="70" spans="1:11" ht="15.75" customHeight="1" x14ac:dyDescent="0.25">
      <c r="A70" s="325"/>
      <c r="B70" s="152"/>
      <c r="C70" s="196" t="s">
        <v>316</v>
      </c>
      <c r="D70" s="314"/>
      <c r="E70" s="314"/>
      <c r="F70" s="314"/>
      <c r="G70" s="141"/>
      <c r="H70" s="141"/>
      <c r="I70" s="141"/>
      <c r="J70" s="140" t="s">
        <v>346</v>
      </c>
      <c r="K70" s="349"/>
    </row>
    <row r="71" spans="1:11" ht="15.75" customHeight="1" x14ac:dyDescent="0.25">
      <c r="A71" s="325"/>
      <c r="B71" s="152"/>
      <c r="C71" s="196" t="s">
        <v>317</v>
      </c>
      <c r="D71" s="314"/>
      <c r="E71" s="314"/>
      <c r="F71" s="314"/>
      <c r="G71" s="141"/>
      <c r="H71" s="141"/>
      <c r="I71" s="141"/>
      <c r="J71" s="140" t="s">
        <v>346</v>
      </c>
      <c r="K71" s="349"/>
    </row>
    <row r="72" spans="1:11" ht="15.75" customHeight="1" x14ac:dyDescent="0.25">
      <c r="A72" s="325"/>
      <c r="B72" s="152"/>
      <c r="C72" s="196" t="s">
        <v>442</v>
      </c>
      <c r="D72" s="314"/>
      <c r="E72" s="314"/>
      <c r="F72" s="314"/>
      <c r="G72" s="141"/>
      <c r="H72" s="141"/>
      <c r="I72" s="141"/>
      <c r="J72" s="140" t="s">
        <v>346</v>
      </c>
      <c r="K72" s="349"/>
    </row>
    <row r="73" spans="1:11" ht="15.75" customHeight="1" x14ac:dyDescent="0.25">
      <c r="A73" s="325"/>
      <c r="B73" s="152"/>
      <c r="C73" s="195" t="s">
        <v>446</v>
      </c>
      <c r="D73" s="314"/>
      <c r="E73" s="314"/>
      <c r="F73" s="314"/>
      <c r="G73" s="141"/>
      <c r="H73" s="141"/>
      <c r="I73" s="141"/>
      <c r="J73" s="140" t="s">
        <v>346</v>
      </c>
      <c r="K73" s="349"/>
    </row>
    <row r="74" spans="1:11" ht="15.75" customHeight="1" x14ac:dyDescent="0.25">
      <c r="A74" s="325"/>
      <c r="B74" s="152"/>
      <c r="C74" s="196" t="s">
        <v>437</v>
      </c>
      <c r="D74" s="314"/>
      <c r="E74" s="314"/>
      <c r="F74" s="314"/>
      <c r="G74" s="141"/>
      <c r="H74" s="141"/>
      <c r="I74" s="141"/>
      <c r="J74" s="140" t="s">
        <v>346</v>
      </c>
      <c r="K74" s="349"/>
    </row>
    <row r="75" spans="1:11" ht="15.75" customHeight="1" x14ac:dyDescent="0.25">
      <c r="A75" s="325"/>
      <c r="B75" s="152"/>
      <c r="C75" s="196" t="s">
        <v>438</v>
      </c>
      <c r="D75" s="314"/>
      <c r="E75" s="314"/>
      <c r="F75" s="314"/>
      <c r="G75" s="141"/>
      <c r="H75" s="141"/>
      <c r="I75" s="141"/>
      <c r="J75" s="140" t="s">
        <v>346</v>
      </c>
      <c r="K75" s="349"/>
    </row>
    <row r="76" spans="1:11" ht="15.75" customHeight="1" x14ac:dyDescent="0.25">
      <c r="A76" s="325"/>
      <c r="B76" s="152"/>
      <c r="C76" s="196" t="s">
        <v>439</v>
      </c>
      <c r="D76" s="314"/>
      <c r="E76" s="314"/>
      <c r="F76" s="314"/>
      <c r="G76" s="141"/>
      <c r="H76" s="141"/>
      <c r="I76" s="141"/>
      <c r="J76" s="140" t="s">
        <v>346</v>
      </c>
      <c r="K76" s="349"/>
    </row>
    <row r="77" spans="1:11" ht="15.75" customHeight="1" x14ac:dyDescent="0.25">
      <c r="A77" s="325"/>
      <c r="B77" s="152"/>
      <c r="C77" s="196" t="s">
        <v>440</v>
      </c>
      <c r="D77" s="314"/>
      <c r="E77" s="314"/>
      <c r="F77" s="314"/>
      <c r="G77" s="141"/>
      <c r="H77" s="141"/>
      <c r="I77" s="141"/>
      <c r="J77" s="140" t="s">
        <v>346</v>
      </c>
      <c r="K77" s="349"/>
    </row>
    <row r="78" spans="1:11" ht="15.75" customHeight="1" x14ac:dyDescent="0.25">
      <c r="A78" s="325"/>
      <c r="B78" s="152"/>
      <c r="C78" s="196" t="s">
        <v>441</v>
      </c>
      <c r="D78" s="314"/>
      <c r="E78" s="314"/>
      <c r="F78" s="314"/>
      <c r="G78" s="141"/>
      <c r="H78" s="141"/>
      <c r="I78" s="141"/>
      <c r="J78" s="140" t="s">
        <v>346</v>
      </c>
      <c r="K78" s="349"/>
    </row>
    <row r="79" spans="1:11" ht="15.75" customHeight="1" x14ac:dyDescent="0.25">
      <c r="A79" s="325"/>
      <c r="B79" s="152"/>
      <c r="C79" s="196" t="s">
        <v>315</v>
      </c>
      <c r="D79" s="314"/>
      <c r="E79" s="314"/>
      <c r="F79" s="314"/>
      <c r="G79" s="141"/>
      <c r="H79" s="141"/>
      <c r="I79" s="141"/>
      <c r="J79" s="140" t="s">
        <v>346</v>
      </c>
      <c r="K79" s="349"/>
    </row>
    <row r="80" spans="1:11" ht="15.75" customHeight="1" x14ac:dyDescent="0.25">
      <c r="A80" s="325"/>
      <c r="B80" s="152"/>
      <c r="C80" s="196" t="s">
        <v>316</v>
      </c>
      <c r="D80" s="314"/>
      <c r="E80" s="314"/>
      <c r="F80" s="314"/>
      <c r="G80" s="141"/>
      <c r="H80" s="141"/>
      <c r="I80" s="141"/>
      <c r="J80" s="140" t="s">
        <v>346</v>
      </c>
      <c r="K80" s="349"/>
    </row>
    <row r="81" spans="1:14" ht="15.75" customHeight="1" x14ac:dyDescent="0.25">
      <c r="A81" s="325"/>
      <c r="B81" s="152"/>
      <c r="C81" s="196" t="s">
        <v>317</v>
      </c>
      <c r="D81" s="314"/>
      <c r="E81" s="314"/>
      <c r="F81" s="314"/>
      <c r="G81" s="141"/>
      <c r="H81" s="141"/>
      <c r="I81" s="141"/>
      <c r="J81" s="140" t="s">
        <v>346</v>
      </c>
      <c r="K81" s="349"/>
    </row>
    <row r="82" spans="1:14" ht="15.75" customHeight="1" x14ac:dyDescent="0.25">
      <c r="A82" s="326"/>
      <c r="B82" s="152"/>
      <c r="C82" s="196" t="s">
        <v>442</v>
      </c>
      <c r="D82" s="314"/>
      <c r="E82" s="314"/>
      <c r="F82" s="314"/>
      <c r="G82" s="141"/>
      <c r="H82" s="141"/>
      <c r="I82" s="141"/>
      <c r="J82" s="140" t="s">
        <v>346</v>
      </c>
      <c r="K82" s="349"/>
    </row>
    <row r="83" spans="1:14" s="284" customFormat="1" ht="15.75" customHeight="1" x14ac:dyDescent="0.25">
      <c r="A83" s="318" t="s">
        <v>532</v>
      </c>
      <c r="B83" s="269"/>
      <c r="C83" s="281" t="s">
        <v>420</v>
      </c>
      <c r="D83" s="374" t="s">
        <v>342</v>
      </c>
      <c r="E83" s="375"/>
      <c r="F83" s="376"/>
      <c r="G83" s="282"/>
      <c r="H83" s="282"/>
      <c r="I83" s="282"/>
      <c r="J83" s="283" t="s">
        <v>346</v>
      </c>
      <c r="K83" s="398"/>
    </row>
    <row r="84" spans="1:14" s="284" customFormat="1" ht="22.5" customHeight="1" x14ac:dyDescent="0.25">
      <c r="A84" s="318"/>
      <c r="B84" s="269"/>
      <c r="C84" s="285" t="s">
        <v>482</v>
      </c>
      <c r="D84" s="374" t="str">
        <f>IF($D$83="yes","Mention the total loan amount","NA")</f>
        <v>Mention the total loan amount</v>
      </c>
      <c r="E84" s="375"/>
      <c r="F84" s="376"/>
      <c r="G84" s="282">
        <v>50000</v>
      </c>
      <c r="H84" s="282"/>
      <c r="I84" s="282"/>
      <c r="J84" s="283" t="s">
        <v>346</v>
      </c>
      <c r="K84" s="398"/>
    </row>
    <row r="85" spans="1:14" s="284" customFormat="1" ht="22.5" customHeight="1" x14ac:dyDescent="0.25">
      <c r="A85" s="318"/>
      <c r="B85" s="269"/>
      <c r="C85" s="286" t="s">
        <v>483</v>
      </c>
      <c r="D85" s="374" t="str">
        <f>IF($D$83="yes","Bank Name","NA")</f>
        <v>Bank Name</v>
      </c>
      <c r="E85" s="375"/>
      <c r="F85" s="376"/>
      <c r="G85" s="282" t="s">
        <v>484</v>
      </c>
      <c r="H85" s="282"/>
      <c r="I85" s="282"/>
      <c r="J85" s="283" t="s">
        <v>346</v>
      </c>
      <c r="K85" s="398"/>
    </row>
    <row r="86" spans="1:14" s="284" customFormat="1" ht="15.75" customHeight="1" x14ac:dyDescent="0.25">
      <c r="A86" s="318"/>
      <c r="B86" s="269"/>
      <c r="C86" s="287" t="s">
        <v>509</v>
      </c>
      <c r="D86" s="374" t="str">
        <f>IF($D$83="yes","Outstanding loan amount","NA")</f>
        <v>Outstanding loan amount</v>
      </c>
      <c r="E86" s="375"/>
      <c r="F86" s="376"/>
      <c r="G86" s="282">
        <v>125000</v>
      </c>
      <c r="H86" s="282"/>
      <c r="I86" s="282"/>
      <c r="J86" s="283">
        <f>IF(D83="yes",LOOKUP(G86,'Logic Page+ Weightage'!$F$44:$G$48,'Logic Page+ Weightage'!$H$44:$H$48),0)</f>
        <v>6</v>
      </c>
      <c r="K86" s="398"/>
    </row>
    <row r="87" spans="1:14" s="284" customFormat="1" ht="15.75" customHeight="1" x14ac:dyDescent="0.25">
      <c r="A87" s="318"/>
      <c r="B87" s="269"/>
      <c r="C87" s="287" t="s">
        <v>436</v>
      </c>
      <c r="D87" s="374" t="str">
        <f>IF($D$83="yes","EMI Amount Paid per Month","NA")</f>
        <v>EMI Amount Paid per Month</v>
      </c>
      <c r="E87" s="375"/>
      <c r="F87" s="376"/>
      <c r="G87" s="282">
        <v>5050</v>
      </c>
      <c r="H87" s="282"/>
      <c r="I87" s="282"/>
      <c r="J87" s="283">
        <f>IF(D83="yes",LOOKUP(G87,'Logic Page+ Weightage'!$F$51:$G$56,'Logic Page+ Weightage'!$H$51:$H$56),0)</f>
        <v>6</v>
      </c>
      <c r="K87" s="398"/>
    </row>
    <row r="88" spans="1:14" s="284" customFormat="1" ht="15.75" customHeight="1" x14ac:dyDescent="0.25">
      <c r="A88" s="318"/>
      <c r="B88" s="269"/>
      <c r="C88" s="288"/>
      <c r="D88" s="374" t="str">
        <f>IF($D$83="yes","Therefore, No. of Months of EMI","NA")</f>
        <v>Therefore, No. of Months of EMI</v>
      </c>
      <c r="E88" s="375"/>
      <c r="F88" s="376"/>
      <c r="G88" s="282">
        <f>G86/G87</f>
        <v>24.752475247524753</v>
      </c>
      <c r="H88" s="282"/>
      <c r="I88" s="282"/>
      <c r="J88" s="283">
        <f>IF(D83="yes",LOOKUP(G88,'Logic Page+ Weightage'!$F$59:$G$63,'Logic Page+ Weightage'!$H$59:$H$63),0)</f>
        <v>4</v>
      </c>
      <c r="K88" s="398"/>
    </row>
    <row r="89" spans="1:14" s="284" customFormat="1" ht="15.75" customHeight="1" x14ac:dyDescent="0.25">
      <c r="A89" s="318"/>
      <c r="B89" s="269"/>
      <c r="C89" s="289" t="str">
        <f>IF(D62="Rented","Rental amount per month","NA")</f>
        <v>Rental amount per month</v>
      </c>
      <c r="D89" s="374">
        <v>2000</v>
      </c>
      <c r="E89" s="375"/>
      <c r="F89" s="376"/>
      <c r="G89" s="282"/>
      <c r="H89" s="282"/>
      <c r="I89" s="282"/>
      <c r="J89" s="283">
        <f>IF(D62="Rented",LOOKUP(D89,'Logic Page+ Weightage'!B237:C241,'Logic Page+ Weightage'!D237:D241),0)</f>
        <v>8</v>
      </c>
      <c r="K89" s="398"/>
    </row>
    <row r="90" spans="1:14" s="284" customFormat="1" ht="15.75" customHeight="1" x14ac:dyDescent="0.25">
      <c r="A90" s="318"/>
      <c r="B90" s="269"/>
      <c r="C90" s="290" t="s">
        <v>45</v>
      </c>
      <c r="D90" s="363" t="s">
        <v>342</v>
      </c>
      <c r="E90" s="363"/>
      <c r="F90" s="363"/>
      <c r="G90" s="282"/>
      <c r="H90" s="282"/>
      <c r="I90" s="282"/>
      <c r="J90" s="291">
        <f>IF(D90="yes",10,0)</f>
        <v>10</v>
      </c>
      <c r="K90" s="398"/>
    </row>
    <row r="91" spans="1:14" s="284" customFormat="1" ht="15.75" customHeight="1" x14ac:dyDescent="0.25">
      <c r="A91" s="318"/>
      <c r="B91" s="269"/>
      <c r="C91" s="292" t="s">
        <v>46</v>
      </c>
      <c r="D91" s="363" t="str">
        <f>IF(D90="yes","FPO/FPC Name","NA")</f>
        <v>FPO/FPC Name</v>
      </c>
      <c r="E91" s="363"/>
      <c r="F91" s="363"/>
      <c r="G91" s="282"/>
      <c r="H91" s="282"/>
      <c r="I91" s="282"/>
      <c r="J91" s="283" t="s">
        <v>346</v>
      </c>
      <c r="K91" s="398"/>
    </row>
    <row r="92" spans="1:14" s="284" customFormat="1" ht="15.75" customHeight="1" x14ac:dyDescent="0.25">
      <c r="A92" s="318"/>
      <c r="B92" s="269"/>
      <c r="C92" s="292" t="s">
        <v>47</v>
      </c>
      <c r="D92" s="363" t="str">
        <f>IF(D90="yes","Co-operative Society/Bank Name","NA")</f>
        <v>Co-operative Society/Bank Name</v>
      </c>
      <c r="E92" s="363"/>
      <c r="F92" s="363"/>
      <c r="G92" s="282"/>
      <c r="H92" s="282"/>
      <c r="I92" s="282"/>
      <c r="J92" s="283" t="s">
        <v>346</v>
      </c>
      <c r="K92" s="398"/>
    </row>
    <row r="93" spans="1:14" s="284" customFormat="1" ht="15.75" customHeight="1" x14ac:dyDescent="0.25">
      <c r="A93" s="319"/>
      <c r="B93" s="269"/>
      <c r="C93" s="290"/>
      <c r="D93" s="363"/>
      <c r="E93" s="363"/>
      <c r="F93" s="363"/>
      <c r="G93" s="282"/>
      <c r="H93" s="282"/>
      <c r="I93" s="282"/>
      <c r="J93" s="283"/>
      <c r="K93" s="399"/>
      <c r="L93" s="313" t="s">
        <v>360</v>
      </c>
      <c r="M93" s="313"/>
      <c r="N93" s="313"/>
    </row>
    <row r="94" spans="1:14" s="102" customFormat="1" ht="31.5" customHeight="1" x14ac:dyDescent="0.25">
      <c r="A94" s="311" t="s">
        <v>520</v>
      </c>
      <c r="C94" s="110" t="s">
        <v>416</v>
      </c>
      <c r="D94" s="320">
        <v>100000</v>
      </c>
      <c r="E94" s="320"/>
      <c r="F94" s="320"/>
      <c r="G94" s="211"/>
      <c r="H94" s="211"/>
      <c r="I94" s="211"/>
      <c r="J94" s="211">
        <f>LOOKUP(D94,'Logic Page+ Weightage'!B96:C103,'Logic Page+ Weightage'!D96:D103)</f>
        <v>7</v>
      </c>
      <c r="K94" s="400">
        <f>AVERAGE(J94:J123)</f>
        <v>7.2307692307692308</v>
      </c>
    </row>
    <row r="95" spans="1:14" s="102" customFormat="1" ht="15.75" x14ac:dyDescent="0.25">
      <c r="A95" s="312"/>
      <c r="C95" s="48" t="s">
        <v>519</v>
      </c>
      <c r="D95" s="359" t="s">
        <v>342</v>
      </c>
      <c r="E95" s="360"/>
      <c r="F95" s="361"/>
      <c r="G95" s="212"/>
      <c r="H95" s="212"/>
      <c r="I95" s="212"/>
      <c r="J95" s="212" t="s">
        <v>346</v>
      </c>
      <c r="K95" s="401"/>
    </row>
    <row r="96" spans="1:14" s="102" customFormat="1" ht="15.75" x14ac:dyDescent="0.25">
      <c r="A96" s="312"/>
      <c r="C96" s="47" t="s">
        <v>523</v>
      </c>
      <c r="D96" s="307" t="str">
        <f>IF($D$95="yes","Mention the Loan Type (Select as many applicable)","NA")</f>
        <v>Mention the Loan Type (Select as many applicable)</v>
      </c>
      <c r="E96" s="307"/>
      <c r="F96" s="307"/>
      <c r="G96" s="212" t="s">
        <v>411</v>
      </c>
      <c r="H96" s="212"/>
      <c r="I96" s="212"/>
      <c r="J96" s="212" t="s">
        <v>346</v>
      </c>
      <c r="K96" s="401"/>
    </row>
    <row r="97" spans="1:11" s="102" customFormat="1" ht="15.75" x14ac:dyDescent="0.25">
      <c r="A97" s="312"/>
      <c r="C97" s="47"/>
      <c r="D97" s="359"/>
      <c r="E97" s="360"/>
      <c r="F97" s="361"/>
      <c r="G97" s="212" t="str">
        <f>IF(G96="Others","Please Mention","NA")</f>
        <v>NA</v>
      </c>
      <c r="H97" s="212" t="s">
        <v>486</v>
      </c>
      <c r="I97" s="212"/>
      <c r="J97" s="212" t="s">
        <v>346</v>
      </c>
      <c r="K97" s="401"/>
    </row>
    <row r="98" spans="1:11" s="102" customFormat="1" ht="15.75" x14ac:dyDescent="0.25">
      <c r="A98" s="312"/>
      <c r="C98" s="112"/>
      <c r="D98" s="307" t="str">
        <f>IF($D$95="yes","Total loan amount","NA")</f>
        <v>Total loan amount</v>
      </c>
      <c r="E98" s="307"/>
      <c r="F98" s="307"/>
      <c r="G98" s="212">
        <v>50000</v>
      </c>
      <c r="H98" s="212"/>
      <c r="I98" s="212"/>
      <c r="J98" s="212" t="s">
        <v>346</v>
      </c>
      <c r="K98" s="401"/>
    </row>
    <row r="99" spans="1:11" s="102" customFormat="1" ht="15.75" x14ac:dyDescent="0.25">
      <c r="A99" s="312"/>
      <c r="C99" s="100"/>
      <c r="D99" s="307" t="str">
        <f>IF($D$95="yes","Provider","NA")</f>
        <v>Provider</v>
      </c>
      <c r="E99" s="307"/>
      <c r="F99" s="307"/>
      <c r="G99" s="212" t="s">
        <v>484</v>
      </c>
      <c r="H99" s="212"/>
      <c r="I99" s="212"/>
      <c r="J99" s="212" t="s">
        <v>346</v>
      </c>
      <c r="K99" s="401"/>
    </row>
    <row r="100" spans="1:11" s="102" customFormat="1" ht="21" customHeight="1" x14ac:dyDescent="0.25">
      <c r="A100" s="312"/>
      <c r="C100" s="100"/>
      <c r="D100" s="307" t="str">
        <f>IF($D$95="yes","Current Outstanding Loan Amount","NA")</f>
        <v>Current Outstanding Loan Amount</v>
      </c>
      <c r="E100" s="307"/>
      <c r="F100" s="307"/>
      <c r="G100" s="212">
        <v>25000</v>
      </c>
      <c r="H100" s="212"/>
      <c r="I100" s="212"/>
      <c r="J100" s="212">
        <f>IF($D$95="Yes",LOOKUP(G100,'Logic Page+ Weightage'!$F$44:$G$48,'Logic Page+ Weightage'!$H$44:$H$48),"Zero")</f>
        <v>10</v>
      </c>
      <c r="K100" s="401"/>
    </row>
    <row r="101" spans="1:11" s="102" customFormat="1" ht="21" customHeight="1" x14ac:dyDescent="0.25">
      <c r="A101" s="312"/>
      <c r="C101" s="100"/>
      <c r="D101" s="307" t="str">
        <f>IF($D$95="yes","EMI per month","NA")</f>
        <v>EMI per month</v>
      </c>
      <c r="E101" s="307"/>
      <c r="F101" s="307"/>
      <c r="G101" s="212">
        <v>6000</v>
      </c>
      <c r="H101" s="212"/>
      <c r="I101" s="212"/>
      <c r="J101" s="212">
        <f>IF($D$95="Yes",LOOKUP(G101,'Logic Page+ Weightage'!$F$51:$G$56,'Logic Page+ Weightage'!$H$51:$H$56),"Zero")</f>
        <v>6</v>
      </c>
      <c r="K101" s="401"/>
    </row>
    <row r="102" spans="1:11" s="102" customFormat="1" ht="21" customHeight="1" x14ac:dyDescent="0.25">
      <c r="A102" s="312"/>
      <c r="C102" s="100"/>
      <c r="D102" s="307" t="str">
        <f>IF($D$95="yes","Therefore, No. of Months to clear Outstanding","NA")</f>
        <v>Therefore, No. of Months to clear Outstanding</v>
      </c>
      <c r="E102" s="307"/>
      <c r="F102" s="307"/>
      <c r="G102" s="212">
        <f>G100/G101</f>
        <v>4.166666666666667</v>
      </c>
      <c r="H102" s="212"/>
      <c r="I102" s="212"/>
      <c r="J102" s="212">
        <f>IF($D$95="Yes",LOOKUP(G102,'Logic Page+ Weightage'!$F$59:$G$63,'Logic Page+ Weightage'!$H$59:$H$63),"Zero")</f>
        <v>10</v>
      </c>
      <c r="K102" s="401"/>
    </row>
    <row r="103" spans="1:11" s="102" customFormat="1" ht="21" customHeight="1" x14ac:dyDescent="0.25">
      <c r="A103" s="312"/>
      <c r="C103" s="47" t="s">
        <v>524</v>
      </c>
      <c r="D103" s="307" t="str">
        <f>IF($D$95="yes","Mention the Loan Type (Select as many applicable)","NA")</f>
        <v>Mention the Loan Type (Select as many applicable)</v>
      </c>
      <c r="E103" s="307"/>
      <c r="F103" s="307"/>
      <c r="G103" s="212" t="s">
        <v>410</v>
      </c>
      <c r="H103" s="212"/>
      <c r="I103" s="212"/>
      <c r="J103" s="212" t="s">
        <v>346</v>
      </c>
      <c r="K103" s="401"/>
    </row>
    <row r="104" spans="1:11" s="102" customFormat="1" ht="21" customHeight="1" x14ac:dyDescent="0.25">
      <c r="A104" s="312"/>
      <c r="C104" s="100"/>
      <c r="D104" s="359"/>
      <c r="E104" s="360"/>
      <c r="F104" s="361"/>
      <c r="G104" s="212" t="str">
        <f>IF(G103="Others","Please Mention","NA")</f>
        <v>NA</v>
      </c>
      <c r="H104" s="212" t="s">
        <v>486</v>
      </c>
      <c r="I104" s="212"/>
      <c r="J104" s="212" t="s">
        <v>346</v>
      </c>
      <c r="K104" s="401"/>
    </row>
    <row r="105" spans="1:11" s="102" customFormat="1" ht="21" customHeight="1" x14ac:dyDescent="0.25">
      <c r="A105" s="312"/>
      <c r="C105" s="100"/>
      <c r="D105" s="307" t="str">
        <f>IF(OR($D$95="No",G103="NA"),"NA","Total loan amount")</f>
        <v>Total loan amount</v>
      </c>
      <c r="E105" s="307"/>
      <c r="F105" s="307"/>
      <c r="G105" s="212">
        <v>100000</v>
      </c>
      <c r="H105" s="212"/>
      <c r="I105" s="212"/>
      <c r="J105" s="212" t="s">
        <v>346</v>
      </c>
      <c r="K105" s="401"/>
    </row>
    <row r="106" spans="1:11" s="102" customFormat="1" ht="21" customHeight="1" x14ac:dyDescent="0.25">
      <c r="A106" s="312"/>
      <c r="C106" s="100"/>
      <c r="D106" s="307" t="str">
        <f>IF(OR($D$95="No",G103="NA"),"NA","Provider")</f>
        <v>Provider</v>
      </c>
      <c r="E106" s="307"/>
      <c r="F106" s="307"/>
      <c r="G106" s="212" t="s">
        <v>484</v>
      </c>
      <c r="H106" s="212"/>
      <c r="I106" s="212"/>
      <c r="J106" s="212" t="s">
        <v>346</v>
      </c>
      <c r="K106" s="401"/>
    </row>
    <row r="107" spans="1:11" s="102" customFormat="1" ht="21" customHeight="1" x14ac:dyDescent="0.25">
      <c r="A107" s="312"/>
      <c r="C107" s="100"/>
      <c r="D107" s="307" t="str">
        <f>IF(OR($D$95="No",G103="NA"),"NA","Current Outstanding Loan Amount")</f>
        <v>Current Outstanding Loan Amount</v>
      </c>
      <c r="E107" s="307"/>
      <c r="F107" s="307"/>
      <c r="G107" s="212">
        <v>60000</v>
      </c>
      <c r="H107" s="212"/>
      <c r="I107" s="212"/>
      <c r="J107" s="212">
        <f>IF($D$95="Yes",IF(G103="NA",0,LOOKUP(G107,'Logic Page+ Weightage'!$F$44:$G$48,'Logic Page+ Weightage'!$H$44:$H$48)),"Zero")</f>
        <v>8</v>
      </c>
      <c r="K107" s="401"/>
    </row>
    <row r="108" spans="1:11" s="102" customFormat="1" ht="21" customHeight="1" x14ac:dyDescent="0.25">
      <c r="A108" s="312"/>
      <c r="C108" s="100"/>
      <c r="D108" s="307" t="str">
        <f>IF(OR($D$95="No",G103="NA"),"NA","EMI per month")</f>
        <v>EMI per month</v>
      </c>
      <c r="E108" s="307"/>
      <c r="F108" s="307"/>
      <c r="G108" s="212">
        <v>5000</v>
      </c>
      <c r="H108" s="212"/>
      <c r="I108" s="212"/>
      <c r="J108" s="212">
        <f>IF($D$95="Yes",IF(G103="NA",0,LOOKUP(G108,'Logic Page+ Weightage'!$F$51:$G$56,'Logic Page+ Weightage'!$H$51:$H$56)),"Zero")</f>
        <v>8</v>
      </c>
      <c r="K108" s="401"/>
    </row>
    <row r="109" spans="1:11" s="102" customFormat="1" ht="21" customHeight="1" x14ac:dyDescent="0.25">
      <c r="A109" s="312"/>
      <c r="C109" s="100"/>
      <c r="D109" s="307" t="str">
        <f>IF(OR($D$95="No",G103="NA"),"NA","Therefore, No. of Months to clear Outstanding")</f>
        <v>Therefore, No. of Months to clear Outstanding</v>
      </c>
      <c r="E109" s="307"/>
      <c r="F109" s="307"/>
      <c r="G109" s="212">
        <f>G107/G108</f>
        <v>12</v>
      </c>
      <c r="H109" s="212"/>
      <c r="I109" s="212"/>
      <c r="J109" s="212">
        <f>IF($D$95="Yes",IF(G103="NA",0, LOOKUP(G109,'Logic Page+ Weightage'!$F$59:$G$63,'Logic Page+ Weightage'!$H$59:$H$63)),"Zero")</f>
        <v>8</v>
      </c>
      <c r="K109" s="401"/>
    </row>
    <row r="110" spans="1:11" s="102" customFormat="1" ht="21" customHeight="1" x14ac:dyDescent="0.25">
      <c r="A110" s="312"/>
      <c r="C110" s="47" t="s">
        <v>525</v>
      </c>
      <c r="D110" s="307" t="str">
        <f>IF(OR($D$95="No",G103="NA"),"NA","Mention the Loan Type (Select as many applicable)")</f>
        <v>Mention the Loan Type (Select as many applicable)</v>
      </c>
      <c r="E110" s="307"/>
      <c r="F110" s="307"/>
      <c r="G110" s="212" t="s">
        <v>409</v>
      </c>
      <c r="H110" s="212"/>
      <c r="I110" s="212"/>
      <c r="J110" s="212" t="s">
        <v>346</v>
      </c>
      <c r="K110" s="401"/>
    </row>
    <row r="111" spans="1:11" s="102" customFormat="1" ht="21" customHeight="1" x14ac:dyDescent="0.25">
      <c r="A111" s="312"/>
      <c r="C111" s="100"/>
      <c r="D111" s="359"/>
      <c r="E111" s="360"/>
      <c r="F111" s="361"/>
      <c r="G111" s="212" t="str">
        <f>IF(G110="Others","Please Mention","NA")</f>
        <v>NA</v>
      </c>
      <c r="H111" s="212" t="s">
        <v>486</v>
      </c>
      <c r="I111" s="212"/>
      <c r="J111" s="212" t="s">
        <v>346</v>
      </c>
      <c r="K111" s="401"/>
    </row>
    <row r="112" spans="1:11" s="102" customFormat="1" ht="21" customHeight="1" x14ac:dyDescent="0.25">
      <c r="A112" s="312"/>
      <c r="C112" s="100"/>
      <c r="D112" s="307" t="str">
        <f>IF(OR($D$95="No",G103="NA",G110="NA"),"NA","Total loan amount")</f>
        <v>Total loan amount</v>
      </c>
      <c r="E112" s="307"/>
      <c r="F112" s="307"/>
      <c r="G112" s="212">
        <v>50000</v>
      </c>
      <c r="H112" s="212"/>
      <c r="I112" s="212"/>
      <c r="J112" s="212" t="s">
        <v>346</v>
      </c>
      <c r="K112" s="401"/>
    </row>
    <row r="113" spans="1:14" s="102" customFormat="1" ht="21" customHeight="1" x14ac:dyDescent="0.25">
      <c r="A113" s="312"/>
      <c r="C113" s="100"/>
      <c r="D113" s="307" t="str">
        <f>IF(OR($D$95="No",G103="NA",G110="NA"),"NA","Provider")</f>
        <v>Provider</v>
      </c>
      <c r="E113" s="307"/>
      <c r="F113" s="307"/>
      <c r="G113" s="212" t="s">
        <v>484</v>
      </c>
      <c r="H113" s="212"/>
      <c r="I113" s="212"/>
      <c r="J113" s="212" t="s">
        <v>346</v>
      </c>
      <c r="K113" s="401"/>
    </row>
    <row r="114" spans="1:14" s="102" customFormat="1" ht="21" customHeight="1" x14ac:dyDescent="0.25">
      <c r="A114" s="312"/>
      <c r="C114" s="100"/>
      <c r="D114" s="307" t="str">
        <f>IF(OR($D$95="No",G103="NA",G110="NA"),"NA","Current Outstanding Loan Amount")</f>
        <v>Current Outstanding Loan Amount</v>
      </c>
      <c r="E114" s="307"/>
      <c r="F114" s="307"/>
      <c r="G114" s="212">
        <v>25000</v>
      </c>
      <c r="H114" s="212"/>
      <c r="I114" s="212"/>
      <c r="J114" s="212">
        <f>IF($D$95="Yes", IF(D114="NA",0,LOOKUP(G114,'Logic Page+ Weightage'!$F$44:$G$48,'Logic Page+ Weightage'!$H$44:$H$48)),"Zero")</f>
        <v>10</v>
      </c>
      <c r="K114" s="401"/>
    </row>
    <row r="115" spans="1:14" s="102" customFormat="1" ht="21" customHeight="1" x14ac:dyDescent="0.25">
      <c r="A115" s="312"/>
      <c r="C115" s="100"/>
      <c r="D115" s="307" t="str">
        <f>IF(OR($D$95="No",G103="NA",G110="NA"),"NA","EMI per month")</f>
        <v>EMI per month</v>
      </c>
      <c r="E115" s="307"/>
      <c r="F115" s="307"/>
      <c r="G115" s="212">
        <v>6000</v>
      </c>
      <c r="H115" s="212"/>
      <c r="I115" s="212"/>
      <c r="J115" s="212">
        <f>IF($D$95="Yes",IF(D115="NA",0,LOOKUP(G115,'Logic Page+ Weightage'!$F$51:$G$56,'Logic Page+ Weightage'!$H$51:$H$56)),"Zero")</f>
        <v>6</v>
      </c>
      <c r="K115" s="401"/>
    </row>
    <row r="116" spans="1:14" s="102" customFormat="1" ht="21" customHeight="1" x14ac:dyDescent="0.25">
      <c r="A116" s="312"/>
      <c r="C116" s="100"/>
      <c r="D116" s="307" t="str">
        <f>IF(OR($D$95="No",G103="NA",G110="NA"),"NA","Therefore, No. of Months to clear Outstanding")</f>
        <v>Therefore, No. of Months to clear Outstanding</v>
      </c>
      <c r="E116" s="307"/>
      <c r="F116" s="307"/>
      <c r="G116" s="212">
        <f>G114/G115</f>
        <v>4.166666666666667</v>
      </c>
      <c r="H116" s="212"/>
      <c r="I116" s="212"/>
      <c r="J116" s="212">
        <f>IF($D$95="Yes",IF(D116="NA",0,LOOKUP(G116,'Logic Page+ Weightage'!$F$59:$G$63,'Logic Page+ Weightage'!$H$59:$H$63)),"Zero")</f>
        <v>10</v>
      </c>
      <c r="K116" s="401"/>
    </row>
    <row r="117" spans="1:14" s="102" customFormat="1" ht="15.75" x14ac:dyDescent="0.25">
      <c r="A117" s="312"/>
      <c r="C117" s="100" t="s">
        <v>526</v>
      </c>
      <c r="D117" s="359" t="s">
        <v>342</v>
      </c>
      <c r="E117" s="360"/>
      <c r="F117" s="361"/>
      <c r="G117" s="212"/>
      <c r="H117" s="212"/>
      <c r="I117" s="212"/>
      <c r="J117" s="212" t="s">
        <v>346</v>
      </c>
      <c r="K117" s="401"/>
    </row>
    <row r="118" spans="1:14" s="102" customFormat="1" ht="15.75" x14ac:dyDescent="0.25">
      <c r="A118" s="312"/>
      <c r="B118" s="123"/>
      <c r="C118" s="100"/>
      <c r="D118" s="307" t="str">
        <f>IF($D$117="yes","Mention the Borrowed amount","NA")</f>
        <v>Mention the Borrowed amount</v>
      </c>
      <c r="E118" s="307"/>
      <c r="F118" s="307"/>
      <c r="G118" s="212">
        <v>100000</v>
      </c>
      <c r="H118" s="212"/>
      <c r="I118" s="212"/>
      <c r="J118" s="212" t="s">
        <v>346</v>
      </c>
      <c r="K118" s="401"/>
    </row>
    <row r="119" spans="1:14" s="102" customFormat="1" ht="15.75" x14ac:dyDescent="0.25">
      <c r="A119" s="312"/>
      <c r="B119" s="123"/>
      <c r="C119" s="100"/>
      <c r="D119" s="307" t="str">
        <f>IF($D$117="yes","When did you borrow the loan?","NA")</f>
        <v>When did you borrow the loan?</v>
      </c>
      <c r="E119" s="307"/>
      <c r="F119" s="307"/>
      <c r="G119" s="213">
        <v>37036</v>
      </c>
      <c r="H119" s="212"/>
      <c r="I119" s="212"/>
      <c r="J119" s="212" t="s">
        <v>346</v>
      </c>
      <c r="K119" s="401"/>
    </row>
    <row r="120" spans="1:14" s="102" customFormat="1" ht="18.75" customHeight="1" x14ac:dyDescent="0.25">
      <c r="A120" s="312"/>
      <c r="B120" s="123"/>
      <c r="C120" s="100"/>
      <c r="D120" s="307" t="str">
        <f>IF($D$117="yes","How much loan is Outstanding to be paid?","NA")</f>
        <v>How much loan is Outstanding to be paid?</v>
      </c>
      <c r="E120" s="307"/>
      <c r="F120" s="307"/>
      <c r="G120" s="212">
        <v>200000</v>
      </c>
      <c r="H120" s="212"/>
      <c r="I120" s="212"/>
      <c r="J120" s="212">
        <f>IF(D117="Yes",LOOKUP(G120,'Logic Page+ Weightage'!$F$44:$G$48,'Logic Page+ Weightage'!$H$44:$H$48),"Zero")</f>
        <v>4</v>
      </c>
      <c r="K120" s="401"/>
    </row>
    <row r="121" spans="1:14" s="102" customFormat="1" ht="18.75" customHeight="1" x14ac:dyDescent="0.25">
      <c r="A121" s="312"/>
      <c r="B121" s="123"/>
      <c r="C121" s="100"/>
      <c r="D121" s="307" t="str">
        <f>IF($D$117="yes","EMI per month","NA")</f>
        <v>EMI per month</v>
      </c>
      <c r="E121" s="307"/>
      <c r="F121" s="307"/>
      <c r="G121" s="212">
        <v>12501</v>
      </c>
      <c r="H121" s="212"/>
      <c r="I121" s="212"/>
      <c r="J121" s="212">
        <f>IF(D117="Yes",LOOKUP(G121,'Logic Page+ Weightage'!$F$51:$G$56,'Logic Page+ Weightage'!$H$51:$H$56),"Zero")</f>
        <v>1</v>
      </c>
      <c r="K121" s="401"/>
    </row>
    <row r="122" spans="1:14" s="102" customFormat="1" ht="18.75" customHeight="1" x14ac:dyDescent="0.25">
      <c r="A122" s="312"/>
      <c r="B122" s="123"/>
      <c r="C122" s="100"/>
      <c r="D122" s="307" t="str">
        <f>IF($D$117="yes","Therefore, No. of Months to clear Outstanding","NA")</f>
        <v>Therefore, No. of Months to clear Outstanding</v>
      </c>
      <c r="E122" s="307"/>
      <c r="F122" s="307"/>
      <c r="G122" s="212">
        <f>G120/G121</f>
        <v>15.998720102391809</v>
      </c>
      <c r="H122" s="212"/>
      <c r="I122" s="212"/>
      <c r="J122" s="212">
        <f>IF(D117="Yes",LOOKUP(G122,'Logic Page+ Weightage'!$F$59:$G$63,'Logic Page+ Weightage'!$H$59:$H$63),"Zero")</f>
        <v>6</v>
      </c>
      <c r="K122" s="401"/>
    </row>
    <row r="123" spans="1:14" s="102" customFormat="1" ht="15.75" x14ac:dyDescent="0.25">
      <c r="A123" s="312"/>
      <c r="B123" s="123"/>
      <c r="C123" s="100"/>
      <c r="D123" s="307" t="str">
        <f>IF($D$117="yes","What was the Percentage Interest of the loan?","NA")</f>
        <v>What was the Percentage Interest of the loan?</v>
      </c>
      <c r="E123" s="307"/>
      <c r="F123" s="307"/>
      <c r="G123" s="212">
        <v>5</v>
      </c>
      <c r="H123" s="212"/>
      <c r="I123" s="212"/>
      <c r="J123" s="212" t="s">
        <v>346</v>
      </c>
      <c r="K123" s="402"/>
    </row>
    <row r="124" spans="1:14" ht="19.5" customHeight="1" x14ac:dyDescent="0.25">
      <c r="A124" s="324" t="s">
        <v>510</v>
      </c>
      <c r="B124" s="199"/>
      <c r="C124" s="200"/>
      <c r="D124" s="385" t="s">
        <v>306</v>
      </c>
      <c r="E124" s="386"/>
      <c r="F124" s="387"/>
      <c r="G124" s="201"/>
      <c r="H124" s="201"/>
      <c r="I124" s="202"/>
      <c r="J124" s="203"/>
      <c r="K124" s="397">
        <f>AVERAGE(J124:J153)</f>
        <v>7.666666666666667</v>
      </c>
      <c r="L124" s="102"/>
      <c r="M124" s="102"/>
      <c r="N124" s="102"/>
    </row>
    <row r="125" spans="1:14" ht="19.5" customHeight="1" x14ac:dyDescent="0.25">
      <c r="A125" s="325"/>
      <c r="B125" s="199"/>
      <c r="C125" s="204" t="s">
        <v>309</v>
      </c>
      <c r="D125" s="388">
        <v>10.1</v>
      </c>
      <c r="E125" s="389"/>
      <c r="F125" s="390"/>
      <c r="G125" s="205"/>
      <c r="H125" s="205"/>
      <c r="I125" s="205"/>
      <c r="J125" s="203">
        <f>LOOKUP(D125,'Logic Page+ Weightage'!B260:C264,'Logic Page+ Weightage'!D260:D264)</f>
        <v>10</v>
      </c>
      <c r="K125" s="349"/>
      <c r="L125" s="102"/>
      <c r="M125" s="102"/>
      <c r="N125" s="102"/>
    </row>
    <row r="126" spans="1:14" ht="27" customHeight="1" x14ac:dyDescent="0.25">
      <c r="A126" s="325"/>
      <c r="B126" s="152"/>
      <c r="C126" s="204" t="s">
        <v>310</v>
      </c>
      <c r="D126" s="388" t="s">
        <v>60</v>
      </c>
      <c r="E126" s="389"/>
      <c r="F126" s="389"/>
      <c r="G126" s="207"/>
      <c r="H126" s="207"/>
      <c r="I126" s="207"/>
      <c r="J126" s="206" t="str">
        <f>IF(D126="Owned","ND",IF(D126="Leased","NA",IF(D126="Contracted","NA","ND")))</f>
        <v>NA</v>
      </c>
      <c r="K126" s="349"/>
      <c r="L126" s="102"/>
      <c r="M126" s="102"/>
      <c r="N126" s="102"/>
    </row>
    <row r="127" spans="1:14" ht="19.5" customHeight="1" x14ac:dyDescent="0.25">
      <c r="A127" s="325"/>
      <c r="B127" s="152"/>
      <c r="C127" s="204" t="s">
        <v>361</v>
      </c>
      <c r="D127" s="388" t="str">
        <f>IF(AND($D$126="Leased",$C$127="No lease year"),"Enter year","NA")</f>
        <v>NA</v>
      </c>
      <c r="E127" s="389"/>
      <c r="F127" s="389"/>
      <c r="G127" s="207">
        <v>10</v>
      </c>
      <c r="H127" s="207"/>
      <c r="I127" s="207"/>
      <c r="J127" s="206" t="str">
        <f>IF(D127="Enter Year","ND","NA")</f>
        <v>NA</v>
      </c>
      <c r="K127" s="349"/>
      <c r="L127" s="83"/>
      <c r="M127" s="83"/>
      <c r="N127" s="83"/>
    </row>
    <row r="128" spans="1:14" ht="19.5" customHeight="1" x14ac:dyDescent="0.25">
      <c r="A128" s="325"/>
      <c r="B128" s="152"/>
      <c r="C128" s="204" t="s">
        <v>362</v>
      </c>
      <c r="D128" s="388" t="str">
        <f>IF(AND($D$126="Contracted",$C$128="No Contract year"),"Enter year","NA")</f>
        <v>Enter year</v>
      </c>
      <c r="E128" s="389"/>
      <c r="F128" s="389"/>
      <c r="G128" s="207">
        <v>8</v>
      </c>
      <c r="H128" s="207"/>
      <c r="I128" s="207"/>
      <c r="J128" s="206" t="str">
        <f>IF(D128="Enter Year","ND","NA")</f>
        <v>ND</v>
      </c>
      <c r="K128" s="349"/>
      <c r="L128" s="83"/>
      <c r="M128" s="83"/>
      <c r="N128" s="83"/>
    </row>
    <row r="129" spans="1:14" ht="19.5" customHeight="1" x14ac:dyDescent="0.25">
      <c r="A129" s="325"/>
      <c r="B129" s="152" t="s">
        <v>380</v>
      </c>
      <c r="C129" s="208" t="s">
        <v>313</v>
      </c>
      <c r="D129" s="388"/>
      <c r="E129" s="389"/>
      <c r="F129" s="390"/>
      <c r="G129" s="207"/>
      <c r="H129" s="207"/>
      <c r="I129" s="207"/>
      <c r="J129" s="206" t="s">
        <v>346</v>
      </c>
      <c r="K129" s="349"/>
    </row>
    <row r="130" spans="1:14" ht="19.5" customHeight="1" x14ac:dyDescent="0.25">
      <c r="A130" s="325"/>
      <c r="B130" s="152"/>
      <c r="C130" s="209" t="s">
        <v>447</v>
      </c>
      <c r="D130" s="388">
        <v>127</v>
      </c>
      <c r="E130" s="389"/>
      <c r="F130" s="390"/>
      <c r="G130" s="202"/>
      <c r="H130" s="202"/>
      <c r="I130" s="202"/>
      <c r="J130" s="206" t="s">
        <v>346</v>
      </c>
      <c r="K130" s="349"/>
    </row>
    <row r="131" spans="1:14" ht="19.5" customHeight="1" x14ac:dyDescent="0.25">
      <c r="A131" s="325"/>
      <c r="B131" s="152"/>
      <c r="C131" s="204" t="s">
        <v>314</v>
      </c>
      <c r="D131" s="388" t="s">
        <v>359</v>
      </c>
      <c r="E131" s="389"/>
      <c r="F131" s="390"/>
      <c r="G131" s="202"/>
      <c r="H131" s="202"/>
      <c r="I131" s="202"/>
      <c r="J131" s="203" t="s">
        <v>346</v>
      </c>
      <c r="K131" s="349"/>
    </row>
    <row r="132" spans="1:14" ht="19.5" customHeight="1" x14ac:dyDescent="0.25">
      <c r="A132" s="325"/>
      <c r="B132" s="152"/>
      <c r="C132" s="209" t="s">
        <v>441</v>
      </c>
      <c r="D132" s="388" t="s">
        <v>363</v>
      </c>
      <c r="E132" s="389"/>
      <c r="F132" s="390"/>
      <c r="G132" s="202"/>
      <c r="H132" s="202"/>
      <c r="I132" s="202"/>
      <c r="J132" s="203" t="s">
        <v>346</v>
      </c>
      <c r="K132" s="349"/>
    </row>
    <row r="133" spans="1:14" ht="19.5" customHeight="1" x14ac:dyDescent="0.25">
      <c r="A133" s="325"/>
      <c r="B133" s="152"/>
      <c r="C133" s="204" t="s">
        <v>315</v>
      </c>
      <c r="D133" s="388" t="s">
        <v>487</v>
      </c>
      <c r="E133" s="389"/>
      <c r="F133" s="390"/>
      <c r="G133" s="202"/>
      <c r="H133" s="202"/>
      <c r="I133" s="202"/>
      <c r="J133" s="203" t="s">
        <v>346</v>
      </c>
      <c r="K133" s="349"/>
    </row>
    <row r="134" spans="1:14" ht="19.5" customHeight="1" x14ac:dyDescent="0.25">
      <c r="A134" s="325"/>
      <c r="B134" s="152"/>
      <c r="C134" s="204" t="s">
        <v>316</v>
      </c>
      <c r="D134" s="388" t="s">
        <v>364</v>
      </c>
      <c r="E134" s="389"/>
      <c r="F134" s="390"/>
      <c r="G134" s="202"/>
      <c r="H134" s="202"/>
      <c r="I134" s="202"/>
      <c r="J134" s="203" t="s">
        <v>346</v>
      </c>
      <c r="K134" s="349"/>
    </row>
    <row r="135" spans="1:14" ht="19.5" customHeight="1" x14ac:dyDescent="0.25">
      <c r="A135" s="325"/>
      <c r="B135" s="152"/>
      <c r="C135" s="204" t="s">
        <v>317</v>
      </c>
      <c r="D135" s="388">
        <v>400078</v>
      </c>
      <c r="E135" s="389"/>
      <c r="F135" s="390"/>
      <c r="G135" s="202"/>
      <c r="H135" s="202"/>
      <c r="I135" s="202"/>
      <c r="J135" s="203" t="s">
        <v>346</v>
      </c>
      <c r="K135" s="349"/>
    </row>
    <row r="136" spans="1:14" ht="19.5" customHeight="1" x14ac:dyDescent="0.25">
      <c r="A136" s="325"/>
      <c r="B136" s="152"/>
      <c r="C136" s="210" t="s">
        <v>319</v>
      </c>
      <c r="D136" s="388"/>
      <c r="E136" s="389"/>
      <c r="F136" s="390"/>
      <c r="G136" s="202"/>
      <c r="H136" s="202"/>
      <c r="I136" s="202"/>
      <c r="J136" s="203"/>
      <c r="K136" s="349"/>
    </row>
    <row r="137" spans="1:14" ht="19.5" customHeight="1" x14ac:dyDescent="0.25">
      <c r="A137" s="325"/>
      <c r="B137" s="152"/>
      <c r="C137" s="210" t="s">
        <v>320</v>
      </c>
      <c r="D137" s="388"/>
      <c r="E137" s="389"/>
      <c r="F137" s="390"/>
      <c r="G137" s="202"/>
      <c r="H137" s="202"/>
      <c r="I137" s="202"/>
      <c r="J137" s="203"/>
      <c r="K137" s="349"/>
    </row>
    <row r="138" spans="1:14" ht="19.5" customHeight="1" x14ac:dyDescent="0.25">
      <c r="A138" s="325"/>
      <c r="B138" s="152"/>
      <c r="C138" s="209" t="s">
        <v>488</v>
      </c>
      <c r="D138" s="388" t="s">
        <v>342</v>
      </c>
      <c r="E138" s="389"/>
      <c r="F138" s="390"/>
      <c r="G138" s="202"/>
      <c r="H138" s="202"/>
      <c r="I138" s="202"/>
      <c r="J138" s="203">
        <f>IF(D138="yes",10,"Zero")</f>
        <v>10</v>
      </c>
      <c r="K138" s="349"/>
    </row>
    <row r="139" spans="1:14" ht="19.5" customHeight="1" x14ac:dyDescent="0.25">
      <c r="A139" s="325"/>
      <c r="B139" s="152"/>
      <c r="C139" s="204" t="s">
        <v>64</v>
      </c>
      <c r="D139" s="388" t="s">
        <v>71</v>
      </c>
      <c r="E139" s="389"/>
      <c r="F139" s="390"/>
      <c r="G139" s="202"/>
      <c r="H139" s="202"/>
      <c r="I139" s="202"/>
      <c r="J139" s="203">
        <f>IF(D139="Alluvial soil",10,IF(D139="black soil",9,IF(D139="red soil",8,IF(OR(D139="mountain soil",D139="Peat"),4,IF(D139="Laterite soil",5,3)))))</f>
        <v>3</v>
      </c>
      <c r="K139" s="349"/>
    </row>
    <row r="140" spans="1:14" ht="19.5" customHeight="1" x14ac:dyDescent="0.25">
      <c r="A140" s="325"/>
      <c r="B140" s="152"/>
      <c r="C140" s="210" t="s">
        <v>72</v>
      </c>
      <c r="D140" s="388">
        <v>3.6</v>
      </c>
      <c r="E140" s="389"/>
      <c r="F140" s="390"/>
      <c r="G140" s="202"/>
      <c r="H140" s="202"/>
      <c r="I140" s="202"/>
      <c r="J140" s="203" t="s">
        <v>489</v>
      </c>
      <c r="K140" s="349"/>
      <c r="L140" s="79"/>
      <c r="M140" s="75"/>
      <c r="N140" s="75"/>
    </row>
    <row r="141" spans="1:14" ht="19.5" customHeight="1" x14ac:dyDescent="0.25">
      <c r="A141" s="325"/>
      <c r="B141" s="152"/>
      <c r="C141" s="210" t="s">
        <v>490</v>
      </c>
      <c r="D141" s="391" t="s">
        <v>451</v>
      </c>
      <c r="E141" s="391"/>
      <c r="F141" s="391"/>
      <c r="G141" s="207"/>
      <c r="H141" s="207"/>
      <c r="I141" s="207"/>
      <c r="J141" s="205" t="s">
        <v>489</v>
      </c>
      <c r="K141" s="349"/>
    </row>
    <row r="142" spans="1:14" s="102" customFormat="1" ht="15.75" x14ac:dyDescent="0.25">
      <c r="A142" s="325"/>
      <c r="B142" s="47"/>
      <c r="C142" s="197"/>
      <c r="D142" s="391" t="s">
        <v>74</v>
      </c>
      <c r="E142" s="391"/>
      <c r="F142" s="391"/>
      <c r="G142" s="207"/>
      <c r="H142" s="197"/>
      <c r="I142" s="197"/>
      <c r="J142" s="205" t="s">
        <v>489</v>
      </c>
      <c r="K142" s="349"/>
    </row>
    <row r="143" spans="1:14" s="102" customFormat="1" ht="15.75" x14ac:dyDescent="0.25">
      <c r="A143" s="325"/>
      <c r="B143" s="47"/>
      <c r="C143" s="197"/>
      <c r="D143" s="392" t="s">
        <v>449</v>
      </c>
      <c r="E143" s="393"/>
      <c r="F143" s="394"/>
      <c r="G143" s="207"/>
      <c r="H143" s="197"/>
      <c r="I143" s="197"/>
      <c r="J143" s="205" t="s">
        <v>489</v>
      </c>
      <c r="K143" s="349"/>
    </row>
    <row r="144" spans="1:14" s="102" customFormat="1" ht="15.75" x14ac:dyDescent="0.25">
      <c r="A144" s="325"/>
      <c r="B144" s="47"/>
      <c r="C144" s="197"/>
      <c r="D144" s="392" t="s">
        <v>75</v>
      </c>
      <c r="E144" s="393"/>
      <c r="F144" s="394"/>
      <c r="G144" s="207"/>
      <c r="H144" s="197"/>
      <c r="I144" s="197"/>
      <c r="J144" s="205" t="s">
        <v>489</v>
      </c>
      <c r="K144" s="349"/>
    </row>
    <row r="145" spans="1:22" s="102" customFormat="1" ht="15.75" x14ac:dyDescent="0.25">
      <c r="A145" s="325"/>
      <c r="B145" s="47"/>
      <c r="C145" s="197"/>
      <c r="D145" s="392" t="s">
        <v>452</v>
      </c>
      <c r="E145" s="393"/>
      <c r="F145" s="394"/>
      <c r="G145" s="207"/>
      <c r="H145" s="197"/>
      <c r="I145" s="197"/>
      <c r="J145" s="205" t="s">
        <v>489</v>
      </c>
      <c r="K145" s="349"/>
    </row>
    <row r="146" spans="1:22" s="102" customFormat="1" ht="15.75" x14ac:dyDescent="0.25">
      <c r="A146" s="325"/>
      <c r="B146" s="47"/>
      <c r="C146" s="197"/>
      <c r="D146" s="392" t="s">
        <v>76</v>
      </c>
      <c r="E146" s="393"/>
      <c r="F146" s="394"/>
      <c r="G146" s="207"/>
      <c r="H146" s="197"/>
      <c r="I146" s="197"/>
      <c r="J146" s="205" t="s">
        <v>489</v>
      </c>
      <c r="K146" s="349"/>
    </row>
    <row r="147" spans="1:22" s="102" customFormat="1" ht="15.75" x14ac:dyDescent="0.25">
      <c r="A147" s="325"/>
      <c r="B147" s="47"/>
      <c r="C147" s="197"/>
      <c r="D147" s="392" t="s">
        <v>77</v>
      </c>
      <c r="E147" s="393"/>
      <c r="F147" s="394"/>
      <c r="G147" s="207"/>
      <c r="H147" s="197"/>
      <c r="I147" s="197"/>
      <c r="J147" s="205" t="s">
        <v>489</v>
      </c>
      <c r="K147" s="349"/>
    </row>
    <row r="148" spans="1:22" s="102" customFormat="1" ht="15.75" x14ac:dyDescent="0.25">
      <c r="A148" s="325"/>
      <c r="B148" s="47"/>
      <c r="C148" s="197"/>
      <c r="D148" s="392" t="s">
        <v>78</v>
      </c>
      <c r="E148" s="393"/>
      <c r="F148" s="394"/>
      <c r="G148" s="207"/>
      <c r="H148" s="197"/>
      <c r="I148" s="197"/>
      <c r="J148" s="205" t="s">
        <v>489</v>
      </c>
      <c r="K148" s="349"/>
    </row>
    <row r="149" spans="1:22" s="102" customFormat="1" ht="15.75" x14ac:dyDescent="0.25">
      <c r="A149" s="325"/>
      <c r="B149" s="47"/>
      <c r="C149" s="197"/>
      <c r="D149" s="392" t="s">
        <v>453</v>
      </c>
      <c r="E149" s="393"/>
      <c r="F149" s="394"/>
      <c r="G149" s="207"/>
      <c r="H149" s="197"/>
      <c r="I149" s="197"/>
      <c r="J149" s="205" t="s">
        <v>489</v>
      </c>
      <c r="K149" s="349"/>
    </row>
    <row r="150" spans="1:22" s="102" customFormat="1" ht="15.75" x14ac:dyDescent="0.25">
      <c r="A150" s="325"/>
      <c r="B150" s="47"/>
      <c r="C150" s="197"/>
      <c r="D150" s="392" t="s">
        <v>454</v>
      </c>
      <c r="E150" s="393"/>
      <c r="F150" s="394"/>
      <c r="G150" s="207"/>
      <c r="H150" s="197"/>
      <c r="I150" s="197"/>
      <c r="J150" s="205" t="s">
        <v>489</v>
      </c>
      <c r="K150" s="349"/>
    </row>
    <row r="151" spans="1:22" s="102" customFormat="1" ht="15.75" x14ac:dyDescent="0.25">
      <c r="A151" s="325"/>
      <c r="B151" s="47"/>
      <c r="C151" s="197"/>
      <c r="D151" s="392" t="s">
        <v>455</v>
      </c>
      <c r="E151" s="393"/>
      <c r="F151" s="394"/>
      <c r="G151" s="207"/>
      <c r="H151" s="197"/>
      <c r="I151" s="197"/>
      <c r="J151" s="205" t="s">
        <v>489</v>
      </c>
      <c r="K151" s="349"/>
    </row>
    <row r="152" spans="1:22" s="102" customFormat="1" ht="15.75" x14ac:dyDescent="0.25">
      <c r="A152" s="325"/>
      <c r="B152" s="47"/>
      <c r="C152" s="197"/>
      <c r="D152" s="392" t="s">
        <v>456</v>
      </c>
      <c r="E152" s="393"/>
      <c r="F152" s="394"/>
      <c r="G152" s="207"/>
      <c r="H152" s="197"/>
      <c r="I152" s="197"/>
      <c r="J152" s="205" t="s">
        <v>489</v>
      </c>
      <c r="K152" s="349"/>
    </row>
    <row r="153" spans="1:22" s="102" customFormat="1" ht="15.75" x14ac:dyDescent="0.25">
      <c r="A153" s="326"/>
      <c r="B153" s="47"/>
      <c r="C153" s="197"/>
      <c r="D153" s="392" t="s">
        <v>457</v>
      </c>
      <c r="E153" s="393"/>
      <c r="F153" s="394"/>
      <c r="G153" s="207"/>
      <c r="H153" s="197"/>
      <c r="I153" s="197"/>
      <c r="J153" s="205" t="s">
        <v>489</v>
      </c>
      <c r="K153" s="349"/>
    </row>
    <row r="154" spans="1:22" s="102" customFormat="1" ht="15.75" x14ac:dyDescent="0.25">
      <c r="A154" s="377" t="s">
        <v>511</v>
      </c>
      <c r="B154" s="47"/>
      <c r="C154" s="216"/>
      <c r="D154" s="217" t="s">
        <v>491</v>
      </c>
      <c r="E154" s="217" t="s">
        <v>492</v>
      </c>
      <c r="F154" s="217" t="s">
        <v>493</v>
      </c>
      <c r="G154" s="216"/>
      <c r="H154" s="216"/>
      <c r="I154" s="216"/>
      <c r="J154" s="216"/>
      <c r="K154" s="403">
        <f>AVERAGE(J155:J165)</f>
        <v>21.428571428571427</v>
      </c>
    </row>
    <row r="155" spans="1:22" ht="24" customHeight="1" x14ac:dyDescent="0.25">
      <c r="A155" s="378"/>
      <c r="B155" s="154"/>
      <c r="C155" s="218" t="s">
        <v>329</v>
      </c>
      <c r="D155" s="219" t="s">
        <v>121</v>
      </c>
      <c r="E155" s="219" t="s">
        <v>121</v>
      </c>
      <c r="F155" s="219" t="s">
        <v>121</v>
      </c>
      <c r="G155" s="219"/>
      <c r="H155" s="219"/>
      <c r="I155" s="219"/>
      <c r="J155" s="198">
        <f>SUM(L155:N155)</f>
        <v>21</v>
      </c>
      <c r="K155" s="403"/>
      <c r="L155" s="79">
        <f>IF(D155="Rice",7,IF(D155="Wheat",0,0))</f>
        <v>7</v>
      </c>
      <c r="M155" s="79">
        <f t="shared" ref="M155:N155" si="0">IF(E155="Rice",7,IF(E155="Wheat",0,0))</f>
        <v>7</v>
      </c>
      <c r="N155" s="79">
        <f t="shared" si="0"/>
        <v>7</v>
      </c>
      <c r="R155" s="83"/>
      <c r="S155" s="83"/>
      <c r="T155" s="83"/>
      <c r="U155" s="83"/>
      <c r="V155" s="83"/>
    </row>
    <row r="156" spans="1:22" ht="34.5" customHeight="1" x14ac:dyDescent="0.25">
      <c r="A156" s="378"/>
      <c r="B156" s="154"/>
      <c r="C156" s="218"/>
      <c r="D156" s="219" t="s">
        <v>124</v>
      </c>
      <c r="E156" s="219" t="s">
        <v>124</v>
      </c>
      <c r="F156" s="219" t="s">
        <v>127</v>
      </c>
      <c r="G156" s="219"/>
      <c r="H156" s="219"/>
      <c r="I156" s="219"/>
      <c r="J156" s="198"/>
      <c r="K156" s="403"/>
      <c r="L156" s="79"/>
      <c r="M156" s="79"/>
      <c r="N156" s="79"/>
      <c r="R156" s="83"/>
      <c r="S156" s="83"/>
      <c r="T156" s="83"/>
      <c r="U156" s="83"/>
      <c r="V156" s="83"/>
    </row>
    <row r="157" spans="1:22" ht="19.5" customHeight="1" x14ac:dyDescent="0.25">
      <c r="A157" s="378"/>
      <c r="B157" s="154"/>
      <c r="C157" s="221" t="s">
        <v>458</v>
      </c>
      <c r="D157" s="220" t="s">
        <v>150</v>
      </c>
      <c r="E157" s="220" t="s">
        <v>150</v>
      </c>
      <c r="F157" s="220" t="s">
        <v>150</v>
      </c>
      <c r="G157" s="219"/>
      <c r="H157" s="219"/>
      <c r="I157" s="219"/>
      <c r="J157" s="198">
        <f>SUM(L157:N157)</f>
        <v>27</v>
      </c>
      <c r="K157" s="403"/>
      <c r="L157" s="79">
        <f>IF(D157="Land Preparation",3,IF(D157="Seed Selection",4,IF(D157="Seed Sowing",5,IF(D157=" Irrigation",6,IF(D157=" Crop Growth",7,IF(D157=" Fertilizing",8,9))))))</f>
        <v>9</v>
      </c>
      <c r="M157" s="75">
        <f t="shared" ref="M157:N157" si="1">IF(E157="Land Preparation",3,IF(E157="Seed Selection",4,IF(E157="Seed Sowing",5,IF(E157=" Irrigation",6,IF(E157=" Crop Growth",7,IF(E157=" Fertilizing",8,9))))))</f>
        <v>9</v>
      </c>
      <c r="N157" s="75">
        <f t="shared" si="1"/>
        <v>9</v>
      </c>
      <c r="R157" s="83"/>
      <c r="S157" s="69"/>
      <c r="T157" s="69"/>
      <c r="U157" s="84"/>
      <c r="V157" s="83"/>
    </row>
    <row r="158" spans="1:22" ht="19.5" customHeight="1" x14ac:dyDescent="0.25">
      <c r="A158" s="378"/>
      <c r="B158" s="154"/>
      <c r="C158" s="221" t="s">
        <v>494</v>
      </c>
      <c r="D158" s="220">
        <v>10</v>
      </c>
      <c r="E158" s="220">
        <v>10</v>
      </c>
      <c r="F158" s="220">
        <v>10</v>
      </c>
      <c r="G158" s="219"/>
      <c r="H158" s="219"/>
      <c r="I158" s="219"/>
      <c r="J158" s="198">
        <f>SUM(L158:N158)</f>
        <v>30</v>
      </c>
      <c r="K158" s="403"/>
      <c r="L158" s="75">
        <f>LOOKUP(D158,'Logic Page+ Weightage'!$B$360:$C$364,'Logic Page+ Weightage'!$D$360:$D$364)</f>
        <v>10</v>
      </c>
      <c r="M158" s="75">
        <f>LOOKUP(E158,'Logic Page+ Weightage'!$B$360:$C$364,'Logic Page+ Weightage'!$D$360:$D$364)</f>
        <v>10</v>
      </c>
      <c r="N158" s="75">
        <f>LOOKUP(F158,'Logic Page+ Weightage'!$B$360:$C$364,'Logic Page+ Weightage'!$D$360:$D$364)</f>
        <v>10</v>
      </c>
      <c r="R158" s="83"/>
      <c r="S158" s="69"/>
      <c r="T158" s="69"/>
      <c r="U158" s="84"/>
      <c r="V158" s="83"/>
    </row>
    <row r="159" spans="1:22" ht="19.5" customHeight="1" x14ac:dyDescent="0.25">
      <c r="A159" s="378"/>
      <c r="B159" s="154"/>
      <c r="C159" s="222" t="s">
        <v>151</v>
      </c>
      <c r="D159" s="220" t="s">
        <v>152</v>
      </c>
      <c r="E159" s="220" t="s">
        <v>153</v>
      </c>
      <c r="F159" s="220" t="s">
        <v>153</v>
      </c>
      <c r="G159" s="219"/>
      <c r="H159" s="219"/>
      <c r="I159" s="219"/>
      <c r="J159" s="198"/>
      <c r="K159" s="403"/>
      <c r="L159" s="75"/>
      <c r="M159" s="75"/>
      <c r="N159" s="75"/>
      <c r="R159" s="83"/>
      <c r="S159" s="69"/>
      <c r="T159" s="69"/>
      <c r="U159" s="84"/>
      <c r="V159" s="83"/>
    </row>
    <row r="160" spans="1:22" ht="19.5" customHeight="1" x14ac:dyDescent="0.25">
      <c r="A160" s="378"/>
      <c r="B160" s="154"/>
      <c r="C160" s="222" t="s">
        <v>157</v>
      </c>
      <c r="D160" s="220" t="s">
        <v>156</v>
      </c>
      <c r="E160" s="220" t="s">
        <v>156</v>
      </c>
      <c r="F160" s="220" t="s">
        <v>156</v>
      </c>
      <c r="G160" s="219"/>
      <c r="H160" s="219"/>
      <c r="I160" s="219"/>
      <c r="J160" s="198"/>
      <c r="K160" s="403"/>
      <c r="L160" s="75"/>
      <c r="M160" s="75"/>
      <c r="N160" s="75"/>
      <c r="R160" s="83"/>
      <c r="S160" s="69"/>
      <c r="T160" s="69"/>
      <c r="U160" s="84"/>
      <c r="V160" s="83"/>
    </row>
    <row r="161" spans="1:23" ht="19.5" customHeight="1" x14ac:dyDescent="0.25">
      <c r="A161" s="378"/>
      <c r="B161" s="154"/>
      <c r="C161" s="221" t="s">
        <v>495</v>
      </c>
      <c r="D161" s="220">
        <v>30000</v>
      </c>
      <c r="E161" s="220">
        <v>30000</v>
      </c>
      <c r="F161" s="220">
        <v>30000</v>
      </c>
      <c r="G161" s="219"/>
      <c r="H161" s="219"/>
      <c r="I161" s="219"/>
      <c r="J161" s="198">
        <f>SUM(L161:N161)</f>
        <v>18</v>
      </c>
      <c r="K161" s="403"/>
      <c r="L161" s="75">
        <f>LOOKUP(D161,'Logic Page+ Weightage'!$B$378:$C$380,'Logic Page+ Weightage'!$D$378:$D$380)</f>
        <v>6</v>
      </c>
      <c r="M161" s="75">
        <f>LOOKUP(E161,'Logic Page+ Weightage'!$B$378:$C$380,'Logic Page+ Weightage'!$D$378:$D$380)</f>
        <v>6</v>
      </c>
      <c r="N161" s="75">
        <f>LOOKUP(F161,'Logic Page+ Weightage'!$B$378:$C$380,'Logic Page+ Weightage'!$D$378:$D$380)</f>
        <v>6</v>
      </c>
      <c r="P161" s="83"/>
      <c r="Q161" s="83"/>
      <c r="R161" s="83"/>
      <c r="S161" s="69"/>
      <c r="T161" s="69"/>
      <c r="U161" s="84"/>
      <c r="V161" s="83"/>
    </row>
    <row r="162" spans="1:23" ht="19.5" customHeight="1" x14ac:dyDescent="0.25">
      <c r="A162" s="378"/>
      <c r="B162" s="154"/>
      <c r="C162" s="218" t="s">
        <v>333</v>
      </c>
      <c r="D162" s="220">
        <v>100001</v>
      </c>
      <c r="E162" s="220">
        <v>20000</v>
      </c>
      <c r="F162" s="220">
        <v>75400</v>
      </c>
      <c r="G162" s="219"/>
      <c r="H162" s="219"/>
      <c r="I162" s="219"/>
      <c r="J162" s="198">
        <f>SUM(L162:N162)</f>
        <v>21</v>
      </c>
      <c r="K162" s="403"/>
      <c r="L162" s="75">
        <f>LOOKUP(D162,'Logic Page+ Weightage'!$B$382:$C$386,'Logic Page+ Weightage'!$D$382:$D$386)</f>
        <v>10</v>
      </c>
      <c r="M162" s="75">
        <f>LOOKUP(E162,'Logic Page+ Weightage'!$B$382:$C$386,'Logic Page+ Weightage'!$D$382:$D$386)</f>
        <v>3</v>
      </c>
      <c r="N162" s="75">
        <f>LOOKUP(F162,'Logic Page+ Weightage'!$B$382:$C$386,'Logic Page+ Weightage'!$D$382:$D$386)</f>
        <v>8</v>
      </c>
      <c r="P162" s="83"/>
      <c r="Q162" s="83"/>
      <c r="R162" s="83"/>
      <c r="S162" s="69"/>
      <c r="T162" s="69"/>
      <c r="U162" s="84"/>
      <c r="V162" s="83"/>
    </row>
    <row r="163" spans="1:23" ht="19.5" customHeight="1" x14ac:dyDescent="0.25">
      <c r="A163" s="378"/>
      <c r="B163" s="154"/>
      <c r="C163" s="218" t="s">
        <v>158</v>
      </c>
      <c r="D163" s="220" t="s">
        <v>372</v>
      </c>
      <c r="E163" s="220" t="s">
        <v>372</v>
      </c>
      <c r="F163" s="220" t="s">
        <v>372</v>
      </c>
      <c r="G163" s="219"/>
      <c r="H163" s="219"/>
      <c r="I163" s="219"/>
      <c r="J163" s="198">
        <f>SUM(L163:N163)</f>
        <v>30</v>
      </c>
      <c r="K163" s="403"/>
      <c r="L163" s="79">
        <f>IF(D163="Fungal",1,IF(D163="Non-fungal",4,IF(D163="Severe",0,IF(D163="Treatable",8,10))))</f>
        <v>10</v>
      </c>
      <c r="M163" s="79">
        <f t="shared" ref="M163:N163" si="2">IF(E163="Fungal",1,IF(E163="Non-fungal",4,IF(E163="Severe",0,IF(E163="Treatable",8,10))))</f>
        <v>10</v>
      </c>
      <c r="N163" s="79">
        <f t="shared" si="2"/>
        <v>10</v>
      </c>
      <c r="P163" s="83"/>
      <c r="Q163" s="69"/>
      <c r="R163" s="69"/>
      <c r="S163" s="84"/>
      <c r="T163" s="69"/>
      <c r="U163" s="84"/>
      <c r="V163" s="83"/>
    </row>
    <row r="164" spans="1:23" ht="19.5" customHeight="1" x14ac:dyDescent="0.25">
      <c r="A164" s="378"/>
      <c r="B164" s="154"/>
      <c r="C164" s="218" t="s">
        <v>159</v>
      </c>
      <c r="D164" s="220" t="s">
        <v>342</v>
      </c>
      <c r="E164" s="220" t="s">
        <v>342</v>
      </c>
      <c r="F164" s="220" t="s">
        <v>342</v>
      </c>
      <c r="G164" s="219"/>
      <c r="H164" s="219"/>
      <c r="I164" s="219"/>
      <c r="J164" s="198">
        <f>SUM(L164:N164)</f>
        <v>3</v>
      </c>
      <c r="K164" s="403"/>
      <c r="L164" s="78">
        <f>IF(D164="yes",1,10)</f>
        <v>1</v>
      </c>
      <c r="M164" s="78">
        <f>IF(E164="yes",1,10)</f>
        <v>1</v>
      </c>
      <c r="N164" s="78">
        <f>IF(F164="yes",1,10)</f>
        <v>1</v>
      </c>
      <c r="P164" s="83"/>
      <c r="Q164" s="69"/>
      <c r="R164" s="69"/>
      <c r="S164" s="84"/>
      <c r="T164" s="83"/>
      <c r="U164" s="83"/>
      <c r="V164" s="83"/>
    </row>
    <row r="165" spans="1:23" ht="19.5" customHeight="1" x14ac:dyDescent="0.25">
      <c r="A165" s="379"/>
      <c r="B165" s="154"/>
      <c r="C165" s="222" t="s">
        <v>160</v>
      </c>
      <c r="D165" s="220" t="s">
        <v>171</v>
      </c>
      <c r="E165" s="220" t="s">
        <v>166</v>
      </c>
      <c r="F165" s="220" t="s">
        <v>165</v>
      </c>
      <c r="G165" s="219"/>
      <c r="H165" s="219"/>
      <c r="I165" s="219"/>
      <c r="J165" s="198" t="s">
        <v>489</v>
      </c>
      <c r="K165" s="404"/>
      <c r="P165" s="83"/>
      <c r="Q165" s="69"/>
      <c r="R165" s="69"/>
      <c r="S165" s="84"/>
      <c r="T165" s="83"/>
      <c r="U165" s="83"/>
      <c r="V165" s="83"/>
    </row>
    <row r="166" spans="1:23" ht="19.5" customHeight="1" x14ac:dyDescent="0.25">
      <c r="A166" s="377" t="s">
        <v>512</v>
      </c>
      <c r="B166" s="154"/>
      <c r="C166" s="223" t="s">
        <v>173</v>
      </c>
      <c r="D166" s="224" t="s">
        <v>174</v>
      </c>
      <c r="E166" s="224" t="s">
        <v>174</v>
      </c>
      <c r="F166" s="224" t="s">
        <v>176</v>
      </c>
      <c r="G166" s="185"/>
      <c r="H166" s="185"/>
      <c r="I166" s="185"/>
      <c r="J166" s="140"/>
      <c r="K166" s="380">
        <f>AVERAGE(J166:J172)</f>
        <v>19.600000000000001</v>
      </c>
      <c r="P166" s="83"/>
      <c r="Q166" s="69"/>
      <c r="R166" s="69"/>
      <c r="S166" s="84"/>
      <c r="T166" s="83"/>
      <c r="U166" s="83"/>
      <c r="V166" s="83"/>
    </row>
    <row r="167" spans="1:23" ht="19.5" customHeight="1" x14ac:dyDescent="0.25">
      <c r="A167" s="378"/>
      <c r="B167" s="154"/>
      <c r="C167" s="225" t="s">
        <v>496</v>
      </c>
      <c r="D167" s="224">
        <v>5</v>
      </c>
      <c r="E167" s="224">
        <v>5</v>
      </c>
      <c r="F167" s="224">
        <v>5</v>
      </c>
      <c r="G167" s="185"/>
      <c r="H167" s="185"/>
      <c r="I167" s="185"/>
      <c r="J167" s="140">
        <f t="shared" ref="J167:J172" si="3">SUM(L167:N167)</f>
        <v>21</v>
      </c>
      <c r="K167" s="380"/>
      <c r="L167" s="74">
        <f>LOOKUP(D167,'Logic Page+ Weightage'!$B$419:$C$422,'Logic Page+ Weightage'!$D$419:$D$422)</f>
        <v>7</v>
      </c>
      <c r="M167" s="74">
        <f>LOOKUP(E167,'Logic Page+ Weightage'!$B$419:$C$422,'Logic Page+ Weightage'!$D$419:$D$422)</f>
        <v>7</v>
      </c>
      <c r="N167" s="74">
        <f>LOOKUP(F167,'Logic Page+ Weightage'!$B$419:$C$422,'Logic Page+ Weightage'!$D$419:$D$422)</f>
        <v>7</v>
      </c>
      <c r="P167" s="83"/>
      <c r="Q167" s="83"/>
      <c r="R167" s="83"/>
      <c r="S167" s="83"/>
      <c r="T167" s="83"/>
      <c r="U167" s="83"/>
      <c r="V167" s="83"/>
    </row>
    <row r="168" spans="1:23" ht="19.5" customHeight="1" x14ac:dyDescent="0.25">
      <c r="A168" s="378"/>
      <c r="B168" s="154"/>
      <c r="C168" s="225" t="s">
        <v>497</v>
      </c>
      <c r="D168" s="224">
        <v>300000</v>
      </c>
      <c r="E168" s="224">
        <v>300000</v>
      </c>
      <c r="F168" s="224">
        <v>300000</v>
      </c>
      <c r="G168" s="185"/>
      <c r="H168" s="185"/>
      <c r="I168" s="185"/>
      <c r="J168" s="140">
        <f t="shared" si="3"/>
        <v>30</v>
      </c>
      <c r="K168" s="380"/>
      <c r="L168" s="74">
        <f>LOOKUP(D168,'Logic Page+ Weightage'!$B$424:$C$428,'Logic Page+ Weightage'!$D$424:$D$428)</f>
        <v>10</v>
      </c>
      <c r="M168" s="74">
        <f>LOOKUP(E168,'Logic Page+ Weightage'!$B$424:$C$428,'Logic Page+ Weightage'!$D$424:$D$428)</f>
        <v>10</v>
      </c>
      <c r="N168" s="74">
        <f>LOOKUP(F168,'Logic Page+ Weightage'!$B$424:$C$428,'Logic Page+ Weightage'!$D$424:$D$428)</f>
        <v>10</v>
      </c>
      <c r="P168" s="83"/>
      <c r="Q168" s="83"/>
      <c r="R168" s="83"/>
      <c r="S168" s="83"/>
      <c r="T168" s="83"/>
      <c r="U168" s="83"/>
      <c r="V168" s="83"/>
      <c r="W168" s="83"/>
    </row>
    <row r="169" spans="1:23" ht="19.5" customHeight="1" x14ac:dyDescent="0.25">
      <c r="A169" s="378"/>
      <c r="B169" s="154"/>
      <c r="C169" s="215" t="s">
        <v>181</v>
      </c>
      <c r="D169" s="224" t="s">
        <v>343</v>
      </c>
      <c r="E169" s="224" t="s">
        <v>343</v>
      </c>
      <c r="F169" s="224" t="s">
        <v>343</v>
      </c>
      <c r="G169" s="185"/>
      <c r="H169" s="185"/>
      <c r="I169" s="185"/>
      <c r="J169" s="140">
        <f t="shared" si="3"/>
        <v>30</v>
      </c>
      <c r="K169" s="380"/>
      <c r="L169" s="78">
        <f>IF(D169="yes",2,10)</f>
        <v>10</v>
      </c>
      <c r="M169" s="78">
        <f t="shared" ref="M169:N169" si="4">IF(E169="yes",2,10)</f>
        <v>10</v>
      </c>
      <c r="N169" s="78">
        <f t="shared" si="4"/>
        <v>10</v>
      </c>
      <c r="P169" s="83"/>
      <c r="Q169" s="83"/>
      <c r="R169" s="83"/>
      <c r="S169" s="83"/>
      <c r="T169" s="83"/>
      <c r="U169" s="83"/>
      <c r="V169" s="83"/>
      <c r="W169" s="83"/>
    </row>
    <row r="170" spans="1:23" s="102" customFormat="1" ht="15.75" x14ac:dyDescent="0.25">
      <c r="A170" s="378"/>
      <c r="B170" s="214"/>
      <c r="C170" s="226" t="s">
        <v>463</v>
      </c>
      <c r="D170" s="214"/>
      <c r="E170" s="214"/>
      <c r="F170" s="214"/>
      <c r="G170" s="214"/>
      <c r="H170" s="214"/>
      <c r="I170" s="214"/>
      <c r="J170" s="214"/>
      <c r="K170" s="380"/>
    </row>
    <row r="171" spans="1:23" ht="19.5" customHeight="1" x14ac:dyDescent="0.25">
      <c r="A171" s="378"/>
      <c r="B171" s="150"/>
      <c r="C171" s="215" t="s">
        <v>182</v>
      </c>
      <c r="D171" s="224" t="s">
        <v>498</v>
      </c>
      <c r="E171" s="224" t="s">
        <v>373</v>
      </c>
      <c r="F171" s="224" t="s">
        <v>373</v>
      </c>
      <c r="G171" s="185"/>
      <c r="H171" s="185"/>
      <c r="I171" s="185"/>
      <c r="J171" s="140">
        <f t="shared" si="3"/>
        <v>17</v>
      </c>
      <c r="K171" s="380"/>
      <c r="L171" s="78">
        <f>IF(D171="Inorganic",5,7)</f>
        <v>7</v>
      </c>
      <c r="M171" s="78">
        <f>IF(E171="Inorganic",5,7)</f>
        <v>5</v>
      </c>
      <c r="N171" s="78">
        <f>IF(F171="Inorganic",5,7)</f>
        <v>5</v>
      </c>
      <c r="P171" s="83"/>
      <c r="Q171" s="83"/>
      <c r="R171" s="83"/>
      <c r="S171" s="69"/>
      <c r="T171" s="69"/>
      <c r="U171" s="84"/>
      <c r="V171" s="83"/>
      <c r="W171" s="83"/>
    </row>
    <row r="172" spans="1:23" ht="19.5" customHeight="1" x14ac:dyDescent="0.25">
      <c r="A172" s="378"/>
      <c r="B172" s="154"/>
      <c r="C172" s="223" t="s">
        <v>374</v>
      </c>
      <c r="D172" s="224">
        <v>5</v>
      </c>
      <c r="E172" s="224">
        <v>6</v>
      </c>
      <c r="F172" s="224">
        <v>12</v>
      </c>
      <c r="G172" s="185"/>
      <c r="H172" s="185"/>
      <c r="I172" s="185"/>
      <c r="J172" s="140">
        <f t="shared" si="3"/>
        <v>0</v>
      </c>
      <c r="K172" s="380"/>
      <c r="L172" s="74">
        <f>LOOKUP(D172,'Logic Page+ Weightage'!$B$437:$C$439,'Logic Page+ Weightage'!$D$437:$D$439)</f>
        <v>0</v>
      </c>
      <c r="M172" s="74">
        <f>LOOKUP(E172,'Logic Page+ Weightage'!$B$437:$C$439,'Logic Page+ Weightage'!$D$437:$D$439)</f>
        <v>0</v>
      </c>
      <c r="N172" s="74">
        <f>LOOKUP(F172,'Logic Page+ Weightage'!$B$437:$C$439,'Logic Page+ Weightage'!$D$437:$D$439)</f>
        <v>0</v>
      </c>
      <c r="R172" s="83"/>
      <c r="S172" s="83"/>
      <c r="T172" s="83"/>
      <c r="U172" s="83"/>
      <c r="V172" s="83"/>
      <c r="W172" s="83"/>
    </row>
    <row r="173" spans="1:23" x14ac:dyDescent="0.25">
      <c r="A173" s="405" t="s">
        <v>513</v>
      </c>
      <c r="B173" s="152"/>
      <c r="C173" s="70" t="s">
        <v>198</v>
      </c>
      <c r="D173" s="406" t="s">
        <v>200</v>
      </c>
      <c r="E173" s="407"/>
      <c r="F173" s="408"/>
      <c r="G173" s="165"/>
      <c r="H173" s="165"/>
      <c r="I173" s="165"/>
      <c r="K173" s="384"/>
    </row>
    <row r="174" spans="1:23" ht="19.5" customHeight="1" x14ac:dyDescent="0.25">
      <c r="A174" s="405"/>
      <c r="B174" s="152"/>
      <c r="C174" s="70" t="s">
        <v>202</v>
      </c>
      <c r="D174" s="406" t="s">
        <v>204</v>
      </c>
      <c r="E174" s="407"/>
      <c r="F174" s="408"/>
      <c r="G174" s="165"/>
      <c r="H174" s="165"/>
      <c r="I174" s="165"/>
      <c r="K174" s="383"/>
    </row>
    <row r="175" spans="1:23" ht="24" customHeight="1" x14ac:dyDescent="0.25">
      <c r="A175" s="405" t="s">
        <v>514</v>
      </c>
      <c r="B175" s="152"/>
      <c r="C175" s="227" t="s">
        <v>207</v>
      </c>
      <c r="D175" s="409"/>
      <c r="E175" s="410"/>
      <c r="F175" s="411"/>
      <c r="G175" s="228"/>
      <c r="H175" s="228"/>
      <c r="I175" s="228"/>
      <c r="J175" s="229"/>
      <c r="K175" s="384" t="e">
        <f>AVERAGE(J175:J186)</f>
        <v>#DIV/0!</v>
      </c>
    </row>
    <row r="176" spans="1:23" ht="19.5" customHeight="1" x14ac:dyDescent="0.25">
      <c r="A176" s="405"/>
      <c r="B176" s="152"/>
      <c r="C176" s="230" t="s">
        <v>208</v>
      </c>
      <c r="D176" s="409" t="s">
        <v>342</v>
      </c>
      <c r="E176" s="410"/>
      <c r="F176" s="411"/>
      <c r="G176" s="228"/>
      <c r="H176" s="228"/>
      <c r="I176" s="228"/>
      <c r="J176" s="229"/>
      <c r="K176" s="382"/>
    </row>
    <row r="177" spans="1:11" ht="19.5" customHeight="1" x14ac:dyDescent="0.25">
      <c r="A177" s="405"/>
      <c r="B177" s="152"/>
      <c r="C177" s="230" t="s">
        <v>209</v>
      </c>
      <c r="D177" s="409" t="s">
        <v>343</v>
      </c>
      <c r="E177" s="410"/>
      <c r="F177" s="411"/>
      <c r="G177" s="228"/>
      <c r="H177" s="228"/>
      <c r="I177" s="228"/>
      <c r="J177" s="229"/>
      <c r="K177" s="382"/>
    </row>
    <row r="178" spans="1:11" ht="19.5" customHeight="1" x14ac:dyDescent="0.25">
      <c r="A178" s="405"/>
      <c r="B178" s="152"/>
      <c r="C178" s="230" t="s">
        <v>210</v>
      </c>
      <c r="D178" s="409" t="s">
        <v>343</v>
      </c>
      <c r="E178" s="410"/>
      <c r="F178" s="411"/>
      <c r="G178" s="228"/>
      <c r="H178" s="228"/>
      <c r="I178" s="228"/>
      <c r="J178" s="229"/>
      <c r="K178" s="382"/>
    </row>
    <row r="179" spans="1:11" ht="19.5" customHeight="1" x14ac:dyDescent="0.25">
      <c r="A179" s="405"/>
      <c r="B179" s="152"/>
      <c r="C179" s="230" t="s">
        <v>211</v>
      </c>
      <c r="D179" s="409" t="s">
        <v>343</v>
      </c>
      <c r="E179" s="410"/>
      <c r="F179" s="411"/>
      <c r="G179" s="228"/>
      <c r="H179" s="228"/>
      <c r="I179" s="228"/>
      <c r="J179" s="229"/>
      <c r="K179" s="382"/>
    </row>
    <row r="180" spans="1:11" ht="19.5" customHeight="1" x14ac:dyDescent="0.25">
      <c r="A180" s="405"/>
      <c r="B180" s="152"/>
      <c r="C180" s="230" t="s">
        <v>212</v>
      </c>
      <c r="D180" s="409" t="s">
        <v>343</v>
      </c>
      <c r="E180" s="410"/>
      <c r="F180" s="411"/>
      <c r="G180" s="228"/>
      <c r="H180" s="228"/>
      <c r="I180" s="228"/>
      <c r="J180" s="229"/>
      <c r="K180" s="382"/>
    </row>
    <row r="181" spans="1:11" ht="19.5" customHeight="1" x14ac:dyDescent="0.25">
      <c r="A181" s="405"/>
      <c r="B181" s="152"/>
      <c r="C181" s="230" t="s">
        <v>213</v>
      </c>
      <c r="D181" s="409" t="s">
        <v>343</v>
      </c>
      <c r="E181" s="410"/>
      <c r="F181" s="411"/>
      <c r="G181" s="228"/>
      <c r="H181" s="228"/>
      <c r="I181" s="228"/>
      <c r="J181" s="229"/>
      <c r="K181" s="382"/>
    </row>
    <row r="182" spans="1:11" ht="19.5" customHeight="1" x14ac:dyDescent="0.25">
      <c r="A182" s="405"/>
      <c r="B182" s="152"/>
      <c r="C182" s="230" t="s">
        <v>214</v>
      </c>
      <c r="D182" s="409" t="s">
        <v>343</v>
      </c>
      <c r="E182" s="410"/>
      <c r="F182" s="411"/>
      <c r="G182" s="228"/>
      <c r="H182" s="228"/>
      <c r="I182" s="228"/>
      <c r="J182" s="229"/>
      <c r="K182" s="382"/>
    </row>
    <row r="183" spans="1:11" ht="19.5" customHeight="1" x14ac:dyDescent="0.25">
      <c r="A183" s="405"/>
      <c r="B183" s="152"/>
      <c r="C183" s="230" t="s">
        <v>215</v>
      </c>
      <c r="D183" s="409" t="s">
        <v>343</v>
      </c>
      <c r="E183" s="410"/>
      <c r="F183" s="411"/>
      <c r="G183" s="228"/>
      <c r="H183" s="228"/>
      <c r="I183" s="228"/>
      <c r="J183" s="229"/>
      <c r="K183" s="382"/>
    </row>
    <row r="184" spans="1:11" ht="19.5" customHeight="1" x14ac:dyDescent="0.25">
      <c r="A184" s="405"/>
      <c r="B184" s="152"/>
      <c r="C184" s="230" t="s">
        <v>216</v>
      </c>
      <c r="D184" s="409" t="s">
        <v>343</v>
      </c>
      <c r="E184" s="410"/>
      <c r="F184" s="411"/>
      <c r="G184" s="228"/>
      <c r="H184" s="228"/>
      <c r="I184" s="228"/>
      <c r="J184" s="229"/>
      <c r="K184" s="382"/>
    </row>
    <row r="185" spans="1:11" ht="19.5" customHeight="1" x14ac:dyDescent="0.25">
      <c r="A185" s="405"/>
      <c r="B185" s="152"/>
      <c r="C185" s="231" t="s">
        <v>217</v>
      </c>
      <c r="D185" s="409" t="str">
        <f>IF(AND(D176="No",D177="No",D178="No",D179="No",D180="No",D181="No",D182="No",D183="No",D184="No"),"NA","Enter Livestock Count")</f>
        <v>Enter Livestock Count</v>
      </c>
      <c r="E185" s="410"/>
      <c r="F185" s="411"/>
      <c r="G185" s="228">
        <v>52</v>
      </c>
      <c r="H185" s="228"/>
      <c r="I185" s="228"/>
      <c r="J185" s="229"/>
      <c r="K185" s="382"/>
    </row>
    <row r="186" spans="1:11" ht="19.5" customHeight="1" x14ac:dyDescent="0.25">
      <c r="A186" s="405"/>
      <c r="B186" s="152"/>
      <c r="C186" s="231" t="s">
        <v>338</v>
      </c>
      <c r="D186" s="409" t="str">
        <f>IF(D185="NA","NA","Income Gained From Livestock")</f>
        <v>Income Gained From Livestock</v>
      </c>
      <c r="E186" s="410"/>
      <c r="F186" s="411"/>
      <c r="G186" s="228">
        <v>2000</v>
      </c>
      <c r="H186" s="228"/>
      <c r="I186" s="228"/>
      <c r="J186" s="229"/>
      <c r="K186" s="383"/>
    </row>
    <row r="187" spans="1:11" ht="26.25" customHeight="1" x14ac:dyDescent="0.25">
      <c r="A187" s="412" t="s">
        <v>515</v>
      </c>
      <c r="B187" s="269"/>
      <c r="C187" s="270" t="s">
        <v>226</v>
      </c>
      <c r="D187" s="413" t="s">
        <v>229</v>
      </c>
      <c r="E187" s="414"/>
      <c r="F187" s="415"/>
      <c r="G187" s="271"/>
      <c r="H187" s="271"/>
      <c r="I187" s="232"/>
      <c r="J187" s="233"/>
      <c r="K187" s="384"/>
    </row>
    <row r="188" spans="1:11" ht="19.5" customHeight="1" x14ac:dyDescent="0.25">
      <c r="A188" s="318"/>
      <c r="B188" s="269"/>
      <c r="C188" s="272" t="s">
        <v>227</v>
      </c>
      <c r="D188" s="413" t="str">
        <f>IF(AND($D$187="Pvt Banks",C188="Pvt Banks"),"Total amount taken","NA")</f>
        <v>NA</v>
      </c>
      <c r="E188" s="414"/>
      <c r="F188" s="415"/>
      <c r="G188" s="271">
        <v>10000</v>
      </c>
      <c r="H188" s="271"/>
      <c r="I188" s="232"/>
      <c r="J188" s="233"/>
      <c r="K188" s="382"/>
    </row>
    <row r="189" spans="1:11" ht="19.5" customHeight="1" x14ac:dyDescent="0.25">
      <c r="A189" s="318"/>
      <c r="B189" s="269"/>
      <c r="C189" s="272" t="s">
        <v>228</v>
      </c>
      <c r="D189" s="413" t="str">
        <f>IF(AND($D$187="MFI",C189="MFI"),"Total amount taken","NA")</f>
        <v>NA</v>
      </c>
      <c r="E189" s="414"/>
      <c r="F189" s="415"/>
      <c r="G189" s="271">
        <v>2000</v>
      </c>
      <c r="H189" s="271"/>
      <c r="I189" s="232"/>
      <c r="J189" s="233"/>
      <c r="K189" s="382"/>
    </row>
    <row r="190" spans="1:11" ht="19.5" customHeight="1" x14ac:dyDescent="0.25">
      <c r="A190" s="318"/>
      <c r="B190" s="269"/>
      <c r="C190" s="272" t="s">
        <v>229</v>
      </c>
      <c r="D190" s="413" t="str">
        <f>IF(AND($D$187="Co-Operative Societies",C190="Co-Operative Societies"),"Total amount taken","NA")</f>
        <v>Total amount taken</v>
      </c>
      <c r="E190" s="414"/>
      <c r="F190" s="415"/>
      <c r="G190" s="271">
        <v>3000</v>
      </c>
      <c r="H190" s="271"/>
      <c r="I190" s="232"/>
      <c r="J190" s="233"/>
      <c r="K190" s="382"/>
    </row>
    <row r="191" spans="1:11" ht="19.5" customHeight="1" x14ac:dyDescent="0.25">
      <c r="A191" s="318"/>
      <c r="B191" s="269"/>
      <c r="C191" s="272" t="s">
        <v>230</v>
      </c>
      <c r="D191" s="413" t="str">
        <f>IF(AND($D$187="NABARD",C191="NABARD"),"Total amount taken","NA")</f>
        <v>NA</v>
      </c>
      <c r="E191" s="414"/>
      <c r="F191" s="415"/>
      <c r="G191" s="271">
        <v>1000</v>
      </c>
      <c r="H191" s="271"/>
      <c r="I191" s="232"/>
      <c r="J191" s="233"/>
      <c r="K191" s="382"/>
    </row>
    <row r="192" spans="1:11" ht="19.5" customHeight="1" x14ac:dyDescent="0.25">
      <c r="A192" s="318"/>
      <c r="B192" s="269"/>
      <c r="C192" s="272" t="s">
        <v>231</v>
      </c>
      <c r="D192" s="413" t="str">
        <f>IF(AND($D$187="NBFC",C192="NBFC"),"Total amount taken","NA")</f>
        <v>NA</v>
      </c>
      <c r="E192" s="414"/>
      <c r="F192" s="415"/>
      <c r="G192" s="271">
        <v>2000</v>
      </c>
      <c r="H192" s="271"/>
      <c r="I192" s="232"/>
      <c r="J192" s="233"/>
      <c r="K192" s="382"/>
    </row>
    <row r="193" spans="1:11" ht="19.5" customHeight="1" x14ac:dyDescent="0.25">
      <c r="A193" s="318"/>
      <c r="B193" s="269"/>
      <c r="C193" s="272" t="s">
        <v>232</v>
      </c>
      <c r="D193" s="413" t="str">
        <f>IF(AND($D$187="Private",C193="Private"),"Total amount taken","NA")</f>
        <v>NA</v>
      </c>
      <c r="E193" s="414"/>
      <c r="F193" s="415"/>
      <c r="G193" s="271">
        <v>3000</v>
      </c>
      <c r="H193" s="271"/>
      <c r="I193" s="232"/>
      <c r="J193" s="233"/>
      <c r="K193" s="382"/>
    </row>
    <row r="194" spans="1:11" ht="19.5" customHeight="1" x14ac:dyDescent="0.25">
      <c r="A194" s="318"/>
      <c r="B194" s="269"/>
      <c r="C194" s="273" t="s">
        <v>250</v>
      </c>
      <c r="D194" s="416"/>
      <c r="E194" s="417"/>
      <c r="F194" s="418"/>
      <c r="G194" s="274"/>
      <c r="H194" s="274"/>
      <c r="I194" s="165"/>
      <c r="K194" s="382"/>
    </row>
    <row r="195" spans="1:11" ht="19.5" customHeight="1" x14ac:dyDescent="0.25">
      <c r="A195" s="318"/>
      <c r="B195" s="269"/>
      <c r="C195" s="273" t="s">
        <v>251</v>
      </c>
      <c r="D195" s="416"/>
      <c r="E195" s="417"/>
      <c r="F195" s="418"/>
      <c r="G195" s="274"/>
      <c r="H195" s="274"/>
      <c r="I195" s="165"/>
      <c r="J195" s="78"/>
      <c r="K195" s="382"/>
    </row>
    <row r="196" spans="1:11" ht="19.5" customHeight="1" x14ac:dyDescent="0.25">
      <c r="A196" s="318"/>
      <c r="B196" s="269"/>
      <c r="C196" s="273" t="s">
        <v>252</v>
      </c>
      <c r="D196" s="416"/>
      <c r="E196" s="417"/>
      <c r="F196" s="418"/>
      <c r="G196" s="274"/>
      <c r="H196" s="274"/>
      <c r="I196" s="165"/>
      <c r="K196" s="383"/>
    </row>
    <row r="197" spans="1:11" ht="19.5" customHeight="1" x14ac:dyDescent="0.25">
      <c r="A197" s="318"/>
      <c r="B197" s="269"/>
      <c r="C197" s="273" t="s">
        <v>465</v>
      </c>
      <c r="D197" s="416"/>
      <c r="E197" s="417"/>
      <c r="F197" s="418"/>
      <c r="G197" s="274"/>
      <c r="H197" s="274"/>
      <c r="I197" s="165"/>
    </row>
    <row r="198" spans="1:11" ht="19.5" customHeight="1" x14ac:dyDescent="0.25">
      <c r="A198" s="318"/>
      <c r="B198" s="269"/>
      <c r="C198" s="273" t="s">
        <v>466</v>
      </c>
      <c r="D198" s="416"/>
      <c r="E198" s="417"/>
      <c r="F198" s="418"/>
      <c r="G198" s="274"/>
      <c r="H198" s="274"/>
      <c r="I198" s="165"/>
    </row>
    <row r="199" spans="1:11" ht="19.5" customHeight="1" x14ac:dyDescent="0.25">
      <c r="A199" s="318"/>
      <c r="B199" s="269"/>
      <c r="C199" s="275"/>
      <c r="D199" s="416"/>
      <c r="E199" s="417"/>
      <c r="F199" s="418"/>
      <c r="G199" s="274"/>
      <c r="H199" s="274"/>
      <c r="I199" s="165"/>
    </row>
    <row r="200" spans="1:11" ht="19.5" customHeight="1" x14ac:dyDescent="0.25">
      <c r="A200" s="377" t="s">
        <v>516</v>
      </c>
      <c r="B200" s="154"/>
      <c r="C200" s="81" t="s">
        <v>258</v>
      </c>
      <c r="F200" s="80"/>
      <c r="G200" s="82"/>
      <c r="H200" s="82"/>
      <c r="I200" s="82"/>
      <c r="K200" s="278"/>
    </row>
    <row r="201" spans="1:11" ht="19.5" customHeight="1" x14ac:dyDescent="0.25">
      <c r="A201" s="378"/>
      <c r="B201" s="154"/>
      <c r="C201" s="81" t="s">
        <v>259</v>
      </c>
      <c r="F201" s="80"/>
      <c r="G201" s="82"/>
      <c r="H201" s="82"/>
      <c r="I201" s="82"/>
      <c r="K201" s="278"/>
    </row>
    <row r="202" spans="1:11" ht="19.5" customHeight="1" x14ac:dyDescent="0.25">
      <c r="A202" s="378"/>
      <c r="B202" s="154"/>
      <c r="C202" s="81" t="s">
        <v>260</v>
      </c>
      <c r="F202" s="80"/>
      <c r="G202" s="82"/>
      <c r="H202" s="82"/>
      <c r="I202" s="82"/>
      <c r="K202" s="278"/>
    </row>
    <row r="203" spans="1:11" ht="19.5" customHeight="1" x14ac:dyDescent="0.25">
      <c r="A203" s="378"/>
      <c r="B203" s="154"/>
      <c r="C203" s="81" t="s">
        <v>261</v>
      </c>
      <c r="F203" s="80"/>
      <c r="G203" s="82"/>
      <c r="H203" s="82"/>
      <c r="I203" s="82"/>
      <c r="K203" s="278"/>
    </row>
    <row r="204" spans="1:11" ht="19.5" customHeight="1" x14ac:dyDescent="0.25">
      <c r="A204" s="378"/>
      <c r="B204" s="154"/>
      <c r="C204" s="81" t="s">
        <v>262</v>
      </c>
      <c r="F204" s="80"/>
      <c r="G204" s="82"/>
      <c r="H204" s="82"/>
      <c r="I204" s="82"/>
      <c r="K204" s="278"/>
    </row>
    <row r="205" spans="1:11" ht="19.5" customHeight="1" x14ac:dyDescent="0.25">
      <c r="A205" s="378"/>
      <c r="B205" s="154"/>
      <c r="C205" s="81" t="s">
        <v>263</v>
      </c>
      <c r="F205" s="80"/>
      <c r="G205" s="82"/>
      <c r="H205" s="82"/>
      <c r="I205" s="82"/>
      <c r="K205" s="278"/>
    </row>
    <row r="206" spans="1:11" ht="19.5" customHeight="1" x14ac:dyDescent="0.25">
      <c r="A206" s="378"/>
      <c r="B206" s="154"/>
      <c r="C206" s="81" t="s">
        <v>264</v>
      </c>
      <c r="F206" s="80"/>
      <c r="G206" s="82"/>
      <c r="H206" s="82"/>
      <c r="I206" s="82"/>
      <c r="K206" s="278"/>
    </row>
    <row r="207" spans="1:11" ht="19.5" customHeight="1" x14ac:dyDescent="0.25">
      <c r="A207" s="378"/>
      <c r="B207" s="154"/>
      <c r="C207" s="81" t="s">
        <v>265</v>
      </c>
      <c r="F207" s="80"/>
      <c r="G207" s="82"/>
      <c r="H207" s="82"/>
      <c r="I207" s="82"/>
      <c r="K207" s="278"/>
    </row>
    <row r="208" spans="1:11" ht="19.5" customHeight="1" x14ac:dyDescent="0.25">
      <c r="A208" s="378"/>
      <c r="B208" s="154"/>
      <c r="C208" s="81" t="s">
        <v>266</v>
      </c>
      <c r="F208" s="80"/>
      <c r="G208" s="82"/>
      <c r="H208" s="82"/>
      <c r="I208" s="82"/>
      <c r="K208" s="278"/>
    </row>
    <row r="209" spans="1:11" ht="19.5" customHeight="1" x14ac:dyDescent="0.25">
      <c r="A209" s="378"/>
      <c r="B209" s="154"/>
      <c r="C209" s="81" t="s">
        <v>267</v>
      </c>
      <c r="F209" s="80"/>
      <c r="G209" s="82"/>
      <c r="H209" s="82"/>
      <c r="I209" s="82"/>
      <c r="K209" s="278"/>
    </row>
    <row r="210" spans="1:11" ht="19.5" customHeight="1" x14ac:dyDescent="0.25">
      <c r="A210" s="378"/>
      <c r="B210" s="154"/>
      <c r="C210" s="81" t="s">
        <v>268</v>
      </c>
      <c r="F210" s="80"/>
      <c r="G210" s="82"/>
      <c r="H210" s="82"/>
      <c r="I210" s="82"/>
      <c r="K210" s="278"/>
    </row>
    <row r="211" spans="1:11" ht="19.5" customHeight="1" x14ac:dyDescent="0.25">
      <c r="A211" s="378"/>
      <c r="B211" s="154"/>
      <c r="C211" s="81" t="s">
        <v>269</v>
      </c>
      <c r="F211" s="80"/>
      <c r="G211" s="82"/>
      <c r="H211" s="82"/>
      <c r="I211" s="82"/>
      <c r="K211" s="278"/>
    </row>
    <row r="212" spans="1:11" ht="19.5" customHeight="1" x14ac:dyDescent="0.25">
      <c r="A212" s="378"/>
      <c r="B212" s="154"/>
      <c r="C212" s="81" t="s">
        <v>270</v>
      </c>
      <c r="F212" s="80"/>
      <c r="G212" s="82"/>
      <c r="H212" s="82"/>
      <c r="I212" s="82"/>
      <c r="K212" s="278"/>
    </row>
    <row r="213" spans="1:11" ht="19.5" customHeight="1" x14ac:dyDescent="0.25">
      <c r="A213" s="378"/>
      <c r="B213" s="154"/>
      <c r="C213" s="81" t="s">
        <v>271</v>
      </c>
      <c r="F213" s="80"/>
      <c r="G213" s="82"/>
      <c r="H213" s="82"/>
      <c r="I213" s="82"/>
      <c r="K213" s="278"/>
    </row>
    <row r="214" spans="1:11" ht="19.5" customHeight="1" x14ac:dyDescent="0.25">
      <c r="A214" s="378"/>
      <c r="B214" s="154"/>
      <c r="C214" s="81" t="s">
        <v>272</v>
      </c>
      <c r="F214" s="80"/>
      <c r="G214" s="82"/>
      <c r="H214" s="82"/>
      <c r="I214" s="82"/>
      <c r="K214" s="278"/>
    </row>
    <row r="215" spans="1:11" ht="19.5" customHeight="1" x14ac:dyDescent="0.25">
      <c r="A215" s="378"/>
      <c r="B215" s="154"/>
      <c r="C215" s="81" t="s">
        <v>273</v>
      </c>
      <c r="F215" s="80"/>
      <c r="G215" s="82"/>
      <c r="H215" s="82"/>
      <c r="I215" s="82"/>
      <c r="K215" s="278"/>
    </row>
    <row r="216" spans="1:11" ht="19.5" customHeight="1" x14ac:dyDescent="0.25">
      <c r="A216" s="378"/>
      <c r="B216" s="154"/>
      <c r="C216" s="81" t="s">
        <v>274</v>
      </c>
      <c r="F216" s="80"/>
      <c r="G216" s="82"/>
      <c r="H216" s="82"/>
      <c r="I216" s="82"/>
      <c r="K216" s="278"/>
    </row>
    <row r="217" spans="1:11" ht="19.5" customHeight="1" x14ac:dyDescent="0.25">
      <c r="A217" s="378"/>
      <c r="B217" s="154"/>
      <c r="C217" s="81" t="s">
        <v>275</v>
      </c>
      <c r="F217" s="80"/>
      <c r="G217" s="82"/>
      <c r="H217" s="82"/>
      <c r="I217" s="82"/>
      <c r="K217" s="278"/>
    </row>
    <row r="218" spans="1:11" ht="19.5" customHeight="1" x14ac:dyDescent="0.25">
      <c r="A218" s="378"/>
      <c r="B218" s="154"/>
      <c r="C218" s="81" t="s">
        <v>276</v>
      </c>
      <c r="F218" s="80"/>
      <c r="G218" s="82"/>
      <c r="H218" s="82"/>
      <c r="I218" s="82"/>
      <c r="K218" s="278"/>
    </row>
    <row r="219" spans="1:11" ht="19.5" customHeight="1" x14ac:dyDescent="0.25">
      <c r="A219" s="378"/>
      <c r="B219" s="154"/>
      <c r="C219" s="81" t="s">
        <v>277</v>
      </c>
      <c r="F219" s="80"/>
      <c r="G219" s="82"/>
      <c r="H219" s="82"/>
      <c r="I219" s="82"/>
      <c r="K219" s="278"/>
    </row>
    <row r="220" spans="1:11" ht="19.5" customHeight="1" x14ac:dyDescent="0.25">
      <c r="A220" s="378"/>
      <c r="B220" s="154"/>
      <c r="C220" s="81" t="s">
        <v>278</v>
      </c>
      <c r="F220" s="80"/>
      <c r="G220" s="82"/>
      <c r="H220" s="82"/>
      <c r="I220" s="82"/>
      <c r="K220" s="278"/>
    </row>
    <row r="221" spans="1:11" ht="19.5" customHeight="1" x14ac:dyDescent="0.25">
      <c r="A221" s="378"/>
      <c r="B221" s="154"/>
      <c r="C221" s="81" t="s">
        <v>279</v>
      </c>
      <c r="F221" s="80"/>
      <c r="G221" s="82"/>
      <c r="H221" s="82"/>
      <c r="I221" s="82"/>
      <c r="K221" s="278"/>
    </row>
    <row r="222" spans="1:11" ht="19.5" customHeight="1" x14ac:dyDescent="0.25">
      <c r="A222" s="378"/>
      <c r="B222" s="154"/>
      <c r="C222" s="81" t="s">
        <v>280</v>
      </c>
      <c r="F222" s="80"/>
      <c r="G222" s="82"/>
      <c r="H222" s="82"/>
      <c r="I222" s="82"/>
      <c r="K222" s="278"/>
    </row>
    <row r="223" spans="1:11" ht="19.5" customHeight="1" x14ac:dyDescent="0.25">
      <c r="A223" s="378"/>
      <c r="B223" s="154"/>
      <c r="C223" s="81" t="s">
        <v>281</v>
      </c>
      <c r="F223" s="80"/>
      <c r="G223" s="82"/>
      <c r="H223" s="82"/>
      <c r="I223" s="82"/>
      <c r="K223" s="278"/>
    </row>
    <row r="224" spans="1:11" ht="19.5" customHeight="1" x14ac:dyDescent="0.25">
      <c r="A224" s="378"/>
      <c r="B224" s="154"/>
      <c r="C224" s="81" t="s">
        <v>282</v>
      </c>
      <c r="F224" s="80"/>
      <c r="G224" s="82"/>
      <c r="H224" s="82"/>
      <c r="I224" s="82"/>
      <c r="K224" s="278"/>
    </row>
    <row r="225" spans="1:11" ht="19.5" customHeight="1" x14ac:dyDescent="0.25">
      <c r="A225" s="378"/>
      <c r="B225" s="154"/>
      <c r="C225" s="81" t="s">
        <v>283</v>
      </c>
      <c r="F225" s="80"/>
      <c r="G225" s="82"/>
      <c r="H225" s="82"/>
      <c r="I225" s="82"/>
      <c r="K225" s="278"/>
    </row>
    <row r="226" spans="1:11" ht="19.5" customHeight="1" x14ac:dyDescent="0.25">
      <c r="A226" s="378"/>
      <c r="B226" s="154"/>
      <c r="C226" s="81" t="s">
        <v>284</v>
      </c>
      <c r="F226" s="80"/>
      <c r="G226" s="82"/>
      <c r="H226" s="82"/>
      <c r="I226" s="82"/>
      <c r="K226" s="278"/>
    </row>
    <row r="227" spans="1:11" ht="19.5" customHeight="1" x14ac:dyDescent="0.25">
      <c r="A227" s="378"/>
      <c r="B227" s="154"/>
      <c r="C227" s="81" t="s">
        <v>285</v>
      </c>
      <c r="F227" s="80"/>
      <c r="G227" s="82"/>
      <c r="H227" s="82"/>
      <c r="I227" s="82"/>
      <c r="K227" s="278"/>
    </row>
    <row r="228" spans="1:11" ht="19.5" customHeight="1" x14ac:dyDescent="0.25">
      <c r="A228" s="378"/>
      <c r="B228" s="154"/>
      <c r="C228" s="81" t="s">
        <v>286</v>
      </c>
      <c r="F228" s="80"/>
      <c r="G228" s="82"/>
      <c r="H228" s="82"/>
      <c r="I228" s="82"/>
      <c r="K228" s="278"/>
    </row>
    <row r="229" spans="1:11" ht="19.5" customHeight="1" x14ac:dyDescent="0.25">
      <c r="A229" s="379"/>
      <c r="B229" s="154"/>
      <c r="C229" s="81" t="s">
        <v>287</v>
      </c>
      <c r="F229" s="80"/>
      <c r="G229" s="82"/>
      <c r="H229" s="82"/>
      <c r="I229" s="82"/>
      <c r="K229" s="279"/>
    </row>
    <row r="230" spans="1:11" ht="15.75" x14ac:dyDescent="0.25">
      <c r="A230" s="74"/>
      <c r="B230" s="74"/>
      <c r="D230" s="86"/>
      <c r="E230" s="86"/>
      <c r="F230" s="86"/>
      <c r="G230" s="86"/>
      <c r="H230" s="86"/>
      <c r="I230" s="86"/>
      <c r="J230" s="74"/>
      <c r="K230" s="280"/>
    </row>
    <row r="231" spans="1:11" ht="15.75" x14ac:dyDescent="0.25">
      <c r="A231" s="74"/>
      <c r="B231" s="74"/>
      <c r="C231" s="87"/>
      <c r="D231" s="86"/>
      <c r="E231" s="86"/>
      <c r="F231" s="86"/>
      <c r="G231" s="86"/>
      <c r="H231" s="86"/>
      <c r="I231" s="86"/>
      <c r="J231" s="74"/>
      <c r="K231" s="280"/>
    </row>
    <row r="232" spans="1:11" ht="15.75" x14ac:dyDescent="0.25">
      <c r="A232" s="74"/>
      <c r="B232" s="74"/>
      <c r="C232" s="87"/>
      <c r="D232" s="86"/>
      <c r="E232" s="86"/>
      <c r="F232" s="86"/>
      <c r="G232" s="86"/>
      <c r="H232" s="86"/>
      <c r="I232" s="86"/>
      <c r="J232" s="74"/>
      <c r="K232" s="280"/>
    </row>
    <row r="233" spans="1:11" ht="15.75" x14ac:dyDescent="0.25">
      <c r="A233" s="74"/>
      <c r="B233" s="74"/>
      <c r="C233" s="87"/>
      <c r="D233" s="86"/>
      <c r="E233" s="86"/>
      <c r="F233" s="86"/>
      <c r="G233" s="86"/>
      <c r="H233" s="86"/>
      <c r="I233" s="86"/>
      <c r="J233" s="74"/>
      <c r="K233" s="280"/>
    </row>
    <row r="234" spans="1:11" ht="15.75" x14ac:dyDescent="0.25">
      <c r="A234" s="74"/>
      <c r="B234" s="74"/>
      <c r="C234" s="87"/>
      <c r="D234" s="86"/>
      <c r="E234" s="86"/>
      <c r="F234" s="86"/>
      <c r="G234" s="86"/>
      <c r="H234" s="86"/>
      <c r="I234" s="86"/>
      <c r="J234" s="74"/>
      <c r="K234" s="280"/>
    </row>
    <row r="235" spans="1:11" ht="15.75" x14ac:dyDescent="0.25">
      <c r="A235" s="74"/>
      <c r="B235" s="74"/>
      <c r="C235" s="87"/>
      <c r="D235" s="86"/>
      <c r="E235" s="86"/>
      <c r="F235" s="86"/>
      <c r="G235" s="86"/>
      <c r="H235" s="86"/>
      <c r="I235" s="86"/>
      <c r="J235" s="74"/>
      <c r="K235" s="280"/>
    </row>
    <row r="236" spans="1:11" ht="15.75" x14ac:dyDescent="0.25">
      <c r="A236" s="74"/>
      <c r="B236" s="74"/>
      <c r="C236" s="87"/>
      <c r="D236" s="86"/>
      <c r="E236" s="86"/>
      <c r="F236" s="86"/>
      <c r="G236" s="86"/>
      <c r="H236" s="86"/>
      <c r="I236" s="86"/>
      <c r="J236" s="74"/>
      <c r="K236" s="280"/>
    </row>
    <row r="237" spans="1:11" ht="15.75" x14ac:dyDescent="0.25">
      <c r="A237" s="74"/>
      <c r="B237" s="74"/>
      <c r="C237" s="87"/>
      <c r="D237" s="86"/>
      <c r="E237" s="86"/>
      <c r="F237" s="86"/>
      <c r="G237" s="86"/>
      <c r="H237" s="86"/>
      <c r="I237" s="86"/>
      <c r="J237" s="74"/>
      <c r="K237" s="280"/>
    </row>
    <row r="238" spans="1:11" ht="15.75" x14ac:dyDescent="0.25">
      <c r="A238" s="74"/>
      <c r="B238" s="74"/>
      <c r="C238" s="87"/>
      <c r="D238" s="86"/>
      <c r="E238" s="86"/>
      <c r="F238" s="86"/>
      <c r="G238" s="86"/>
      <c r="H238" s="86"/>
      <c r="I238" s="86"/>
      <c r="J238" s="74"/>
      <c r="K238" s="280"/>
    </row>
    <row r="239" spans="1:11" ht="15.75" x14ac:dyDescent="0.25">
      <c r="A239" s="74"/>
      <c r="B239" s="74"/>
      <c r="C239" s="87"/>
      <c r="D239" s="86"/>
      <c r="E239" s="86"/>
      <c r="F239" s="86"/>
      <c r="G239" s="86"/>
      <c r="H239" s="86"/>
      <c r="I239" s="86"/>
      <c r="J239" s="74"/>
      <c r="K239" s="280"/>
    </row>
    <row r="240" spans="1:11" ht="15.75" x14ac:dyDescent="0.25">
      <c r="A240" s="74"/>
      <c r="B240" s="74"/>
      <c r="C240" s="87"/>
      <c r="D240" s="86"/>
      <c r="E240" s="86"/>
      <c r="F240" s="86"/>
      <c r="G240" s="86"/>
      <c r="H240" s="86"/>
      <c r="I240" s="86"/>
      <c r="J240" s="74"/>
      <c r="K240" s="280"/>
    </row>
    <row r="241" spans="1:11" ht="15.75" x14ac:dyDescent="0.25">
      <c r="A241" s="74"/>
      <c r="B241" s="74"/>
      <c r="C241" s="87"/>
      <c r="D241" s="86"/>
      <c r="E241" s="86"/>
      <c r="F241" s="86"/>
      <c r="G241" s="86"/>
      <c r="H241" s="86"/>
      <c r="I241" s="86"/>
      <c r="J241" s="74"/>
      <c r="K241" s="280"/>
    </row>
    <row r="242" spans="1:11" ht="15.75" x14ac:dyDescent="0.25">
      <c r="A242" s="74"/>
      <c r="B242" s="74"/>
      <c r="C242" s="87"/>
      <c r="D242" s="86"/>
      <c r="E242" s="86"/>
      <c r="F242" s="86"/>
      <c r="G242" s="86"/>
      <c r="H242" s="86"/>
      <c r="I242" s="86"/>
      <c r="J242" s="74"/>
      <c r="K242" s="280"/>
    </row>
    <row r="243" spans="1:11" ht="15.75" x14ac:dyDescent="0.25">
      <c r="A243" s="74"/>
      <c r="B243" s="74"/>
      <c r="C243" s="87"/>
      <c r="D243" s="86"/>
      <c r="E243" s="86"/>
      <c r="F243" s="86"/>
      <c r="G243" s="86"/>
      <c r="H243" s="86"/>
      <c r="I243" s="86"/>
      <c r="J243" s="74"/>
      <c r="K243" s="280"/>
    </row>
    <row r="244" spans="1:11" ht="15.75" x14ac:dyDescent="0.25">
      <c r="A244" s="74"/>
      <c r="B244" s="74"/>
      <c r="C244" s="87"/>
      <c r="D244" s="86"/>
      <c r="E244" s="86"/>
      <c r="F244" s="86"/>
      <c r="G244" s="86"/>
      <c r="H244" s="86"/>
      <c r="I244" s="86"/>
      <c r="J244" s="74"/>
      <c r="K244" s="280"/>
    </row>
    <row r="245" spans="1:11" ht="15.75" x14ac:dyDescent="0.25">
      <c r="A245" s="74"/>
      <c r="B245" s="74"/>
      <c r="C245" s="87"/>
      <c r="D245" s="86"/>
      <c r="E245" s="86"/>
      <c r="F245" s="86"/>
      <c r="G245" s="86"/>
      <c r="H245" s="86"/>
      <c r="I245" s="86"/>
      <c r="J245" s="74"/>
      <c r="K245" s="280"/>
    </row>
    <row r="246" spans="1:11" ht="15.75" x14ac:dyDescent="0.25">
      <c r="A246" s="74"/>
      <c r="B246" s="74"/>
      <c r="C246" s="87"/>
      <c r="D246" s="86"/>
      <c r="E246" s="86"/>
      <c r="F246" s="86"/>
      <c r="G246" s="86"/>
      <c r="H246" s="86"/>
      <c r="I246" s="86"/>
      <c r="J246" s="74"/>
      <c r="K246" s="280"/>
    </row>
    <row r="247" spans="1:11" ht="15.75" x14ac:dyDescent="0.25">
      <c r="A247" s="74"/>
      <c r="B247" s="74"/>
      <c r="C247" s="87"/>
      <c r="D247" s="86"/>
      <c r="E247" s="86"/>
      <c r="F247" s="86"/>
      <c r="G247" s="86"/>
      <c r="H247" s="86"/>
      <c r="I247" s="86"/>
      <c r="J247" s="74"/>
      <c r="K247" s="280"/>
    </row>
    <row r="248" spans="1:11" ht="15.75" x14ac:dyDescent="0.25">
      <c r="A248" s="74"/>
      <c r="B248" s="74"/>
      <c r="C248" s="87"/>
      <c r="D248" s="86"/>
      <c r="E248" s="86"/>
      <c r="F248" s="86"/>
      <c r="G248" s="86"/>
      <c r="H248" s="86"/>
      <c r="I248" s="86"/>
      <c r="J248" s="74"/>
      <c r="K248" s="280"/>
    </row>
    <row r="249" spans="1:11" ht="15.75" x14ac:dyDescent="0.25">
      <c r="A249" s="74"/>
      <c r="B249" s="74"/>
      <c r="C249" s="87"/>
      <c r="D249" s="86"/>
      <c r="E249" s="86"/>
      <c r="F249" s="86"/>
      <c r="G249" s="86"/>
      <c r="H249" s="86"/>
      <c r="I249" s="86"/>
      <c r="J249" s="74"/>
      <c r="K249" s="280"/>
    </row>
    <row r="250" spans="1:11" ht="15.75" x14ac:dyDescent="0.25">
      <c r="A250" s="74"/>
      <c r="B250" s="74"/>
      <c r="C250" s="87"/>
      <c r="D250" s="86"/>
      <c r="E250" s="86"/>
      <c r="F250" s="86"/>
      <c r="G250" s="86"/>
      <c r="H250" s="86"/>
      <c r="I250" s="86"/>
      <c r="J250" s="74"/>
      <c r="K250" s="280"/>
    </row>
    <row r="251" spans="1:11" ht="15.75" x14ac:dyDescent="0.25">
      <c r="A251" s="74"/>
      <c r="B251" s="74"/>
      <c r="C251" s="87"/>
      <c r="D251" s="86"/>
      <c r="E251" s="86"/>
      <c r="F251" s="86"/>
      <c r="G251" s="86"/>
      <c r="H251" s="86"/>
      <c r="I251" s="86"/>
      <c r="J251" s="74"/>
      <c r="K251" s="280"/>
    </row>
    <row r="252" spans="1:11" ht="15.75" x14ac:dyDescent="0.25">
      <c r="A252" s="74"/>
      <c r="B252" s="74"/>
      <c r="C252" s="87"/>
      <c r="D252" s="86"/>
      <c r="E252" s="86"/>
      <c r="F252" s="86"/>
      <c r="G252" s="86"/>
      <c r="H252" s="86"/>
      <c r="I252" s="86"/>
      <c r="J252" s="74"/>
      <c r="K252" s="280"/>
    </row>
    <row r="253" spans="1:11" ht="15.75" x14ac:dyDescent="0.25">
      <c r="A253" s="74"/>
      <c r="B253" s="74"/>
      <c r="C253" s="87"/>
      <c r="D253" s="86"/>
      <c r="E253" s="86"/>
      <c r="F253" s="86"/>
      <c r="G253" s="86"/>
      <c r="H253" s="86"/>
      <c r="I253" s="86"/>
      <c r="J253" s="74"/>
      <c r="K253" s="280"/>
    </row>
    <row r="254" spans="1:11" ht="15.75" x14ac:dyDescent="0.25">
      <c r="A254" s="74"/>
      <c r="B254" s="74"/>
      <c r="C254" s="87"/>
      <c r="D254" s="86"/>
      <c r="E254" s="86"/>
      <c r="F254" s="86"/>
      <c r="G254" s="86"/>
      <c r="H254" s="86"/>
      <c r="I254" s="86"/>
      <c r="J254" s="74"/>
      <c r="K254" s="280"/>
    </row>
    <row r="255" spans="1:11" ht="15.75" x14ac:dyDescent="0.25">
      <c r="A255" s="74"/>
      <c r="B255" s="74"/>
      <c r="C255" s="87"/>
      <c r="D255" s="86"/>
      <c r="E255" s="86"/>
      <c r="F255" s="86"/>
      <c r="G255" s="86"/>
      <c r="H255" s="86"/>
      <c r="I255" s="86"/>
      <c r="J255" s="74"/>
      <c r="K255" s="280"/>
    </row>
    <row r="256" spans="1:11" ht="15.75" x14ac:dyDescent="0.25">
      <c r="A256" s="74"/>
      <c r="B256" s="74"/>
      <c r="C256" s="87"/>
      <c r="D256" s="86"/>
      <c r="E256" s="86"/>
      <c r="F256" s="86"/>
      <c r="G256" s="86"/>
      <c r="H256" s="86"/>
      <c r="I256" s="86"/>
      <c r="J256" s="74"/>
      <c r="K256" s="280"/>
    </row>
    <row r="257" spans="1:11" ht="15.75" x14ac:dyDescent="0.25">
      <c r="A257" s="74"/>
      <c r="B257" s="74"/>
      <c r="C257" s="87"/>
      <c r="D257" s="86"/>
      <c r="E257" s="86"/>
      <c r="F257" s="86"/>
      <c r="G257" s="86"/>
      <c r="H257" s="86"/>
      <c r="I257" s="86"/>
      <c r="J257" s="74"/>
      <c r="K257" s="280"/>
    </row>
    <row r="258" spans="1:11" ht="15.75" x14ac:dyDescent="0.25">
      <c r="A258" s="74"/>
      <c r="B258" s="74"/>
      <c r="C258" s="87"/>
      <c r="D258" s="86"/>
      <c r="E258" s="86"/>
      <c r="F258" s="86"/>
      <c r="G258" s="86"/>
      <c r="H258" s="86"/>
      <c r="I258" s="86"/>
      <c r="J258" s="74"/>
      <c r="K258" s="280"/>
    </row>
    <row r="259" spans="1:11" ht="15.75" x14ac:dyDescent="0.25">
      <c r="A259" s="74"/>
      <c r="B259" s="74"/>
      <c r="C259" s="87"/>
      <c r="D259" s="86"/>
      <c r="E259" s="86"/>
      <c r="F259" s="86"/>
      <c r="G259" s="86"/>
      <c r="H259" s="86"/>
      <c r="I259" s="86"/>
      <c r="J259" s="74"/>
      <c r="K259" s="280"/>
    </row>
    <row r="260" spans="1:11" ht="15.75" x14ac:dyDescent="0.25">
      <c r="A260" s="74"/>
      <c r="B260" s="74"/>
      <c r="C260" s="87"/>
      <c r="D260" s="86"/>
      <c r="E260" s="86"/>
      <c r="F260" s="86"/>
      <c r="G260" s="86"/>
      <c r="H260" s="86"/>
      <c r="I260" s="86"/>
      <c r="J260" s="74"/>
      <c r="K260" s="280"/>
    </row>
    <row r="261" spans="1:11" ht="15.75" x14ac:dyDescent="0.25">
      <c r="A261" s="74"/>
      <c r="B261" s="74"/>
      <c r="C261" s="87"/>
      <c r="D261" s="86"/>
      <c r="E261" s="86"/>
      <c r="F261" s="86"/>
      <c r="G261" s="86"/>
      <c r="H261" s="86"/>
      <c r="I261" s="86"/>
      <c r="J261" s="74"/>
      <c r="K261" s="280"/>
    </row>
    <row r="262" spans="1:11" ht="15.75" x14ac:dyDescent="0.25">
      <c r="A262" s="74"/>
      <c r="B262" s="74"/>
      <c r="C262" s="87"/>
      <c r="D262" s="86"/>
      <c r="E262" s="86"/>
      <c r="F262" s="86"/>
      <c r="G262" s="86"/>
      <c r="H262" s="86"/>
      <c r="I262" s="86"/>
      <c r="J262" s="74"/>
      <c r="K262" s="280"/>
    </row>
    <row r="263" spans="1:11" ht="15.75" x14ac:dyDescent="0.25">
      <c r="A263" s="74"/>
      <c r="B263" s="74"/>
      <c r="C263" s="87"/>
      <c r="D263" s="86"/>
      <c r="E263" s="86"/>
      <c r="F263" s="86"/>
      <c r="G263" s="86"/>
      <c r="H263" s="86"/>
      <c r="I263" s="86"/>
      <c r="J263" s="74"/>
      <c r="K263" s="280"/>
    </row>
    <row r="264" spans="1:11" ht="15.75" x14ac:dyDescent="0.25">
      <c r="A264" s="74"/>
      <c r="B264" s="74"/>
      <c r="C264" s="87"/>
      <c r="D264" s="86"/>
      <c r="E264" s="86"/>
      <c r="F264" s="86"/>
      <c r="G264" s="86"/>
      <c r="H264" s="86"/>
      <c r="I264" s="86"/>
      <c r="J264" s="74"/>
      <c r="K264" s="280"/>
    </row>
    <row r="265" spans="1:11" ht="15.75" x14ac:dyDescent="0.25">
      <c r="A265" s="74"/>
      <c r="B265" s="74"/>
      <c r="C265" s="87"/>
      <c r="D265" s="86"/>
      <c r="E265" s="86"/>
      <c r="F265" s="86"/>
      <c r="G265" s="86"/>
      <c r="H265" s="86"/>
      <c r="I265" s="86"/>
      <c r="J265" s="74"/>
      <c r="K265" s="280"/>
    </row>
    <row r="266" spans="1:11" ht="15.75" x14ac:dyDescent="0.25">
      <c r="A266" s="74"/>
      <c r="B266" s="74"/>
      <c r="C266" s="87"/>
      <c r="D266" s="86"/>
      <c r="E266" s="86"/>
      <c r="F266" s="86"/>
      <c r="G266" s="86"/>
      <c r="H266" s="86"/>
      <c r="I266" s="86"/>
      <c r="J266" s="74"/>
      <c r="K266" s="280"/>
    </row>
    <row r="267" spans="1:11" ht="15.75" x14ac:dyDescent="0.25">
      <c r="A267" s="74"/>
      <c r="B267" s="74"/>
      <c r="C267" s="87"/>
      <c r="D267" s="86"/>
      <c r="E267" s="86"/>
      <c r="F267" s="86"/>
      <c r="G267" s="86"/>
      <c r="H267" s="86"/>
      <c r="I267" s="86"/>
      <c r="J267" s="74"/>
      <c r="K267" s="280"/>
    </row>
    <row r="268" spans="1:11" ht="15.75" x14ac:dyDescent="0.25">
      <c r="A268" s="74"/>
      <c r="B268" s="74"/>
      <c r="C268" s="87"/>
      <c r="D268" s="86"/>
      <c r="E268" s="86"/>
      <c r="F268" s="86"/>
      <c r="G268" s="86"/>
      <c r="H268" s="86"/>
      <c r="I268" s="86"/>
      <c r="J268" s="74"/>
      <c r="K268" s="280"/>
    </row>
    <row r="269" spans="1:11" ht="15.75" x14ac:dyDescent="0.25">
      <c r="A269" s="74"/>
      <c r="B269" s="74"/>
      <c r="C269" s="87"/>
      <c r="D269" s="86"/>
      <c r="E269" s="86"/>
      <c r="F269" s="86"/>
      <c r="G269" s="86"/>
      <c r="H269" s="86"/>
      <c r="I269" s="86"/>
      <c r="J269" s="74"/>
      <c r="K269" s="280"/>
    </row>
    <row r="270" spans="1:11" ht="15.75" x14ac:dyDescent="0.25">
      <c r="A270" s="74"/>
      <c r="B270" s="74"/>
      <c r="C270" s="87"/>
      <c r="D270" s="86"/>
      <c r="E270" s="86"/>
      <c r="F270" s="86"/>
      <c r="G270" s="86"/>
      <c r="H270" s="86"/>
      <c r="I270" s="86"/>
      <c r="J270" s="74"/>
      <c r="K270" s="280"/>
    </row>
    <row r="271" spans="1:11" ht="15.75" x14ac:dyDescent="0.25">
      <c r="A271" s="74"/>
      <c r="B271" s="74"/>
      <c r="C271" s="87"/>
      <c r="D271" s="86"/>
      <c r="E271" s="86"/>
      <c r="F271" s="86"/>
      <c r="G271" s="86"/>
      <c r="H271" s="86"/>
      <c r="I271" s="86"/>
      <c r="J271" s="74"/>
      <c r="K271" s="280"/>
    </row>
    <row r="272" spans="1:11" ht="15.75" x14ac:dyDescent="0.25">
      <c r="A272" s="74"/>
      <c r="B272" s="74"/>
      <c r="C272" s="87"/>
      <c r="D272" s="86"/>
      <c r="E272" s="86"/>
      <c r="F272" s="86"/>
      <c r="G272" s="86"/>
      <c r="H272" s="86"/>
      <c r="I272" s="86"/>
      <c r="J272" s="74"/>
      <c r="K272" s="280"/>
    </row>
    <row r="273" spans="1:11" ht="15.75" x14ac:dyDescent="0.25">
      <c r="A273" s="74"/>
      <c r="B273" s="74"/>
      <c r="C273" s="87"/>
      <c r="D273" s="86"/>
      <c r="E273" s="86"/>
      <c r="F273" s="86"/>
      <c r="G273" s="86"/>
      <c r="H273" s="86"/>
      <c r="I273" s="86"/>
      <c r="J273" s="74"/>
      <c r="K273" s="280"/>
    </row>
    <row r="274" spans="1:11" ht="15.75" x14ac:dyDescent="0.25">
      <c r="A274" s="74"/>
      <c r="B274" s="74"/>
      <c r="C274" s="87"/>
      <c r="D274" s="86"/>
      <c r="E274" s="86"/>
      <c r="F274" s="86"/>
      <c r="G274" s="86"/>
      <c r="H274" s="86"/>
      <c r="I274" s="86"/>
      <c r="J274" s="74"/>
      <c r="K274" s="280"/>
    </row>
    <row r="275" spans="1:11" ht="15.75" x14ac:dyDescent="0.25">
      <c r="A275" s="74"/>
      <c r="B275" s="74"/>
      <c r="C275" s="87"/>
      <c r="D275" s="86"/>
      <c r="E275" s="86"/>
      <c r="F275" s="86"/>
      <c r="G275" s="86"/>
      <c r="H275" s="86"/>
      <c r="I275" s="86"/>
      <c r="J275" s="74"/>
      <c r="K275" s="280"/>
    </row>
    <row r="276" spans="1:11" ht="15.75" x14ac:dyDescent="0.25">
      <c r="A276" s="74"/>
      <c r="B276" s="74"/>
      <c r="C276" s="87"/>
      <c r="D276" s="86"/>
      <c r="E276" s="86"/>
      <c r="F276" s="86"/>
      <c r="G276" s="86"/>
      <c r="H276" s="86"/>
      <c r="I276" s="86"/>
      <c r="J276" s="74"/>
      <c r="K276" s="280"/>
    </row>
    <row r="277" spans="1:11" ht="15.75" x14ac:dyDescent="0.25">
      <c r="A277" s="74"/>
      <c r="B277" s="74"/>
      <c r="C277" s="87"/>
      <c r="D277" s="86"/>
      <c r="E277" s="86"/>
      <c r="F277" s="86"/>
      <c r="G277" s="86"/>
      <c r="H277" s="86"/>
      <c r="I277" s="86"/>
      <c r="J277" s="74"/>
      <c r="K277" s="280"/>
    </row>
    <row r="278" spans="1:11" ht="15.75" x14ac:dyDescent="0.25">
      <c r="A278" s="74"/>
      <c r="B278" s="74"/>
      <c r="C278" s="87"/>
      <c r="D278" s="86"/>
      <c r="E278" s="86"/>
      <c r="F278" s="86"/>
      <c r="G278" s="86"/>
      <c r="H278" s="86"/>
      <c r="I278" s="86"/>
      <c r="J278" s="74"/>
      <c r="K278" s="280"/>
    </row>
    <row r="279" spans="1:11" ht="15.75" x14ac:dyDescent="0.25">
      <c r="A279" s="74"/>
      <c r="B279" s="74"/>
      <c r="C279" s="87"/>
      <c r="D279" s="86"/>
      <c r="E279" s="86"/>
      <c r="F279" s="86"/>
      <c r="G279" s="86"/>
      <c r="H279" s="86"/>
      <c r="I279" s="86"/>
      <c r="J279" s="74"/>
      <c r="K279" s="280"/>
    </row>
    <row r="280" spans="1:11" ht="15.75" x14ac:dyDescent="0.25">
      <c r="A280" s="74"/>
      <c r="B280" s="74"/>
      <c r="C280" s="87"/>
      <c r="D280" s="86"/>
      <c r="E280" s="86"/>
      <c r="F280" s="86"/>
      <c r="G280" s="86"/>
      <c r="H280" s="86"/>
      <c r="I280" s="86"/>
      <c r="J280" s="74"/>
      <c r="K280" s="280"/>
    </row>
    <row r="281" spans="1:11" ht="15.75" x14ac:dyDescent="0.25">
      <c r="A281" s="74"/>
      <c r="B281" s="74"/>
      <c r="C281" s="87"/>
      <c r="D281" s="86"/>
      <c r="E281" s="86"/>
      <c r="F281" s="86"/>
      <c r="G281" s="86"/>
      <c r="H281" s="86"/>
      <c r="I281" s="86"/>
      <c r="J281" s="74"/>
      <c r="K281" s="280"/>
    </row>
    <row r="282" spans="1:11" ht="15.75" x14ac:dyDescent="0.25">
      <c r="A282" s="74"/>
      <c r="B282" s="74"/>
      <c r="C282" s="87"/>
      <c r="D282" s="86"/>
      <c r="E282" s="86"/>
      <c r="F282" s="86"/>
      <c r="G282" s="86"/>
      <c r="H282" s="86"/>
      <c r="I282" s="86"/>
      <c r="J282" s="74"/>
      <c r="K282" s="280"/>
    </row>
    <row r="283" spans="1:11" ht="15.75" x14ac:dyDescent="0.25">
      <c r="A283" s="74"/>
      <c r="B283" s="74"/>
      <c r="C283" s="87"/>
      <c r="D283" s="86"/>
      <c r="E283" s="86"/>
      <c r="F283" s="86"/>
      <c r="G283" s="86"/>
      <c r="H283" s="86"/>
      <c r="I283" s="86"/>
      <c r="J283" s="74"/>
      <c r="K283" s="280"/>
    </row>
    <row r="284" spans="1:11" ht="15.75" x14ac:dyDescent="0.25">
      <c r="A284" s="74"/>
      <c r="B284" s="74"/>
      <c r="C284" s="87"/>
      <c r="D284" s="86"/>
      <c r="E284" s="86"/>
      <c r="F284" s="86"/>
      <c r="G284" s="86"/>
      <c r="H284" s="86"/>
      <c r="I284" s="86"/>
      <c r="J284" s="74"/>
      <c r="K284" s="280"/>
    </row>
    <row r="285" spans="1:11" ht="15.75" x14ac:dyDescent="0.25">
      <c r="A285" s="74"/>
      <c r="B285" s="74"/>
      <c r="C285" s="87"/>
      <c r="D285" s="86"/>
      <c r="E285" s="86"/>
      <c r="F285" s="86"/>
      <c r="G285" s="86"/>
      <c r="H285" s="86"/>
      <c r="I285" s="86"/>
      <c r="J285" s="74"/>
      <c r="K285" s="280"/>
    </row>
    <row r="286" spans="1:11" ht="15.75" x14ac:dyDescent="0.25">
      <c r="A286" s="74"/>
      <c r="B286" s="74"/>
      <c r="C286" s="87"/>
      <c r="D286" s="86"/>
      <c r="E286" s="86"/>
      <c r="F286" s="86"/>
      <c r="G286" s="86"/>
      <c r="H286" s="86"/>
      <c r="I286" s="86"/>
      <c r="J286" s="74"/>
      <c r="K286" s="280"/>
    </row>
    <row r="287" spans="1:11" ht="15.75" x14ac:dyDescent="0.25">
      <c r="A287" s="74"/>
      <c r="B287" s="74"/>
      <c r="C287" s="87"/>
      <c r="D287" s="86"/>
      <c r="E287" s="86"/>
      <c r="F287" s="86"/>
      <c r="G287" s="86"/>
      <c r="H287" s="86"/>
      <c r="I287" s="86"/>
      <c r="J287" s="74"/>
      <c r="K287" s="280"/>
    </row>
    <row r="288" spans="1:11" ht="15.75" x14ac:dyDescent="0.25">
      <c r="A288" s="74"/>
      <c r="B288" s="74"/>
      <c r="C288" s="87"/>
      <c r="D288" s="86"/>
      <c r="E288" s="86"/>
      <c r="F288" s="86"/>
      <c r="G288" s="86"/>
      <c r="H288" s="86"/>
      <c r="I288" s="86"/>
      <c r="J288" s="74"/>
      <c r="K288" s="280"/>
    </row>
    <row r="289" spans="1:11" ht="15.75" x14ac:dyDescent="0.25">
      <c r="A289" s="74"/>
      <c r="B289" s="74"/>
      <c r="C289" s="87"/>
      <c r="D289" s="86"/>
      <c r="E289" s="86"/>
      <c r="F289" s="86"/>
      <c r="G289" s="86"/>
      <c r="H289" s="86"/>
      <c r="I289" s="86"/>
      <c r="J289" s="74"/>
      <c r="K289" s="280"/>
    </row>
    <row r="290" spans="1:11" ht="15.75" x14ac:dyDescent="0.25">
      <c r="A290" s="74"/>
      <c r="B290" s="74"/>
      <c r="C290" s="87"/>
      <c r="D290" s="86"/>
      <c r="E290" s="86"/>
      <c r="F290" s="86"/>
      <c r="G290" s="86"/>
      <c r="H290" s="86"/>
      <c r="I290" s="86"/>
      <c r="J290" s="74"/>
      <c r="K290" s="280"/>
    </row>
    <row r="291" spans="1:11" ht="15.75" x14ac:dyDescent="0.25">
      <c r="A291" s="74"/>
      <c r="B291" s="74"/>
      <c r="C291" s="87"/>
      <c r="D291" s="86"/>
      <c r="E291" s="86"/>
      <c r="F291" s="86"/>
      <c r="G291" s="86"/>
      <c r="H291" s="86"/>
      <c r="I291" s="86"/>
      <c r="J291" s="74"/>
      <c r="K291" s="280"/>
    </row>
    <row r="292" spans="1:11" ht="15.75" x14ac:dyDescent="0.25">
      <c r="A292" s="74"/>
      <c r="B292" s="74"/>
      <c r="C292" s="87"/>
      <c r="D292" s="86"/>
      <c r="E292" s="86"/>
      <c r="F292" s="86"/>
      <c r="G292" s="86"/>
      <c r="H292" s="86"/>
      <c r="I292" s="86"/>
      <c r="J292" s="74"/>
      <c r="K292" s="280"/>
    </row>
    <row r="293" spans="1:11" ht="15.75" x14ac:dyDescent="0.25">
      <c r="A293" s="74"/>
      <c r="B293" s="74"/>
      <c r="C293" s="87"/>
      <c r="D293" s="86"/>
      <c r="E293" s="86"/>
      <c r="F293" s="86"/>
      <c r="G293" s="86"/>
      <c r="H293" s="86"/>
      <c r="I293" s="86"/>
      <c r="J293" s="74"/>
      <c r="K293" s="280"/>
    </row>
    <row r="294" spans="1:11" ht="15.75" x14ac:dyDescent="0.25">
      <c r="A294" s="74"/>
      <c r="B294" s="74"/>
      <c r="C294" s="87"/>
      <c r="D294" s="86"/>
      <c r="E294" s="86"/>
      <c r="F294" s="86"/>
      <c r="G294" s="86"/>
      <c r="H294" s="86"/>
      <c r="I294" s="86"/>
      <c r="J294" s="74"/>
      <c r="K294" s="280"/>
    </row>
    <row r="295" spans="1:11" ht="15.75" x14ac:dyDescent="0.25">
      <c r="A295" s="74"/>
      <c r="B295" s="74"/>
      <c r="C295" s="87"/>
      <c r="D295" s="86"/>
      <c r="E295" s="86"/>
      <c r="F295" s="86"/>
      <c r="G295" s="86"/>
      <c r="H295" s="86"/>
      <c r="I295" s="86"/>
      <c r="J295" s="74"/>
      <c r="K295" s="280"/>
    </row>
    <row r="296" spans="1:11" ht="15.75" x14ac:dyDescent="0.25">
      <c r="A296" s="74"/>
      <c r="B296" s="74"/>
      <c r="C296" s="87"/>
      <c r="D296" s="86"/>
      <c r="E296" s="86"/>
      <c r="F296" s="86"/>
      <c r="G296" s="86"/>
      <c r="H296" s="86"/>
      <c r="I296" s="86"/>
      <c r="J296" s="74"/>
      <c r="K296" s="280"/>
    </row>
    <row r="297" spans="1:11" ht="15.75" x14ac:dyDescent="0.25">
      <c r="A297" s="74"/>
      <c r="B297" s="74"/>
      <c r="C297" s="87"/>
      <c r="D297" s="86"/>
      <c r="E297" s="86"/>
      <c r="F297" s="86"/>
      <c r="G297" s="86"/>
      <c r="H297" s="86"/>
      <c r="I297" s="86"/>
      <c r="J297" s="74"/>
      <c r="K297" s="280"/>
    </row>
    <row r="298" spans="1:11" ht="15.75" x14ac:dyDescent="0.25">
      <c r="A298" s="74"/>
      <c r="B298" s="74"/>
      <c r="C298" s="87"/>
      <c r="D298" s="86"/>
      <c r="E298" s="86"/>
      <c r="F298" s="86"/>
      <c r="G298" s="86"/>
      <c r="H298" s="86"/>
      <c r="I298" s="86"/>
      <c r="J298" s="74"/>
      <c r="K298" s="280"/>
    </row>
    <row r="299" spans="1:11" ht="15.75" x14ac:dyDescent="0.25">
      <c r="A299" s="74"/>
      <c r="B299" s="74"/>
      <c r="C299" s="87"/>
      <c r="D299" s="86"/>
      <c r="E299" s="86"/>
      <c r="F299" s="86"/>
      <c r="G299" s="86"/>
      <c r="H299" s="86"/>
      <c r="I299" s="86"/>
      <c r="J299" s="74"/>
      <c r="K299" s="280"/>
    </row>
    <row r="300" spans="1:11" ht="15.75" x14ac:dyDescent="0.25">
      <c r="A300" s="74"/>
      <c r="B300" s="74"/>
      <c r="C300" s="87"/>
      <c r="D300" s="86"/>
      <c r="E300" s="86"/>
      <c r="F300" s="86"/>
      <c r="G300" s="86"/>
      <c r="H300" s="86"/>
      <c r="I300" s="86"/>
      <c r="J300" s="74"/>
      <c r="K300" s="280"/>
    </row>
    <row r="301" spans="1:11" ht="15.75" x14ac:dyDescent="0.25">
      <c r="A301" s="74"/>
      <c r="B301" s="74"/>
      <c r="C301" s="87"/>
      <c r="D301" s="86"/>
      <c r="E301" s="86"/>
      <c r="F301" s="86"/>
      <c r="G301" s="86"/>
      <c r="H301" s="86"/>
      <c r="I301" s="86"/>
      <c r="J301" s="74"/>
      <c r="K301" s="280"/>
    </row>
    <row r="302" spans="1:11" ht="15.75" x14ac:dyDescent="0.25">
      <c r="A302" s="74"/>
      <c r="B302" s="74"/>
      <c r="C302" s="87"/>
      <c r="D302" s="86"/>
      <c r="E302" s="86"/>
      <c r="F302" s="86"/>
      <c r="G302" s="86"/>
      <c r="H302" s="86"/>
      <c r="I302" s="86"/>
      <c r="J302" s="74"/>
      <c r="K302" s="280"/>
    </row>
    <row r="303" spans="1:11" ht="15.75" x14ac:dyDescent="0.25">
      <c r="A303" s="74"/>
      <c r="B303" s="74"/>
      <c r="C303" s="87"/>
      <c r="D303" s="86"/>
      <c r="E303" s="86"/>
      <c r="F303" s="86"/>
      <c r="G303" s="86"/>
      <c r="H303" s="86"/>
      <c r="I303" s="86"/>
      <c r="J303" s="74"/>
      <c r="K303" s="280"/>
    </row>
    <row r="304" spans="1:11" ht="15.75" x14ac:dyDescent="0.25">
      <c r="A304" s="74"/>
      <c r="B304" s="74"/>
      <c r="C304" s="87"/>
      <c r="D304" s="86"/>
      <c r="E304" s="86"/>
      <c r="F304" s="86"/>
      <c r="G304" s="86"/>
      <c r="H304" s="86"/>
      <c r="I304" s="86"/>
      <c r="J304" s="74"/>
      <c r="K304" s="280"/>
    </row>
    <row r="305" spans="1:11" ht="15.75" x14ac:dyDescent="0.25">
      <c r="A305" s="74"/>
      <c r="B305" s="74"/>
      <c r="C305" s="87"/>
      <c r="D305" s="86"/>
      <c r="E305" s="86"/>
      <c r="F305" s="86"/>
      <c r="G305" s="86"/>
      <c r="H305" s="86"/>
      <c r="I305" s="86"/>
      <c r="J305" s="74"/>
      <c r="K305" s="280"/>
    </row>
    <row r="306" spans="1:11" ht="15.75" x14ac:dyDescent="0.25">
      <c r="A306" s="74"/>
      <c r="B306" s="74"/>
      <c r="C306" s="87"/>
      <c r="D306" s="86"/>
      <c r="E306" s="86"/>
      <c r="F306" s="86"/>
      <c r="G306" s="86"/>
      <c r="H306" s="86"/>
      <c r="I306" s="86"/>
      <c r="J306" s="74"/>
      <c r="K306" s="280"/>
    </row>
    <row r="307" spans="1:11" ht="15.75" x14ac:dyDescent="0.25">
      <c r="A307" s="74"/>
      <c r="B307" s="74"/>
      <c r="C307" s="87"/>
      <c r="D307" s="86"/>
      <c r="E307" s="86"/>
      <c r="F307" s="86"/>
      <c r="G307" s="86"/>
      <c r="H307" s="86"/>
      <c r="I307" s="86"/>
      <c r="J307" s="74"/>
      <c r="K307" s="280"/>
    </row>
    <row r="308" spans="1:11" ht="15.75" x14ac:dyDescent="0.25">
      <c r="A308" s="74"/>
      <c r="B308" s="74"/>
      <c r="C308" s="87"/>
      <c r="D308" s="86"/>
      <c r="E308" s="86"/>
      <c r="F308" s="86"/>
      <c r="G308" s="86"/>
      <c r="H308" s="86"/>
      <c r="I308" s="86"/>
      <c r="J308" s="74"/>
      <c r="K308" s="280"/>
    </row>
    <row r="309" spans="1:11" ht="15.75" x14ac:dyDescent="0.25">
      <c r="A309" s="74"/>
      <c r="B309" s="74"/>
      <c r="C309" s="87"/>
      <c r="D309" s="86"/>
      <c r="E309" s="86"/>
      <c r="F309" s="86"/>
      <c r="G309" s="86"/>
      <c r="H309" s="86"/>
      <c r="I309" s="86"/>
      <c r="J309" s="74"/>
      <c r="K309" s="280"/>
    </row>
    <row r="310" spans="1:11" ht="15.75" x14ac:dyDescent="0.25">
      <c r="A310" s="74"/>
      <c r="B310" s="74"/>
      <c r="C310" s="87"/>
      <c r="D310" s="86"/>
      <c r="E310" s="86"/>
      <c r="F310" s="86"/>
      <c r="G310" s="86"/>
      <c r="H310" s="86"/>
      <c r="I310" s="86"/>
      <c r="J310" s="74"/>
      <c r="K310" s="280"/>
    </row>
    <row r="311" spans="1:11" ht="15.75" x14ac:dyDescent="0.25">
      <c r="A311" s="74"/>
      <c r="B311" s="74"/>
      <c r="C311" s="87"/>
      <c r="D311" s="86"/>
      <c r="E311" s="86"/>
      <c r="F311" s="86"/>
      <c r="G311" s="86"/>
      <c r="H311" s="86"/>
      <c r="I311" s="86"/>
      <c r="J311" s="74"/>
      <c r="K311" s="280"/>
    </row>
    <row r="312" spans="1:11" ht="15.75" x14ac:dyDescent="0.25">
      <c r="A312" s="74"/>
      <c r="B312" s="74"/>
      <c r="C312" s="87"/>
      <c r="D312" s="86"/>
      <c r="E312" s="86"/>
      <c r="F312" s="86"/>
      <c r="G312" s="86"/>
      <c r="H312" s="86"/>
      <c r="I312" s="86"/>
      <c r="J312" s="74"/>
      <c r="K312" s="280"/>
    </row>
    <row r="313" spans="1:11" ht="15.75" x14ac:dyDescent="0.25">
      <c r="A313" s="74"/>
      <c r="B313" s="74"/>
      <c r="C313" s="87"/>
      <c r="D313" s="86"/>
      <c r="E313" s="86"/>
      <c r="F313" s="86"/>
      <c r="G313" s="86"/>
      <c r="H313" s="86"/>
      <c r="I313" s="86"/>
      <c r="J313" s="74"/>
      <c r="K313" s="280"/>
    </row>
    <row r="314" spans="1:11" ht="15.75" x14ac:dyDescent="0.25">
      <c r="A314" s="74"/>
      <c r="B314" s="74"/>
      <c r="C314" s="87"/>
      <c r="D314" s="86"/>
      <c r="E314" s="86"/>
      <c r="F314" s="86"/>
      <c r="G314" s="86"/>
      <c r="H314" s="86"/>
      <c r="I314" s="86"/>
      <c r="J314" s="74"/>
      <c r="K314" s="280"/>
    </row>
    <row r="315" spans="1:11" ht="15.75" x14ac:dyDescent="0.25">
      <c r="A315" s="74"/>
      <c r="B315" s="74"/>
      <c r="C315" s="87"/>
      <c r="D315" s="86"/>
      <c r="E315" s="86"/>
      <c r="F315" s="86"/>
      <c r="G315" s="86"/>
      <c r="H315" s="86"/>
      <c r="I315" s="86"/>
      <c r="J315" s="74"/>
      <c r="K315" s="280"/>
    </row>
    <row r="316" spans="1:11" ht="15.75" x14ac:dyDescent="0.25">
      <c r="A316" s="74"/>
      <c r="B316" s="74"/>
      <c r="C316" s="87"/>
      <c r="D316" s="86"/>
      <c r="E316" s="86"/>
      <c r="F316" s="86"/>
      <c r="G316" s="86"/>
      <c r="H316" s="86"/>
      <c r="I316" s="86"/>
      <c r="J316" s="74"/>
      <c r="K316" s="280"/>
    </row>
    <row r="317" spans="1:11" ht="15.75" x14ac:dyDescent="0.25">
      <c r="A317" s="74"/>
      <c r="B317" s="74"/>
      <c r="C317" s="87"/>
      <c r="D317" s="86"/>
      <c r="E317" s="86"/>
      <c r="F317" s="86"/>
      <c r="G317" s="86"/>
      <c r="H317" s="86"/>
      <c r="I317" s="86"/>
      <c r="J317" s="74"/>
      <c r="K317" s="280"/>
    </row>
    <row r="318" spans="1:11" ht="15.75" x14ac:dyDescent="0.25">
      <c r="A318" s="74"/>
      <c r="B318" s="74"/>
      <c r="C318" s="87"/>
      <c r="D318" s="86"/>
      <c r="E318" s="86"/>
      <c r="F318" s="86"/>
      <c r="G318" s="86"/>
      <c r="H318" s="86"/>
      <c r="I318" s="86"/>
      <c r="J318" s="74"/>
      <c r="K318" s="280"/>
    </row>
    <row r="319" spans="1:11" ht="15.75" x14ac:dyDescent="0.25">
      <c r="A319" s="74"/>
      <c r="B319" s="74"/>
      <c r="C319" s="87"/>
      <c r="D319" s="86"/>
      <c r="E319" s="86"/>
      <c r="F319" s="86"/>
      <c r="G319" s="86"/>
      <c r="H319" s="86"/>
      <c r="I319" s="86"/>
      <c r="J319" s="74"/>
      <c r="K319" s="280"/>
    </row>
    <row r="320" spans="1:11" ht="15.75" x14ac:dyDescent="0.25">
      <c r="A320" s="74"/>
      <c r="B320" s="74"/>
      <c r="C320" s="87"/>
      <c r="D320" s="86"/>
      <c r="E320" s="86"/>
      <c r="F320" s="86"/>
      <c r="G320" s="86"/>
      <c r="H320" s="86"/>
      <c r="I320" s="86"/>
      <c r="J320" s="74"/>
      <c r="K320" s="280"/>
    </row>
    <row r="321" spans="1:11" ht="15.75" x14ac:dyDescent="0.25">
      <c r="A321" s="74"/>
      <c r="B321" s="74"/>
      <c r="C321" s="87"/>
      <c r="D321" s="86"/>
      <c r="E321" s="86"/>
      <c r="F321" s="86"/>
      <c r="G321" s="86"/>
      <c r="H321" s="86"/>
      <c r="I321" s="86"/>
      <c r="J321" s="74"/>
      <c r="K321" s="280"/>
    </row>
    <row r="322" spans="1:11" ht="15.75" x14ac:dyDescent="0.25">
      <c r="A322" s="74"/>
      <c r="B322" s="74"/>
      <c r="C322" s="87"/>
      <c r="D322" s="86"/>
      <c r="E322" s="86"/>
      <c r="F322" s="86"/>
      <c r="G322" s="86"/>
      <c r="H322" s="86"/>
      <c r="I322" s="86"/>
      <c r="J322" s="74"/>
      <c r="K322" s="280"/>
    </row>
    <row r="323" spans="1:11" ht="15.75" x14ac:dyDescent="0.25">
      <c r="A323" s="74"/>
      <c r="B323" s="74"/>
      <c r="C323" s="87"/>
      <c r="D323" s="86"/>
      <c r="E323" s="86"/>
      <c r="F323" s="86"/>
      <c r="G323" s="86"/>
      <c r="H323" s="86"/>
      <c r="I323" s="86"/>
      <c r="J323" s="74"/>
      <c r="K323" s="280"/>
    </row>
    <row r="324" spans="1:11" ht="15.75" x14ac:dyDescent="0.25">
      <c r="A324" s="74"/>
      <c r="B324" s="74"/>
      <c r="C324" s="87"/>
      <c r="D324" s="86"/>
      <c r="E324" s="86"/>
      <c r="F324" s="86"/>
      <c r="G324" s="86"/>
      <c r="H324" s="86"/>
      <c r="I324" s="86"/>
      <c r="J324" s="74"/>
      <c r="K324" s="280"/>
    </row>
    <row r="325" spans="1:11" ht="15.75" x14ac:dyDescent="0.25">
      <c r="A325" s="74"/>
      <c r="B325" s="74"/>
      <c r="C325" s="87"/>
      <c r="D325" s="86"/>
      <c r="E325" s="86"/>
      <c r="F325" s="86"/>
      <c r="G325" s="86"/>
      <c r="H325" s="86"/>
      <c r="I325" s="86"/>
      <c r="J325" s="74"/>
      <c r="K325" s="280"/>
    </row>
    <row r="326" spans="1:11" ht="15.75" x14ac:dyDescent="0.25">
      <c r="A326" s="74"/>
      <c r="B326" s="74"/>
      <c r="C326" s="87"/>
      <c r="D326" s="86"/>
      <c r="E326" s="86"/>
      <c r="F326" s="86"/>
      <c r="G326" s="86"/>
      <c r="H326" s="86"/>
      <c r="I326" s="86"/>
      <c r="J326" s="74"/>
      <c r="K326" s="280"/>
    </row>
    <row r="327" spans="1:11" ht="15.75" x14ac:dyDescent="0.25">
      <c r="A327" s="74"/>
      <c r="B327" s="74"/>
      <c r="C327" s="87"/>
      <c r="D327" s="86"/>
      <c r="E327" s="86"/>
      <c r="F327" s="86"/>
      <c r="G327" s="86"/>
      <c r="H327" s="86"/>
      <c r="I327" s="86"/>
      <c r="J327" s="74"/>
      <c r="K327" s="280"/>
    </row>
    <row r="328" spans="1:11" ht="15.75" x14ac:dyDescent="0.25">
      <c r="A328" s="74"/>
      <c r="B328" s="74"/>
      <c r="C328" s="87"/>
      <c r="D328" s="86"/>
      <c r="E328" s="86"/>
      <c r="F328" s="86"/>
      <c r="G328" s="86"/>
      <c r="H328" s="86"/>
      <c r="I328" s="86"/>
      <c r="J328" s="74"/>
      <c r="K328" s="280"/>
    </row>
    <row r="329" spans="1:11" ht="15.75" x14ac:dyDescent="0.25">
      <c r="A329" s="74"/>
      <c r="B329" s="74"/>
      <c r="C329" s="87"/>
      <c r="D329" s="86"/>
      <c r="E329" s="86"/>
      <c r="F329" s="86"/>
      <c r="G329" s="86"/>
      <c r="H329" s="86"/>
      <c r="I329" s="86"/>
      <c r="J329" s="74"/>
      <c r="K329" s="280"/>
    </row>
    <row r="330" spans="1:11" ht="15.75" x14ac:dyDescent="0.25">
      <c r="A330" s="74"/>
      <c r="B330" s="74"/>
      <c r="C330" s="87"/>
      <c r="D330" s="86"/>
      <c r="E330" s="86"/>
      <c r="F330" s="86"/>
      <c r="G330" s="86"/>
      <c r="H330" s="86"/>
      <c r="I330" s="86"/>
      <c r="J330" s="74"/>
      <c r="K330" s="280"/>
    </row>
    <row r="331" spans="1:11" ht="15.75" x14ac:dyDescent="0.25">
      <c r="A331" s="74"/>
      <c r="B331" s="74"/>
      <c r="C331" s="87"/>
      <c r="D331" s="86"/>
      <c r="E331" s="86"/>
      <c r="F331" s="86"/>
      <c r="G331" s="86"/>
      <c r="H331" s="86"/>
      <c r="I331" s="86"/>
      <c r="J331" s="74"/>
      <c r="K331" s="280"/>
    </row>
    <row r="332" spans="1:11" ht="15.75" x14ac:dyDescent="0.25">
      <c r="A332" s="74"/>
      <c r="B332" s="74"/>
      <c r="C332" s="87"/>
      <c r="D332" s="86"/>
      <c r="E332" s="86"/>
      <c r="F332" s="86"/>
      <c r="G332" s="86"/>
      <c r="H332" s="86"/>
      <c r="I332" s="86"/>
      <c r="J332" s="74"/>
      <c r="K332" s="280"/>
    </row>
    <row r="333" spans="1:11" ht="15.75" x14ac:dyDescent="0.25">
      <c r="A333" s="74"/>
      <c r="B333" s="74"/>
      <c r="C333" s="87"/>
      <c r="D333" s="86"/>
      <c r="E333" s="86"/>
      <c r="F333" s="86"/>
      <c r="G333" s="86"/>
      <c r="H333" s="86"/>
      <c r="I333" s="86"/>
      <c r="J333" s="74"/>
      <c r="K333" s="280"/>
    </row>
    <row r="334" spans="1:11" ht="15.75" x14ac:dyDescent="0.25">
      <c r="A334" s="74"/>
      <c r="B334" s="74"/>
      <c r="C334" s="87"/>
      <c r="D334" s="86"/>
      <c r="E334" s="86"/>
      <c r="F334" s="86"/>
      <c r="G334" s="86"/>
      <c r="H334" s="86"/>
      <c r="I334" s="86"/>
      <c r="J334" s="74"/>
      <c r="K334" s="280"/>
    </row>
    <row r="335" spans="1:11" ht="15.75" x14ac:dyDescent="0.25">
      <c r="A335" s="74"/>
      <c r="B335" s="74"/>
      <c r="C335" s="87"/>
      <c r="D335" s="86"/>
      <c r="E335" s="86"/>
      <c r="F335" s="86"/>
      <c r="G335" s="86"/>
      <c r="H335" s="86"/>
      <c r="I335" s="86"/>
      <c r="J335" s="74"/>
      <c r="K335" s="280"/>
    </row>
    <row r="336" spans="1:11" ht="15.75" x14ac:dyDescent="0.25">
      <c r="A336" s="74"/>
      <c r="B336" s="74"/>
      <c r="C336" s="87"/>
      <c r="D336" s="86"/>
      <c r="E336" s="86"/>
      <c r="F336" s="86"/>
      <c r="G336" s="86"/>
      <c r="H336" s="86"/>
      <c r="I336" s="86"/>
      <c r="J336" s="74"/>
      <c r="K336" s="280"/>
    </row>
    <row r="337" spans="1:11" ht="15.75" x14ac:dyDescent="0.25">
      <c r="A337" s="74"/>
      <c r="B337" s="74"/>
      <c r="C337" s="87"/>
      <c r="D337" s="86"/>
      <c r="E337" s="86"/>
      <c r="F337" s="86"/>
      <c r="G337" s="86"/>
      <c r="H337" s="86"/>
      <c r="I337" s="86"/>
      <c r="J337" s="74"/>
      <c r="K337" s="280"/>
    </row>
    <row r="338" spans="1:11" ht="15.75" x14ac:dyDescent="0.25">
      <c r="A338" s="74"/>
      <c r="B338" s="74"/>
      <c r="C338" s="87"/>
      <c r="D338" s="86"/>
      <c r="E338" s="86"/>
      <c r="F338" s="86"/>
      <c r="G338" s="86"/>
      <c r="H338" s="86"/>
      <c r="I338" s="86"/>
      <c r="J338" s="74"/>
      <c r="K338" s="280"/>
    </row>
    <row r="339" spans="1:11" ht="15.75" x14ac:dyDescent="0.25">
      <c r="A339" s="74"/>
      <c r="B339" s="74"/>
      <c r="C339" s="87"/>
      <c r="D339" s="86"/>
      <c r="E339" s="86"/>
      <c r="F339" s="86"/>
      <c r="G339" s="86"/>
      <c r="H339" s="86"/>
      <c r="I339" s="86"/>
      <c r="J339" s="74"/>
      <c r="K339" s="280"/>
    </row>
    <row r="340" spans="1:11" ht="15.75" x14ac:dyDescent="0.25">
      <c r="A340" s="74"/>
      <c r="B340" s="74"/>
      <c r="C340" s="87"/>
      <c r="D340" s="86"/>
      <c r="E340" s="86"/>
      <c r="F340" s="86"/>
      <c r="G340" s="86"/>
      <c r="H340" s="86"/>
      <c r="I340" s="86"/>
      <c r="J340" s="74"/>
      <c r="K340" s="280"/>
    </row>
    <row r="341" spans="1:11" ht="15.75" x14ac:dyDescent="0.25">
      <c r="A341" s="74"/>
      <c r="B341" s="74"/>
      <c r="C341" s="87"/>
      <c r="D341" s="86"/>
      <c r="E341" s="86"/>
      <c r="F341" s="86"/>
      <c r="G341" s="86"/>
      <c r="H341" s="86"/>
      <c r="I341" s="86"/>
      <c r="J341" s="74"/>
      <c r="K341" s="280"/>
    </row>
    <row r="342" spans="1:11" ht="15.75" x14ac:dyDescent="0.25">
      <c r="A342" s="74"/>
      <c r="B342" s="74"/>
      <c r="C342" s="87"/>
      <c r="D342" s="86"/>
      <c r="E342" s="86"/>
      <c r="F342" s="86"/>
      <c r="G342" s="86"/>
      <c r="H342" s="86"/>
      <c r="I342" s="86"/>
      <c r="J342" s="74"/>
      <c r="K342" s="280"/>
    </row>
    <row r="343" spans="1:11" ht="15.75" x14ac:dyDescent="0.25">
      <c r="A343" s="74"/>
      <c r="B343" s="74"/>
      <c r="C343" s="87"/>
      <c r="D343" s="86"/>
      <c r="E343" s="86"/>
      <c r="F343" s="86"/>
      <c r="G343" s="86"/>
      <c r="H343" s="86"/>
      <c r="I343" s="86"/>
      <c r="J343" s="74"/>
      <c r="K343" s="280"/>
    </row>
    <row r="344" spans="1:11" ht="15.75" x14ac:dyDescent="0.25">
      <c r="A344" s="74"/>
      <c r="B344" s="74"/>
      <c r="C344" s="87"/>
      <c r="D344" s="86"/>
      <c r="E344" s="86"/>
      <c r="F344" s="86"/>
      <c r="G344" s="86"/>
      <c r="H344" s="86"/>
      <c r="I344" s="86"/>
      <c r="J344" s="74"/>
      <c r="K344" s="280"/>
    </row>
    <row r="345" spans="1:11" ht="15.75" x14ac:dyDescent="0.25">
      <c r="A345" s="74"/>
      <c r="B345" s="74"/>
      <c r="C345" s="87"/>
      <c r="D345" s="86"/>
      <c r="E345" s="86"/>
      <c r="F345" s="86"/>
      <c r="G345" s="86"/>
      <c r="H345" s="86"/>
      <c r="I345" s="86"/>
      <c r="J345" s="74"/>
      <c r="K345" s="280"/>
    </row>
    <row r="346" spans="1:11" ht="15.75" x14ac:dyDescent="0.25">
      <c r="A346" s="74"/>
      <c r="B346" s="74"/>
      <c r="C346" s="87"/>
      <c r="D346" s="86"/>
      <c r="E346" s="86"/>
      <c r="F346" s="86"/>
      <c r="G346" s="86"/>
      <c r="H346" s="86"/>
      <c r="I346" s="86"/>
      <c r="J346" s="74"/>
      <c r="K346" s="280"/>
    </row>
    <row r="347" spans="1:11" ht="15.75" x14ac:dyDescent="0.25">
      <c r="A347" s="74"/>
      <c r="B347" s="74"/>
      <c r="C347" s="87"/>
      <c r="D347" s="86"/>
      <c r="E347" s="86"/>
      <c r="F347" s="86"/>
      <c r="G347" s="86"/>
      <c r="H347" s="86"/>
      <c r="I347" s="86"/>
      <c r="J347" s="74"/>
      <c r="K347" s="280"/>
    </row>
    <row r="348" spans="1:11" ht="15.75" x14ac:dyDescent="0.25">
      <c r="A348" s="74"/>
      <c r="B348" s="74"/>
      <c r="C348" s="87"/>
      <c r="D348" s="86"/>
      <c r="E348" s="86"/>
      <c r="F348" s="86"/>
      <c r="G348" s="86"/>
      <c r="H348" s="86"/>
      <c r="I348" s="86"/>
      <c r="J348" s="74"/>
      <c r="K348" s="280"/>
    </row>
    <row r="349" spans="1:11" ht="15.75" x14ac:dyDescent="0.25">
      <c r="A349" s="74"/>
      <c r="B349" s="74"/>
      <c r="C349" s="87"/>
      <c r="D349" s="86"/>
      <c r="E349" s="86"/>
      <c r="F349" s="86"/>
      <c r="G349" s="86"/>
      <c r="H349" s="86"/>
      <c r="I349" s="86"/>
      <c r="J349" s="74"/>
      <c r="K349" s="280"/>
    </row>
    <row r="350" spans="1:11" ht="15.75" x14ac:dyDescent="0.25">
      <c r="A350" s="74"/>
      <c r="B350" s="74"/>
      <c r="C350" s="87"/>
      <c r="D350" s="86"/>
      <c r="E350" s="86"/>
      <c r="F350" s="86"/>
      <c r="G350" s="86"/>
      <c r="H350" s="86"/>
      <c r="I350" s="86"/>
      <c r="J350" s="74"/>
      <c r="K350" s="280"/>
    </row>
    <row r="351" spans="1:11" ht="15.75" x14ac:dyDescent="0.25">
      <c r="A351" s="74"/>
      <c r="B351" s="74"/>
      <c r="C351" s="87"/>
      <c r="D351" s="86"/>
      <c r="E351" s="86"/>
      <c r="F351" s="86"/>
      <c r="G351" s="86"/>
      <c r="H351" s="86"/>
      <c r="I351" s="86"/>
      <c r="J351" s="74"/>
      <c r="K351" s="280"/>
    </row>
    <row r="352" spans="1:11" ht="15.75" x14ac:dyDescent="0.25">
      <c r="A352" s="74"/>
      <c r="B352" s="74"/>
      <c r="C352" s="87"/>
      <c r="D352" s="86"/>
      <c r="E352" s="86"/>
      <c r="F352" s="86"/>
      <c r="G352" s="86"/>
      <c r="H352" s="86"/>
      <c r="I352" s="86"/>
      <c r="J352" s="74"/>
      <c r="K352" s="280"/>
    </row>
    <row r="353" spans="1:11" ht="15.75" x14ac:dyDescent="0.25">
      <c r="A353" s="74"/>
      <c r="B353" s="74"/>
      <c r="C353" s="87"/>
      <c r="D353" s="86"/>
      <c r="E353" s="86"/>
      <c r="F353" s="86"/>
      <c r="G353" s="86"/>
      <c r="H353" s="86"/>
      <c r="I353" s="86"/>
      <c r="J353" s="74"/>
      <c r="K353" s="280"/>
    </row>
    <row r="354" spans="1:11" ht="15.75" x14ac:dyDescent="0.25">
      <c r="A354" s="74"/>
      <c r="B354" s="74"/>
      <c r="C354" s="87"/>
      <c r="D354" s="86"/>
      <c r="E354" s="86"/>
      <c r="F354" s="86"/>
      <c r="G354" s="86"/>
      <c r="H354" s="86"/>
      <c r="I354" s="86"/>
      <c r="J354" s="74"/>
      <c r="K354" s="280"/>
    </row>
    <row r="355" spans="1:11" ht="15.75" x14ac:dyDescent="0.25">
      <c r="A355" s="74"/>
      <c r="B355" s="74"/>
      <c r="C355" s="87"/>
      <c r="D355" s="86"/>
      <c r="E355" s="86"/>
      <c r="F355" s="86"/>
      <c r="G355" s="86"/>
      <c r="H355" s="86"/>
      <c r="I355" s="86"/>
      <c r="J355" s="74"/>
      <c r="K355" s="280"/>
    </row>
    <row r="356" spans="1:11" ht="15.75" x14ac:dyDescent="0.25">
      <c r="A356" s="74"/>
      <c r="B356" s="74"/>
      <c r="C356" s="87"/>
      <c r="D356" s="86"/>
      <c r="E356" s="86"/>
      <c r="F356" s="86"/>
      <c r="G356" s="86"/>
      <c r="H356" s="86"/>
      <c r="I356" s="86"/>
      <c r="J356" s="74"/>
      <c r="K356" s="280"/>
    </row>
    <row r="357" spans="1:11" ht="15.75" x14ac:dyDescent="0.25">
      <c r="A357" s="74"/>
      <c r="B357" s="74"/>
      <c r="C357" s="87"/>
      <c r="D357" s="86"/>
      <c r="E357" s="86"/>
      <c r="F357" s="86"/>
      <c r="G357" s="86"/>
      <c r="H357" s="86"/>
      <c r="I357" s="86"/>
      <c r="J357" s="74"/>
      <c r="K357" s="280"/>
    </row>
    <row r="358" spans="1:11" ht="15.75" x14ac:dyDescent="0.25">
      <c r="A358" s="74"/>
      <c r="B358" s="74"/>
      <c r="C358" s="87"/>
      <c r="D358" s="86"/>
      <c r="E358" s="86"/>
      <c r="F358" s="86"/>
      <c r="G358" s="86"/>
      <c r="H358" s="86"/>
      <c r="I358" s="86"/>
      <c r="J358" s="74"/>
      <c r="K358" s="280"/>
    </row>
    <row r="359" spans="1:11" ht="15.75" x14ac:dyDescent="0.25">
      <c r="A359" s="74"/>
      <c r="B359" s="74"/>
      <c r="C359" s="87"/>
      <c r="D359" s="86"/>
      <c r="E359" s="86"/>
      <c r="F359" s="86"/>
      <c r="G359" s="86"/>
      <c r="H359" s="86"/>
      <c r="I359" s="86"/>
      <c r="J359" s="74"/>
      <c r="K359" s="280"/>
    </row>
    <row r="360" spans="1:11" ht="15.75" x14ac:dyDescent="0.25">
      <c r="A360" s="74"/>
      <c r="B360" s="74"/>
      <c r="C360" s="87"/>
      <c r="D360" s="86"/>
      <c r="E360" s="86"/>
      <c r="F360" s="86"/>
      <c r="G360" s="86"/>
      <c r="H360" s="86"/>
      <c r="I360" s="86"/>
      <c r="J360" s="74"/>
      <c r="K360" s="280"/>
    </row>
    <row r="361" spans="1:11" ht="15.75" x14ac:dyDescent="0.25">
      <c r="A361" s="74"/>
      <c r="B361" s="74"/>
      <c r="C361" s="87"/>
      <c r="D361" s="86"/>
      <c r="E361" s="86"/>
      <c r="F361" s="86"/>
      <c r="G361" s="86"/>
      <c r="H361" s="86"/>
      <c r="I361" s="86"/>
      <c r="J361" s="74"/>
      <c r="K361" s="280"/>
    </row>
    <row r="362" spans="1:11" ht="15.75" x14ac:dyDescent="0.25">
      <c r="A362" s="74"/>
      <c r="B362" s="74"/>
      <c r="C362" s="87"/>
      <c r="D362" s="86"/>
      <c r="E362" s="86"/>
      <c r="F362" s="86"/>
      <c r="G362" s="86"/>
      <c r="H362" s="86"/>
      <c r="I362" s="86"/>
      <c r="J362" s="74"/>
      <c r="K362" s="280"/>
    </row>
    <row r="363" spans="1:11" ht="15.75" x14ac:dyDescent="0.25">
      <c r="A363" s="74"/>
      <c r="B363" s="74"/>
      <c r="C363" s="87"/>
      <c r="D363" s="86"/>
      <c r="E363" s="86"/>
      <c r="F363" s="86"/>
      <c r="G363" s="86"/>
      <c r="H363" s="86"/>
      <c r="I363" s="86"/>
      <c r="J363" s="74"/>
      <c r="K363" s="280"/>
    </row>
    <row r="364" spans="1:11" ht="15.75" x14ac:dyDescent="0.25">
      <c r="A364" s="74"/>
      <c r="B364" s="74"/>
      <c r="C364" s="87"/>
      <c r="D364" s="86"/>
      <c r="E364" s="86"/>
      <c r="F364" s="86"/>
      <c r="G364" s="86"/>
      <c r="H364" s="86"/>
      <c r="I364" s="86"/>
      <c r="J364" s="74"/>
      <c r="K364" s="280"/>
    </row>
    <row r="365" spans="1:11" ht="15.75" x14ac:dyDescent="0.25">
      <c r="A365" s="74"/>
      <c r="B365" s="74"/>
      <c r="C365" s="87"/>
      <c r="D365" s="86"/>
      <c r="E365" s="86"/>
      <c r="F365" s="86"/>
      <c r="G365" s="86"/>
      <c r="H365" s="86"/>
      <c r="I365" s="86"/>
      <c r="J365" s="74"/>
      <c r="K365" s="280"/>
    </row>
    <row r="366" spans="1:11" ht="15.75" x14ac:dyDescent="0.25">
      <c r="A366" s="74"/>
      <c r="B366" s="74"/>
      <c r="C366" s="87"/>
      <c r="D366" s="86"/>
      <c r="E366" s="86"/>
      <c r="F366" s="86"/>
      <c r="G366" s="86"/>
      <c r="H366" s="86"/>
      <c r="I366" s="86"/>
      <c r="J366" s="74"/>
      <c r="K366" s="280"/>
    </row>
    <row r="367" spans="1:11" ht="15.75" x14ac:dyDescent="0.25">
      <c r="A367" s="74"/>
      <c r="B367" s="74"/>
      <c r="C367" s="87"/>
      <c r="D367" s="86"/>
      <c r="E367" s="86"/>
      <c r="F367" s="86"/>
      <c r="G367" s="86"/>
      <c r="H367" s="86"/>
      <c r="I367" s="86"/>
      <c r="J367" s="74"/>
      <c r="K367" s="280"/>
    </row>
    <row r="368" spans="1:11" ht="15.75" x14ac:dyDescent="0.25">
      <c r="A368" s="74"/>
      <c r="B368" s="74"/>
      <c r="C368" s="87"/>
      <c r="D368" s="86"/>
      <c r="E368" s="86"/>
      <c r="F368" s="86"/>
      <c r="G368" s="86"/>
      <c r="H368" s="86"/>
      <c r="I368" s="86"/>
      <c r="J368" s="74"/>
      <c r="K368" s="280"/>
    </row>
    <row r="369" spans="1:11" ht="15.75" x14ac:dyDescent="0.25">
      <c r="A369" s="74"/>
      <c r="B369" s="74"/>
      <c r="C369" s="87"/>
      <c r="D369" s="86"/>
      <c r="E369" s="86"/>
      <c r="F369" s="86"/>
      <c r="G369" s="86"/>
      <c r="H369" s="86"/>
      <c r="I369" s="86"/>
      <c r="J369" s="74"/>
      <c r="K369" s="280"/>
    </row>
    <row r="370" spans="1:11" ht="15.75" x14ac:dyDescent="0.25">
      <c r="A370" s="74"/>
      <c r="B370" s="74"/>
      <c r="C370" s="87"/>
      <c r="D370" s="86"/>
      <c r="E370" s="86"/>
      <c r="F370" s="86"/>
      <c r="G370" s="86"/>
      <c r="H370" s="86"/>
      <c r="I370" s="86"/>
      <c r="J370" s="74"/>
      <c r="K370" s="280"/>
    </row>
    <row r="371" spans="1:11" ht="15.75" x14ac:dyDescent="0.25">
      <c r="A371" s="74"/>
      <c r="B371" s="74"/>
      <c r="C371" s="87"/>
      <c r="D371" s="86"/>
      <c r="E371" s="86"/>
      <c r="F371" s="86"/>
      <c r="G371" s="86"/>
      <c r="H371" s="86"/>
      <c r="I371" s="86"/>
      <c r="J371" s="74"/>
      <c r="K371" s="280"/>
    </row>
    <row r="372" spans="1:11" ht="15.75" x14ac:dyDescent="0.25">
      <c r="A372" s="74"/>
      <c r="B372" s="74"/>
      <c r="C372" s="87"/>
      <c r="D372" s="86"/>
      <c r="E372" s="86"/>
      <c r="F372" s="86"/>
      <c r="G372" s="86"/>
      <c r="H372" s="86"/>
      <c r="I372" s="86"/>
      <c r="J372" s="74"/>
      <c r="K372" s="280"/>
    </row>
    <row r="373" spans="1:11" ht="15.75" x14ac:dyDescent="0.25">
      <c r="A373" s="74"/>
      <c r="B373" s="74"/>
      <c r="C373" s="87"/>
      <c r="D373" s="86"/>
      <c r="E373" s="86"/>
      <c r="F373" s="86"/>
      <c r="G373" s="86"/>
      <c r="H373" s="86"/>
      <c r="I373" s="86"/>
      <c r="J373" s="74"/>
      <c r="K373" s="280"/>
    </row>
    <row r="374" spans="1:11" ht="15.75" x14ac:dyDescent="0.25">
      <c r="A374" s="74"/>
      <c r="B374" s="74"/>
      <c r="C374" s="87"/>
      <c r="D374" s="86"/>
      <c r="E374" s="86"/>
      <c r="F374" s="86"/>
      <c r="G374" s="86"/>
      <c r="H374" s="86"/>
      <c r="I374" s="86"/>
      <c r="J374" s="74"/>
      <c r="K374" s="280"/>
    </row>
    <row r="375" spans="1:11" ht="15.75" x14ac:dyDescent="0.25">
      <c r="A375" s="74"/>
      <c r="B375" s="74"/>
      <c r="C375" s="87"/>
      <c r="D375" s="86"/>
      <c r="E375" s="86"/>
      <c r="F375" s="86"/>
      <c r="G375" s="86"/>
      <c r="H375" s="86"/>
      <c r="I375" s="86"/>
      <c r="J375" s="74"/>
      <c r="K375" s="280"/>
    </row>
    <row r="376" spans="1:11" ht="15.75" x14ac:dyDescent="0.25">
      <c r="A376" s="74"/>
      <c r="B376" s="74"/>
      <c r="C376" s="87"/>
      <c r="D376" s="86"/>
      <c r="E376" s="86"/>
      <c r="F376" s="86"/>
      <c r="G376" s="86"/>
      <c r="H376" s="86"/>
      <c r="I376" s="86"/>
      <c r="J376" s="74"/>
      <c r="K376" s="280"/>
    </row>
    <row r="377" spans="1:11" ht="15.75" x14ac:dyDescent="0.25">
      <c r="A377" s="74"/>
      <c r="B377" s="74"/>
      <c r="C377" s="87"/>
      <c r="D377" s="86"/>
      <c r="E377" s="86"/>
      <c r="F377" s="86"/>
      <c r="G377" s="86"/>
      <c r="H377" s="86"/>
      <c r="I377" s="86"/>
      <c r="J377" s="74"/>
      <c r="K377" s="280"/>
    </row>
    <row r="378" spans="1:11" ht="15.75" x14ac:dyDescent="0.25">
      <c r="A378" s="74"/>
      <c r="B378" s="74"/>
      <c r="C378" s="87"/>
      <c r="D378" s="86"/>
      <c r="E378" s="86"/>
      <c r="F378" s="86"/>
      <c r="G378" s="86"/>
      <c r="H378" s="86"/>
      <c r="I378" s="86"/>
      <c r="J378" s="74"/>
      <c r="K378" s="280"/>
    </row>
    <row r="379" spans="1:11" ht="15.75" x14ac:dyDescent="0.25">
      <c r="A379" s="74"/>
      <c r="B379" s="74"/>
      <c r="C379" s="87"/>
      <c r="D379" s="86"/>
      <c r="E379" s="86"/>
      <c r="F379" s="86"/>
      <c r="G379" s="86"/>
      <c r="H379" s="86"/>
      <c r="I379" s="86"/>
      <c r="J379" s="74"/>
      <c r="K379" s="280"/>
    </row>
    <row r="380" spans="1:11" ht="15.75" x14ac:dyDescent="0.25">
      <c r="A380" s="74"/>
      <c r="B380" s="74"/>
      <c r="C380" s="87"/>
      <c r="D380" s="86"/>
      <c r="E380" s="86"/>
      <c r="F380" s="86"/>
      <c r="G380" s="86"/>
      <c r="H380" s="86"/>
      <c r="I380" s="86"/>
      <c r="J380" s="74"/>
      <c r="K380" s="280"/>
    </row>
    <row r="381" spans="1:11" ht="15.75" x14ac:dyDescent="0.25">
      <c r="A381" s="74"/>
      <c r="B381" s="74"/>
      <c r="C381" s="87"/>
      <c r="D381" s="86"/>
      <c r="E381" s="86"/>
      <c r="F381" s="86"/>
      <c r="G381" s="86"/>
      <c r="H381" s="86"/>
      <c r="I381" s="86"/>
      <c r="J381" s="74"/>
      <c r="K381" s="280"/>
    </row>
    <row r="382" spans="1:11" ht="15.75" x14ac:dyDescent="0.25">
      <c r="A382" s="74"/>
      <c r="B382" s="74"/>
      <c r="C382" s="87"/>
      <c r="D382" s="86"/>
      <c r="E382" s="86"/>
      <c r="F382" s="86"/>
      <c r="G382" s="86"/>
      <c r="H382" s="86"/>
      <c r="I382" s="86"/>
      <c r="J382" s="74"/>
      <c r="K382" s="280"/>
    </row>
    <row r="383" spans="1:11" ht="15.75" x14ac:dyDescent="0.25">
      <c r="A383" s="74"/>
      <c r="B383" s="74"/>
      <c r="C383" s="87"/>
      <c r="D383" s="86"/>
      <c r="E383" s="86"/>
      <c r="F383" s="86"/>
      <c r="G383" s="86"/>
      <c r="H383" s="86"/>
      <c r="I383" s="86"/>
      <c r="J383" s="74"/>
      <c r="K383" s="280"/>
    </row>
    <row r="384" spans="1:11" ht="15.75" x14ac:dyDescent="0.25">
      <c r="A384" s="74"/>
      <c r="B384" s="74"/>
      <c r="C384" s="87"/>
      <c r="D384" s="86"/>
      <c r="E384" s="86"/>
      <c r="F384" s="86"/>
      <c r="G384" s="86"/>
      <c r="H384" s="86"/>
      <c r="I384" s="86"/>
      <c r="J384" s="74"/>
      <c r="K384" s="280"/>
    </row>
    <row r="385" spans="1:11" ht="15.75" x14ac:dyDescent="0.25">
      <c r="A385" s="74"/>
      <c r="B385" s="74"/>
      <c r="C385" s="87"/>
      <c r="D385" s="86"/>
      <c r="E385" s="86"/>
      <c r="F385" s="86"/>
      <c r="G385" s="86"/>
      <c r="H385" s="86"/>
      <c r="I385" s="86"/>
      <c r="J385" s="74"/>
      <c r="K385" s="280"/>
    </row>
    <row r="386" spans="1:11" ht="15.75" x14ac:dyDescent="0.25">
      <c r="A386" s="74"/>
      <c r="B386" s="74"/>
      <c r="C386" s="87"/>
      <c r="D386" s="86"/>
      <c r="E386" s="86"/>
      <c r="F386" s="86"/>
      <c r="G386" s="86"/>
      <c r="H386" s="86"/>
      <c r="I386" s="86"/>
      <c r="J386" s="74"/>
      <c r="K386" s="280"/>
    </row>
    <row r="387" spans="1:11" ht="15.75" x14ac:dyDescent="0.25">
      <c r="A387" s="74"/>
      <c r="B387" s="74"/>
      <c r="C387" s="87"/>
      <c r="D387" s="86"/>
      <c r="E387" s="86"/>
      <c r="F387" s="86"/>
      <c r="G387" s="86"/>
      <c r="H387" s="86"/>
      <c r="I387" s="86"/>
      <c r="J387" s="74"/>
      <c r="K387" s="280"/>
    </row>
    <row r="388" spans="1:11" ht="15.75" x14ac:dyDescent="0.25">
      <c r="A388" s="74"/>
      <c r="B388" s="74"/>
      <c r="C388" s="87"/>
      <c r="D388" s="86"/>
      <c r="E388" s="86"/>
      <c r="F388" s="86"/>
      <c r="G388" s="86"/>
      <c r="H388" s="86"/>
      <c r="I388" s="86"/>
      <c r="J388" s="74"/>
      <c r="K388" s="280"/>
    </row>
    <row r="389" spans="1:11" ht="15.75" x14ac:dyDescent="0.25">
      <c r="A389" s="74"/>
      <c r="B389" s="74"/>
      <c r="C389" s="87"/>
      <c r="D389" s="86"/>
      <c r="E389" s="86"/>
      <c r="F389" s="86"/>
      <c r="G389" s="86"/>
      <c r="H389" s="86"/>
      <c r="I389" s="86"/>
      <c r="J389" s="74"/>
      <c r="K389" s="280"/>
    </row>
    <row r="390" spans="1:11" ht="15.75" x14ac:dyDescent="0.25">
      <c r="A390" s="74"/>
      <c r="B390" s="74"/>
      <c r="C390" s="87"/>
      <c r="D390" s="86"/>
      <c r="E390" s="86"/>
      <c r="F390" s="86"/>
      <c r="G390" s="86"/>
      <c r="H390" s="86"/>
      <c r="I390" s="86"/>
      <c r="J390" s="74"/>
      <c r="K390" s="280"/>
    </row>
    <row r="391" spans="1:11" ht="15.75" x14ac:dyDescent="0.25">
      <c r="A391" s="74"/>
      <c r="B391" s="74"/>
      <c r="C391" s="87"/>
      <c r="D391" s="86"/>
      <c r="E391" s="86"/>
      <c r="F391" s="86"/>
      <c r="G391" s="86"/>
      <c r="H391" s="86"/>
      <c r="I391" s="86"/>
      <c r="J391" s="74"/>
      <c r="K391" s="280"/>
    </row>
    <row r="392" spans="1:11" ht="15.75" x14ac:dyDescent="0.25">
      <c r="A392" s="74"/>
      <c r="B392" s="74"/>
      <c r="C392" s="87"/>
      <c r="D392" s="86"/>
      <c r="E392" s="86"/>
      <c r="F392" s="86"/>
      <c r="G392" s="86"/>
      <c r="H392" s="86"/>
      <c r="I392" s="86"/>
      <c r="J392" s="74"/>
      <c r="K392" s="280"/>
    </row>
    <row r="393" spans="1:11" ht="15.75" x14ac:dyDescent="0.25">
      <c r="A393" s="74"/>
      <c r="B393" s="74"/>
      <c r="C393" s="87"/>
      <c r="D393" s="86"/>
      <c r="E393" s="86"/>
      <c r="F393" s="86"/>
      <c r="G393" s="86"/>
      <c r="H393" s="86"/>
      <c r="I393" s="86"/>
      <c r="J393" s="74"/>
      <c r="K393" s="280"/>
    </row>
    <row r="394" spans="1:11" ht="15.75" x14ac:dyDescent="0.25">
      <c r="A394" s="74"/>
      <c r="B394" s="74"/>
      <c r="C394" s="87"/>
      <c r="D394" s="86"/>
      <c r="E394" s="86"/>
      <c r="F394" s="86"/>
      <c r="G394" s="86"/>
      <c r="H394" s="86"/>
      <c r="I394" s="86"/>
      <c r="J394" s="74"/>
      <c r="K394" s="280"/>
    </row>
    <row r="395" spans="1:11" ht="15.75" x14ac:dyDescent="0.25">
      <c r="A395" s="74"/>
      <c r="B395" s="74"/>
      <c r="C395" s="87"/>
      <c r="D395" s="86"/>
      <c r="E395" s="86"/>
      <c r="F395" s="86"/>
      <c r="G395" s="86"/>
      <c r="H395" s="86"/>
      <c r="I395" s="86"/>
      <c r="J395" s="74"/>
      <c r="K395" s="280"/>
    </row>
    <row r="396" spans="1:11" ht="15.75" x14ac:dyDescent="0.25">
      <c r="A396" s="74"/>
      <c r="B396" s="74"/>
      <c r="C396" s="87"/>
      <c r="D396" s="86"/>
      <c r="E396" s="86"/>
      <c r="F396" s="86"/>
      <c r="G396" s="86"/>
      <c r="H396" s="86"/>
      <c r="I396" s="86"/>
      <c r="J396" s="74"/>
      <c r="K396" s="280"/>
    </row>
    <row r="397" spans="1:11" ht="15.75" x14ac:dyDescent="0.25">
      <c r="A397" s="74"/>
      <c r="B397" s="74"/>
      <c r="C397" s="87"/>
      <c r="D397" s="86"/>
      <c r="E397" s="86"/>
      <c r="F397" s="86"/>
      <c r="G397" s="86"/>
      <c r="H397" s="86"/>
      <c r="I397" s="86"/>
      <c r="J397" s="74"/>
      <c r="K397" s="280"/>
    </row>
    <row r="398" spans="1:11" ht="15.75" x14ac:dyDescent="0.25">
      <c r="A398" s="74"/>
      <c r="B398" s="74"/>
      <c r="C398" s="87"/>
      <c r="D398" s="86"/>
      <c r="E398" s="86"/>
      <c r="F398" s="86"/>
      <c r="G398" s="86"/>
      <c r="H398" s="86"/>
      <c r="I398" s="86"/>
      <c r="J398" s="74"/>
      <c r="K398" s="280"/>
    </row>
    <row r="399" spans="1:11" ht="15.75" x14ac:dyDescent="0.25">
      <c r="A399" s="74"/>
      <c r="B399" s="74"/>
      <c r="C399" s="87"/>
      <c r="D399" s="86"/>
      <c r="E399" s="86"/>
      <c r="F399" s="86"/>
      <c r="G399" s="86"/>
      <c r="H399" s="86"/>
      <c r="I399" s="86"/>
      <c r="J399" s="74"/>
      <c r="K399" s="280"/>
    </row>
    <row r="400" spans="1:11" ht="15.75" x14ac:dyDescent="0.25">
      <c r="A400" s="74"/>
      <c r="B400" s="74"/>
      <c r="C400" s="87"/>
      <c r="D400" s="86"/>
      <c r="E400" s="86"/>
      <c r="F400" s="86"/>
      <c r="G400" s="86"/>
      <c r="H400" s="86"/>
      <c r="I400" s="86"/>
      <c r="J400" s="74"/>
      <c r="K400" s="280"/>
    </row>
    <row r="401" spans="1:11" ht="15.75" x14ac:dyDescent="0.25">
      <c r="A401" s="74"/>
      <c r="B401" s="74"/>
      <c r="C401" s="87"/>
      <c r="D401" s="86"/>
      <c r="E401" s="86"/>
      <c r="F401" s="86"/>
      <c r="G401" s="86"/>
      <c r="H401" s="86"/>
      <c r="I401" s="86"/>
      <c r="J401" s="74"/>
      <c r="K401" s="280"/>
    </row>
    <row r="402" spans="1:11" ht="15.75" x14ac:dyDescent="0.25">
      <c r="A402" s="74"/>
      <c r="B402" s="74"/>
      <c r="C402" s="87"/>
      <c r="D402" s="86"/>
      <c r="E402" s="86"/>
      <c r="F402" s="86"/>
      <c r="G402" s="86"/>
      <c r="H402" s="86"/>
      <c r="I402" s="86"/>
      <c r="J402" s="74"/>
      <c r="K402" s="280"/>
    </row>
    <row r="403" spans="1:11" ht="15.75" x14ac:dyDescent="0.25">
      <c r="A403" s="74"/>
      <c r="B403" s="74"/>
      <c r="C403" s="87"/>
      <c r="D403" s="86"/>
      <c r="E403" s="86"/>
      <c r="F403" s="86"/>
      <c r="G403" s="86"/>
      <c r="H403" s="86"/>
      <c r="I403" s="86"/>
      <c r="J403" s="74"/>
      <c r="K403" s="280"/>
    </row>
    <row r="404" spans="1:11" ht="15.75" x14ac:dyDescent="0.25">
      <c r="A404" s="74"/>
      <c r="B404" s="74"/>
      <c r="C404" s="87"/>
      <c r="D404" s="86"/>
      <c r="E404" s="86"/>
      <c r="F404" s="86"/>
      <c r="G404" s="86"/>
      <c r="H404" s="86"/>
      <c r="I404" s="86"/>
      <c r="J404" s="74"/>
      <c r="K404" s="280"/>
    </row>
    <row r="405" spans="1:11" ht="15.75" x14ac:dyDescent="0.25">
      <c r="A405" s="74"/>
      <c r="B405" s="74"/>
      <c r="C405" s="87"/>
      <c r="D405" s="86"/>
      <c r="E405" s="86"/>
      <c r="F405" s="86"/>
      <c r="G405" s="86"/>
      <c r="H405" s="86"/>
      <c r="I405" s="86"/>
      <c r="J405" s="74"/>
      <c r="K405" s="280"/>
    </row>
    <row r="406" spans="1:11" ht="15.75" x14ac:dyDescent="0.25">
      <c r="A406" s="74"/>
      <c r="B406" s="74"/>
      <c r="C406" s="87"/>
      <c r="D406" s="86"/>
      <c r="E406" s="86"/>
      <c r="F406" s="86"/>
      <c r="G406" s="86"/>
      <c r="H406" s="86"/>
      <c r="I406" s="86"/>
      <c r="J406" s="74"/>
      <c r="K406" s="280"/>
    </row>
    <row r="407" spans="1:11" ht="15.75" x14ac:dyDescent="0.25">
      <c r="A407" s="74"/>
      <c r="B407" s="74"/>
      <c r="C407" s="87"/>
      <c r="D407" s="86"/>
      <c r="E407" s="86"/>
      <c r="F407" s="86"/>
      <c r="G407" s="86"/>
      <c r="H407" s="86"/>
      <c r="I407" s="86"/>
      <c r="J407" s="74"/>
      <c r="K407" s="280"/>
    </row>
    <row r="408" spans="1:11" ht="15.75" x14ac:dyDescent="0.25">
      <c r="A408" s="74"/>
      <c r="B408" s="74"/>
      <c r="C408" s="87"/>
      <c r="D408" s="86"/>
      <c r="E408" s="86"/>
      <c r="F408" s="86"/>
      <c r="G408" s="86"/>
      <c r="H408" s="86"/>
      <c r="I408" s="86"/>
      <c r="J408" s="74"/>
      <c r="K408" s="280"/>
    </row>
    <row r="409" spans="1:11" ht="15.75" x14ac:dyDescent="0.25">
      <c r="A409" s="74"/>
      <c r="B409" s="74"/>
      <c r="C409" s="87"/>
      <c r="D409" s="86"/>
      <c r="E409" s="86"/>
      <c r="F409" s="86"/>
      <c r="G409" s="86"/>
      <c r="H409" s="86"/>
      <c r="I409" s="86"/>
      <c r="J409" s="74"/>
      <c r="K409" s="280"/>
    </row>
    <row r="410" spans="1:11" ht="15.75" x14ac:dyDescent="0.25">
      <c r="A410" s="74"/>
      <c r="B410" s="74"/>
      <c r="C410" s="87"/>
      <c r="D410" s="86"/>
      <c r="E410" s="86"/>
      <c r="F410" s="86"/>
      <c r="G410" s="86"/>
      <c r="H410" s="86"/>
      <c r="I410" s="86"/>
      <c r="J410" s="74"/>
      <c r="K410" s="280"/>
    </row>
    <row r="411" spans="1:11" ht="15.75" x14ac:dyDescent="0.25">
      <c r="A411" s="74"/>
      <c r="B411" s="74"/>
      <c r="C411" s="87"/>
      <c r="D411" s="86"/>
      <c r="E411" s="86"/>
      <c r="F411" s="86"/>
      <c r="G411" s="86"/>
      <c r="H411" s="86"/>
      <c r="I411" s="86"/>
      <c r="J411" s="74"/>
      <c r="K411" s="280"/>
    </row>
    <row r="412" spans="1:11" ht="15.75" x14ac:dyDescent="0.25">
      <c r="A412" s="74"/>
      <c r="B412" s="74"/>
      <c r="C412" s="87"/>
      <c r="D412" s="86"/>
      <c r="E412" s="86"/>
      <c r="F412" s="86"/>
      <c r="G412" s="86"/>
      <c r="H412" s="86"/>
      <c r="I412" s="86"/>
      <c r="J412" s="74"/>
      <c r="K412" s="280"/>
    </row>
    <row r="413" spans="1:11" ht="15.75" x14ac:dyDescent="0.25">
      <c r="A413" s="74"/>
      <c r="B413" s="74"/>
      <c r="C413" s="87"/>
      <c r="D413" s="86"/>
      <c r="E413" s="86"/>
      <c r="F413" s="86"/>
      <c r="G413" s="86"/>
      <c r="H413" s="86"/>
      <c r="I413" s="86"/>
      <c r="J413" s="74"/>
      <c r="K413" s="280"/>
    </row>
    <row r="414" spans="1:11" ht="15.75" x14ac:dyDescent="0.25">
      <c r="A414" s="74"/>
      <c r="B414" s="74"/>
      <c r="C414" s="87"/>
      <c r="D414" s="86"/>
      <c r="E414" s="86"/>
      <c r="F414" s="86"/>
      <c r="G414" s="86"/>
      <c r="H414" s="86"/>
      <c r="I414" s="86"/>
      <c r="J414" s="74"/>
      <c r="K414" s="280"/>
    </row>
    <row r="415" spans="1:11" ht="15.75" x14ac:dyDescent="0.25">
      <c r="A415" s="74"/>
      <c r="B415" s="74"/>
      <c r="C415" s="87"/>
      <c r="D415" s="86"/>
      <c r="E415" s="86"/>
      <c r="F415" s="86"/>
      <c r="G415" s="86"/>
      <c r="H415" s="86"/>
      <c r="I415" s="86"/>
      <c r="J415" s="74"/>
      <c r="K415" s="280"/>
    </row>
    <row r="416" spans="1:11" ht="15.75" x14ac:dyDescent="0.25">
      <c r="A416" s="74"/>
      <c r="B416" s="74"/>
      <c r="C416" s="87"/>
      <c r="D416" s="86"/>
      <c r="E416" s="86"/>
      <c r="F416" s="86"/>
      <c r="G416" s="86"/>
      <c r="H416" s="86"/>
      <c r="I416" s="86"/>
      <c r="J416" s="74"/>
      <c r="K416" s="280"/>
    </row>
    <row r="417" spans="1:11" ht="15.75" x14ac:dyDescent="0.25">
      <c r="A417" s="74"/>
      <c r="B417" s="74"/>
      <c r="C417" s="87"/>
      <c r="D417" s="86"/>
      <c r="E417" s="86"/>
      <c r="F417" s="86"/>
      <c r="G417" s="86"/>
      <c r="H417" s="86"/>
      <c r="I417" s="86"/>
      <c r="J417" s="74"/>
      <c r="K417" s="280"/>
    </row>
    <row r="418" spans="1:11" ht="15.75" x14ac:dyDescent="0.25">
      <c r="A418" s="74"/>
      <c r="B418" s="74"/>
      <c r="C418" s="87"/>
      <c r="D418" s="86"/>
      <c r="E418" s="86"/>
      <c r="F418" s="86"/>
      <c r="G418" s="86"/>
      <c r="H418" s="86"/>
      <c r="I418" s="86"/>
      <c r="J418" s="74"/>
      <c r="K418" s="280"/>
    </row>
    <row r="419" spans="1:11" ht="15.75" x14ac:dyDescent="0.25">
      <c r="A419" s="74"/>
      <c r="B419" s="74"/>
      <c r="C419" s="87"/>
      <c r="D419" s="86"/>
      <c r="E419" s="86"/>
      <c r="F419" s="86"/>
      <c r="G419" s="86"/>
      <c r="H419" s="86"/>
      <c r="I419" s="86"/>
      <c r="J419" s="74"/>
      <c r="K419" s="280"/>
    </row>
    <row r="420" spans="1:11" ht="15.75" x14ac:dyDescent="0.25">
      <c r="A420" s="74"/>
      <c r="B420" s="74"/>
      <c r="C420" s="87"/>
      <c r="D420" s="86"/>
      <c r="E420" s="86"/>
      <c r="F420" s="86"/>
      <c r="G420" s="86"/>
      <c r="H420" s="86"/>
      <c r="I420" s="86"/>
      <c r="J420" s="74"/>
      <c r="K420" s="280"/>
    </row>
    <row r="421" spans="1:11" ht="15.75" x14ac:dyDescent="0.25">
      <c r="A421" s="74"/>
      <c r="B421" s="74"/>
      <c r="C421" s="87"/>
      <c r="D421" s="86"/>
      <c r="E421" s="86"/>
      <c r="F421" s="86"/>
      <c r="G421" s="86"/>
      <c r="H421" s="86"/>
      <c r="I421" s="86"/>
      <c r="J421" s="74"/>
      <c r="K421" s="280"/>
    </row>
    <row r="422" spans="1:11" ht="15.75" x14ac:dyDescent="0.25">
      <c r="A422" s="74"/>
      <c r="B422" s="74"/>
      <c r="C422" s="87"/>
      <c r="D422" s="86"/>
      <c r="E422" s="86"/>
      <c r="F422" s="86"/>
      <c r="G422" s="86"/>
      <c r="H422" s="86"/>
      <c r="I422" s="86"/>
      <c r="J422" s="74"/>
      <c r="K422" s="280"/>
    </row>
    <row r="423" spans="1:11" ht="15.75" x14ac:dyDescent="0.25">
      <c r="A423" s="74"/>
      <c r="B423" s="74"/>
      <c r="C423" s="87"/>
      <c r="D423" s="86"/>
      <c r="E423" s="86"/>
      <c r="F423" s="86"/>
      <c r="G423" s="86"/>
      <c r="H423" s="86"/>
      <c r="I423" s="86"/>
      <c r="J423" s="74"/>
      <c r="K423" s="280"/>
    </row>
    <row r="424" spans="1:11" ht="15.75" x14ac:dyDescent="0.25">
      <c r="A424" s="74"/>
      <c r="B424" s="74"/>
      <c r="C424" s="87"/>
      <c r="D424" s="86"/>
      <c r="E424" s="86"/>
      <c r="F424" s="86"/>
      <c r="G424" s="86"/>
      <c r="H424" s="86"/>
      <c r="I424" s="86"/>
      <c r="J424" s="74"/>
      <c r="K424" s="280"/>
    </row>
    <row r="425" spans="1:11" ht="15.75" x14ac:dyDescent="0.25">
      <c r="A425" s="74"/>
      <c r="B425" s="74"/>
      <c r="C425" s="87"/>
      <c r="D425" s="86"/>
      <c r="E425" s="86"/>
      <c r="F425" s="86"/>
      <c r="G425" s="86"/>
      <c r="H425" s="86"/>
      <c r="I425" s="86"/>
      <c r="J425" s="74"/>
      <c r="K425" s="280"/>
    </row>
    <row r="426" spans="1:11" ht="15.75" x14ac:dyDescent="0.25">
      <c r="A426" s="74"/>
      <c r="B426" s="74"/>
      <c r="C426" s="87"/>
      <c r="D426" s="86"/>
      <c r="E426" s="86"/>
      <c r="F426" s="86"/>
      <c r="G426" s="86"/>
      <c r="H426" s="86"/>
      <c r="I426" s="86"/>
      <c r="J426" s="74"/>
      <c r="K426" s="280"/>
    </row>
    <row r="427" spans="1:11" ht="15.75" x14ac:dyDescent="0.25">
      <c r="A427" s="74"/>
      <c r="B427" s="74"/>
      <c r="C427" s="87"/>
      <c r="D427" s="86"/>
      <c r="E427" s="86"/>
      <c r="F427" s="86"/>
      <c r="G427" s="86"/>
      <c r="H427" s="86"/>
      <c r="I427" s="86"/>
      <c r="J427" s="74"/>
      <c r="K427" s="280"/>
    </row>
    <row r="428" spans="1:11" ht="15.75" x14ac:dyDescent="0.25">
      <c r="A428" s="74"/>
      <c r="B428" s="74"/>
      <c r="C428" s="87"/>
      <c r="D428" s="86"/>
      <c r="E428" s="86"/>
      <c r="F428" s="86"/>
      <c r="G428" s="86"/>
      <c r="H428" s="86"/>
      <c r="I428" s="86"/>
      <c r="J428" s="74"/>
      <c r="K428" s="280"/>
    </row>
    <row r="429" spans="1:11" ht="15.75" x14ac:dyDescent="0.25">
      <c r="A429" s="74"/>
      <c r="B429" s="74"/>
      <c r="C429" s="87"/>
      <c r="D429" s="86"/>
      <c r="E429" s="86"/>
      <c r="F429" s="86"/>
      <c r="G429" s="86"/>
      <c r="H429" s="86"/>
      <c r="I429" s="86"/>
      <c r="J429" s="74"/>
      <c r="K429" s="280"/>
    </row>
    <row r="430" spans="1:11" ht="15.75" x14ac:dyDescent="0.25">
      <c r="A430" s="74"/>
      <c r="B430" s="74"/>
      <c r="C430" s="87"/>
      <c r="D430" s="86"/>
      <c r="E430" s="86"/>
      <c r="F430" s="86"/>
      <c r="G430" s="86"/>
      <c r="H430" s="86"/>
      <c r="I430" s="86"/>
      <c r="J430" s="74"/>
      <c r="K430" s="280"/>
    </row>
    <row r="431" spans="1:11" ht="15.75" x14ac:dyDescent="0.25">
      <c r="A431" s="74"/>
      <c r="B431" s="74"/>
      <c r="C431" s="87"/>
      <c r="D431" s="86"/>
      <c r="E431" s="86"/>
      <c r="F431" s="86"/>
      <c r="G431" s="86"/>
      <c r="H431" s="86"/>
      <c r="I431" s="86"/>
      <c r="J431" s="74"/>
      <c r="K431" s="280"/>
    </row>
    <row r="432" spans="1:11" ht="15.75" x14ac:dyDescent="0.25">
      <c r="A432" s="74"/>
      <c r="B432" s="74"/>
      <c r="C432" s="87"/>
      <c r="D432" s="86"/>
      <c r="E432" s="86"/>
      <c r="F432" s="86"/>
      <c r="G432" s="86"/>
      <c r="H432" s="86"/>
      <c r="I432" s="86"/>
      <c r="J432" s="74"/>
      <c r="K432" s="280"/>
    </row>
    <row r="433" spans="1:11" ht="15.75" x14ac:dyDescent="0.25">
      <c r="A433" s="74"/>
      <c r="B433" s="74"/>
      <c r="C433" s="87"/>
      <c r="D433" s="86"/>
      <c r="E433" s="86"/>
      <c r="F433" s="86"/>
      <c r="G433" s="86"/>
      <c r="H433" s="86"/>
      <c r="I433" s="86"/>
      <c r="J433" s="74"/>
      <c r="K433" s="280"/>
    </row>
    <row r="434" spans="1:11" ht="15.75" x14ac:dyDescent="0.25">
      <c r="A434" s="74"/>
      <c r="B434" s="74"/>
      <c r="C434" s="87"/>
      <c r="D434" s="86"/>
      <c r="E434" s="86"/>
      <c r="F434" s="86"/>
      <c r="G434" s="86"/>
      <c r="H434" s="86"/>
      <c r="I434" s="86"/>
      <c r="J434" s="74"/>
      <c r="K434" s="280"/>
    </row>
    <row r="435" spans="1:11" ht="15.75" x14ac:dyDescent="0.25">
      <c r="A435" s="74"/>
      <c r="B435" s="74"/>
      <c r="C435" s="87"/>
      <c r="D435" s="86"/>
      <c r="E435" s="86"/>
      <c r="F435" s="86"/>
      <c r="G435" s="86"/>
      <c r="H435" s="86"/>
      <c r="I435" s="86"/>
      <c r="J435" s="74"/>
      <c r="K435" s="280"/>
    </row>
    <row r="436" spans="1:11" ht="15.75" x14ac:dyDescent="0.25">
      <c r="A436" s="74"/>
      <c r="B436" s="74"/>
      <c r="C436" s="87"/>
      <c r="D436" s="86"/>
      <c r="E436" s="86"/>
      <c r="F436" s="86"/>
      <c r="G436" s="86"/>
      <c r="H436" s="86"/>
      <c r="I436" s="86"/>
      <c r="J436" s="74"/>
      <c r="K436" s="280"/>
    </row>
    <row r="437" spans="1:11" ht="15.75" x14ac:dyDescent="0.25">
      <c r="A437" s="74"/>
      <c r="B437" s="74"/>
      <c r="C437" s="87"/>
      <c r="D437" s="86"/>
      <c r="E437" s="86"/>
      <c r="F437" s="86"/>
      <c r="G437" s="86"/>
      <c r="H437" s="86"/>
      <c r="I437" s="86"/>
      <c r="J437" s="74"/>
      <c r="K437" s="280"/>
    </row>
    <row r="438" spans="1:11" ht="15.75" x14ac:dyDescent="0.25">
      <c r="A438" s="74"/>
      <c r="B438" s="74"/>
      <c r="C438" s="87"/>
      <c r="D438" s="86"/>
      <c r="E438" s="86"/>
      <c r="F438" s="86"/>
      <c r="G438" s="86"/>
      <c r="H438" s="86"/>
      <c r="I438" s="86"/>
      <c r="J438" s="74"/>
      <c r="K438" s="280"/>
    </row>
    <row r="439" spans="1:11" ht="15.75" x14ac:dyDescent="0.25">
      <c r="A439" s="74"/>
      <c r="B439" s="74"/>
      <c r="C439" s="87"/>
      <c r="D439" s="86"/>
      <c r="E439" s="86"/>
      <c r="F439" s="86"/>
      <c r="G439" s="86"/>
      <c r="H439" s="86"/>
      <c r="I439" s="86"/>
      <c r="J439" s="74"/>
      <c r="K439" s="280"/>
    </row>
    <row r="440" spans="1:11" ht="15.75" x14ac:dyDescent="0.25">
      <c r="A440" s="74"/>
      <c r="B440" s="74"/>
      <c r="C440" s="87"/>
      <c r="D440" s="86"/>
      <c r="E440" s="86"/>
      <c r="F440" s="86"/>
      <c r="G440" s="86"/>
      <c r="H440" s="86"/>
      <c r="I440" s="86"/>
      <c r="J440" s="74"/>
      <c r="K440" s="280"/>
    </row>
    <row r="441" spans="1:11" ht="15.75" x14ac:dyDescent="0.25">
      <c r="A441" s="74"/>
      <c r="B441" s="74"/>
      <c r="C441" s="87"/>
      <c r="D441" s="86"/>
      <c r="E441" s="86"/>
      <c r="F441" s="86"/>
      <c r="G441" s="86"/>
      <c r="H441" s="86"/>
      <c r="I441" s="86"/>
      <c r="J441" s="74"/>
      <c r="K441" s="280"/>
    </row>
    <row r="442" spans="1:11" ht="15.75" x14ac:dyDescent="0.25">
      <c r="A442" s="74"/>
      <c r="B442" s="74"/>
      <c r="C442" s="87"/>
      <c r="D442" s="86"/>
      <c r="E442" s="86"/>
      <c r="F442" s="86"/>
      <c r="G442" s="86"/>
      <c r="H442" s="86"/>
      <c r="I442" s="86"/>
      <c r="J442" s="74"/>
      <c r="K442" s="280"/>
    </row>
    <row r="443" spans="1:11" ht="15.75" x14ac:dyDescent="0.25">
      <c r="A443" s="74"/>
      <c r="B443" s="74"/>
      <c r="C443" s="87"/>
      <c r="D443" s="86"/>
      <c r="E443" s="86"/>
      <c r="F443" s="86"/>
      <c r="G443" s="86"/>
      <c r="H443" s="86"/>
      <c r="I443" s="86"/>
      <c r="J443" s="74"/>
      <c r="K443" s="280"/>
    </row>
    <row r="444" spans="1:11" ht="15.75" x14ac:dyDescent="0.25">
      <c r="A444" s="74"/>
      <c r="B444" s="74"/>
      <c r="C444" s="87"/>
      <c r="D444" s="86"/>
      <c r="E444" s="86"/>
      <c r="F444" s="86"/>
      <c r="G444" s="86"/>
      <c r="H444" s="86"/>
      <c r="I444" s="86"/>
      <c r="J444" s="74"/>
      <c r="K444" s="280"/>
    </row>
    <row r="445" spans="1:11" ht="15.75" x14ac:dyDescent="0.25">
      <c r="A445" s="74"/>
      <c r="B445" s="74"/>
      <c r="C445" s="87"/>
      <c r="D445" s="86"/>
      <c r="E445" s="86"/>
      <c r="F445" s="86"/>
      <c r="G445" s="86"/>
      <c r="H445" s="86"/>
      <c r="I445" s="86"/>
      <c r="J445" s="74"/>
      <c r="K445" s="280"/>
    </row>
    <row r="446" spans="1:11" ht="15.75" x14ac:dyDescent="0.25">
      <c r="A446" s="74"/>
      <c r="B446" s="74"/>
      <c r="C446" s="87"/>
      <c r="D446" s="86"/>
      <c r="E446" s="86"/>
      <c r="F446" s="86"/>
      <c r="G446" s="86"/>
      <c r="H446" s="86"/>
      <c r="I446" s="86"/>
      <c r="J446" s="74"/>
      <c r="K446" s="280"/>
    </row>
    <row r="447" spans="1:11" ht="15.75" x14ac:dyDescent="0.25">
      <c r="A447" s="74"/>
      <c r="B447" s="74"/>
      <c r="C447" s="87"/>
      <c r="D447" s="86"/>
      <c r="E447" s="86"/>
      <c r="F447" s="86"/>
      <c r="G447" s="86"/>
      <c r="H447" s="86"/>
      <c r="I447" s="86"/>
      <c r="J447" s="74"/>
      <c r="K447" s="280"/>
    </row>
    <row r="448" spans="1:11" ht="15.75" x14ac:dyDescent="0.25">
      <c r="A448" s="74"/>
      <c r="B448" s="74"/>
      <c r="C448" s="87"/>
      <c r="D448" s="86"/>
      <c r="E448" s="86"/>
      <c r="F448" s="86"/>
      <c r="G448" s="86"/>
      <c r="H448" s="86"/>
      <c r="I448" s="86"/>
      <c r="J448" s="74"/>
      <c r="K448" s="280"/>
    </row>
    <row r="449" spans="1:11" ht="15.75" x14ac:dyDescent="0.25">
      <c r="A449" s="74"/>
      <c r="B449" s="74"/>
      <c r="C449" s="87"/>
      <c r="D449" s="86"/>
      <c r="E449" s="86"/>
      <c r="F449" s="86"/>
      <c r="G449" s="86"/>
      <c r="H449" s="86"/>
      <c r="I449" s="86"/>
      <c r="J449" s="74"/>
      <c r="K449" s="280"/>
    </row>
    <row r="450" spans="1:11" ht="15.75" x14ac:dyDescent="0.25">
      <c r="A450" s="74"/>
      <c r="B450" s="74"/>
      <c r="C450" s="87"/>
      <c r="D450" s="86"/>
      <c r="E450" s="86"/>
      <c r="F450" s="86"/>
      <c r="G450" s="86"/>
      <c r="H450" s="86"/>
      <c r="I450" s="86"/>
      <c r="J450" s="74"/>
      <c r="K450" s="280"/>
    </row>
    <row r="451" spans="1:11" ht="15.75" x14ac:dyDescent="0.25">
      <c r="A451" s="74"/>
      <c r="B451" s="74"/>
      <c r="C451" s="87"/>
      <c r="D451" s="86"/>
      <c r="E451" s="86"/>
      <c r="F451" s="86"/>
      <c r="G451" s="86"/>
      <c r="H451" s="86"/>
      <c r="I451" s="86"/>
      <c r="J451" s="74"/>
      <c r="K451" s="280"/>
    </row>
    <row r="452" spans="1:11" ht="15.75" x14ac:dyDescent="0.25">
      <c r="A452" s="74"/>
      <c r="B452" s="74"/>
      <c r="C452" s="87"/>
      <c r="D452" s="86"/>
      <c r="E452" s="86"/>
      <c r="F452" s="86"/>
      <c r="G452" s="86"/>
      <c r="H452" s="86"/>
      <c r="I452" s="86"/>
      <c r="J452" s="74"/>
      <c r="K452" s="280"/>
    </row>
    <row r="453" spans="1:11" ht="15.75" x14ac:dyDescent="0.25">
      <c r="A453" s="74"/>
      <c r="B453" s="74"/>
      <c r="C453" s="87"/>
      <c r="D453" s="86"/>
      <c r="E453" s="86"/>
      <c r="F453" s="86"/>
      <c r="G453" s="86"/>
      <c r="H453" s="86"/>
      <c r="I453" s="86"/>
      <c r="J453" s="74"/>
      <c r="K453" s="280"/>
    </row>
    <row r="454" spans="1:11" ht="15.75" x14ac:dyDescent="0.25">
      <c r="A454" s="74"/>
      <c r="B454" s="74"/>
      <c r="C454" s="87"/>
      <c r="D454" s="86"/>
      <c r="E454" s="86"/>
      <c r="F454" s="86"/>
      <c r="G454" s="86"/>
      <c r="H454" s="86"/>
      <c r="I454" s="86"/>
      <c r="J454" s="74"/>
      <c r="K454" s="280"/>
    </row>
    <row r="455" spans="1:11" ht="15.75" x14ac:dyDescent="0.25">
      <c r="A455" s="74"/>
      <c r="B455" s="74"/>
      <c r="C455" s="87"/>
      <c r="D455" s="86"/>
      <c r="E455" s="86"/>
      <c r="F455" s="86"/>
      <c r="G455" s="86"/>
      <c r="H455" s="86"/>
      <c r="I455" s="86"/>
      <c r="J455" s="74"/>
      <c r="K455" s="280"/>
    </row>
    <row r="456" spans="1:11" ht="15.75" x14ac:dyDescent="0.25">
      <c r="A456" s="74"/>
      <c r="B456" s="74"/>
      <c r="C456" s="87"/>
      <c r="D456" s="86"/>
      <c r="E456" s="86"/>
      <c r="F456" s="86"/>
      <c r="G456" s="86"/>
      <c r="H456" s="86"/>
      <c r="I456" s="86"/>
      <c r="J456" s="74"/>
      <c r="K456" s="280"/>
    </row>
    <row r="457" spans="1:11" ht="15.75" x14ac:dyDescent="0.25">
      <c r="A457" s="74"/>
      <c r="B457" s="74"/>
      <c r="C457" s="87"/>
      <c r="D457" s="86"/>
      <c r="E457" s="86"/>
      <c r="F457" s="86"/>
      <c r="G457" s="86"/>
      <c r="H457" s="86"/>
      <c r="I457" s="86"/>
      <c r="J457" s="74"/>
      <c r="K457" s="280"/>
    </row>
    <row r="458" spans="1:11" ht="15.75" x14ac:dyDescent="0.25">
      <c r="A458" s="74"/>
      <c r="B458" s="74"/>
      <c r="C458" s="87"/>
      <c r="D458" s="86"/>
      <c r="E458" s="86"/>
      <c r="F458" s="86"/>
      <c r="G458" s="86"/>
      <c r="H458" s="86"/>
      <c r="I458" s="86"/>
      <c r="J458" s="74"/>
      <c r="K458" s="280"/>
    </row>
    <row r="459" spans="1:11" ht="15.75" x14ac:dyDescent="0.25">
      <c r="A459" s="74"/>
      <c r="B459" s="74"/>
      <c r="C459" s="87"/>
      <c r="D459" s="86"/>
      <c r="E459" s="86"/>
      <c r="F459" s="86"/>
      <c r="G459" s="86"/>
      <c r="H459" s="86"/>
      <c r="I459" s="86"/>
      <c r="J459" s="74"/>
      <c r="K459" s="280"/>
    </row>
    <row r="460" spans="1:11" ht="15.75" x14ac:dyDescent="0.25">
      <c r="A460" s="74"/>
      <c r="B460" s="74"/>
      <c r="C460" s="87"/>
      <c r="D460" s="86"/>
      <c r="E460" s="86"/>
      <c r="F460" s="86"/>
      <c r="G460" s="86"/>
      <c r="H460" s="86"/>
      <c r="I460" s="86"/>
      <c r="J460" s="74"/>
      <c r="K460" s="280"/>
    </row>
    <row r="461" spans="1:11" ht="15.75" x14ac:dyDescent="0.25">
      <c r="A461" s="74"/>
      <c r="B461" s="74"/>
      <c r="C461" s="87"/>
      <c r="D461" s="86"/>
      <c r="E461" s="86"/>
      <c r="F461" s="86"/>
      <c r="G461" s="86"/>
      <c r="H461" s="86"/>
      <c r="I461" s="86"/>
      <c r="J461" s="74"/>
      <c r="K461" s="280"/>
    </row>
    <row r="462" spans="1:11" ht="15.75" x14ac:dyDescent="0.25">
      <c r="A462" s="74"/>
      <c r="B462" s="74"/>
      <c r="C462" s="87"/>
      <c r="D462" s="86"/>
      <c r="E462" s="86"/>
      <c r="F462" s="86"/>
      <c r="G462" s="86"/>
      <c r="H462" s="86"/>
      <c r="I462" s="86"/>
      <c r="J462" s="74"/>
      <c r="K462" s="280"/>
    </row>
    <row r="463" spans="1:11" ht="15.75" x14ac:dyDescent="0.25">
      <c r="A463" s="74"/>
      <c r="B463" s="74"/>
      <c r="C463" s="87"/>
      <c r="D463" s="86"/>
      <c r="E463" s="86"/>
      <c r="F463" s="86"/>
      <c r="G463" s="86"/>
      <c r="H463" s="86"/>
      <c r="I463" s="86"/>
      <c r="J463" s="74"/>
      <c r="K463" s="280"/>
    </row>
    <row r="464" spans="1:11" ht="15.75" x14ac:dyDescent="0.25">
      <c r="A464" s="74"/>
      <c r="B464" s="74"/>
      <c r="C464" s="87"/>
      <c r="D464" s="86"/>
      <c r="E464" s="86"/>
      <c r="F464" s="86"/>
      <c r="G464" s="86"/>
      <c r="H464" s="86"/>
      <c r="I464" s="86"/>
      <c r="J464" s="74"/>
      <c r="K464" s="280"/>
    </row>
    <row r="465" spans="1:11" ht="15.75" x14ac:dyDescent="0.25">
      <c r="A465" s="74"/>
      <c r="B465" s="74"/>
      <c r="C465" s="87"/>
      <c r="D465" s="86"/>
      <c r="E465" s="86"/>
      <c r="F465" s="86"/>
      <c r="G465" s="86"/>
      <c r="H465" s="86"/>
      <c r="I465" s="86"/>
      <c r="J465" s="74"/>
      <c r="K465" s="280"/>
    </row>
    <row r="466" spans="1:11" ht="15.75" x14ac:dyDescent="0.25">
      <c r="A466" s="74"/>
      <c r="B466" s="74"/>
      <c r="C466" s="87"/>
      <c r="D466" s="86"/>
      <c r="E466" s="86"/>
      <c r="F466" s="86"/>
      <c r="G466" s="86"/>
      <c r="H466" s="86"/>
      <c r="I466" s="86"/>
      <c r="J466" s="74"/>
      <c r="K466" s="280"/>
    </row>
    <row r="467" spans="1:11" ht="15.75" x14ac:dyDescent="0.25">
      <c r="A467" s="74"/>
      <c r="B467" s="74"/>
      <c r="C467" s="87"/>
      <c r="D467" s="86"/>
      <c r="E467" s="86"/>
      <c r="F467" s="86"/>
      <c r="G467" s="86"/>
      <c r="H467" s="86"/>
      <c r="I467" s="86"/>
      <c r="J467" s="74"/>
      <c r="K467" s="280"/>
    </row>
    <row r="468" spans="1:11" ht="15.75" x14ac:dyDescent="0.25">
      <c r="A468" s="74"/>
      <c r="B468" s="74"/>
      <c r="C468" s="87"/>
      <c r="D468" s="86"/>
      <c r="E468" s="86"/>
      <c r="F468" s="86"/>
      <c r="G468" s="86"/>
      <c r="H468" s="86"/>
      <c r="I468" s="86"/>
      <c r="J468" s="74"/>
      <c r="K468" s="280"/>
    </row>
    <row r="469" spans="1:11" ht="15.75" x14ac:dyDescent="0.25">
      <c r="A469" s="74"/>
      <c r="B469" s="74"/>
      <c r="C469" s="87"/>
      <c r="D469" s="86"/>
      <c r="E469" s="86"/>
      <c r="F469" s="86"/>
      <c r="G469" s="86"/>
      <c r="H469" s="86"/>
      <c r="I469" s="86"/>
      <c r="J469" s="74"/>
      <c r="K469" s="280"/>
    </row>
    <row r="470" spans="1:11" ht="15.75" x14ac:dyDescent="0.25">
      <c r="A470" s="74"/>
      <c r="B470" s="74"/>
      <c r="C470" s="87"/>
      <c r="D470" s="86"/>
      <c r="E470" s="86"/>
      <c r="F470" s="86"/>
      <c r="G470" s="86"/>
      <c r="H470" s="86"/>
      <c r="I470" s="86"/>
      <c r="J470" s="74"/>
      <c r="K470" s="280"/>
    </row>
    <row r="471" spans="1:11" ht="15.75" x14ac:dyDescent="0.25">
      <c r="A471" s="74"/>
      <c r="B471" s="74"/>
      <c r="C471" s="87"/>
      <c r="D471" s="86"/>
      <c r="E471" s="86"/>
      <c r="F471" s="86"/>
      <c r="G471" s="86"/>
      <c r="H471" s="86"/>
      <c r="I471" s="86"/>
      <c r="J471" s="74"/>
      <c r="K471" s="280"/>
    </row>
    <row r="472" spans="1:11" ht="15.75" x14ac:dyDescent="0.25">
      <c r="A472" s="74"/>
      <c r="B472" s="74"/>
      <c r="C472" s="87"/>
      <c r="D472" s="86"/>
      <c r="E472" s="86"/>
      <c r="F472" s="86"/>
      <c r="G472" s="86"/>
      <c r="H472" s="86"/>
      <c r="I472" s="86"/>
      <c r="J472" s="74"/>
      <c r="K472" s="280"/>
    </row>
    <row r="473" spans="1:11" ht="15.75" x14ac:dyDescent="0.25">
      <c r="A473" s="74"/>
      <c r="B473" s="74"/>
      <c r="C473" s="87"/>
      <c r="D473" s="86"/>
      <c r="E473" s="86"/>
      <c r="F473" s="86"/>
      <c r="G473" s="86"/>
      <c r="H473" s="86"/>
      <c r="I473" s="86"/>
      <c r="J473" s="74"/>
      <c r="K473" s="280"/>
    </row>
    <row r="474" spans="1:11" ht="15.75" x14ac:dyDescent="0.25">
      <c r="A474" s="74"/>
      <c r="B474" s="74"/>
      <c r="C474" s="87"/>
      <c r="D474" s="86"/>
      <c r="E474" s="86"/>
      <c r="F474" s="86"/>
      <c r="G474" s="86"/>
      <c r="H474" s="86"/>
      <c r="I474" s="86"/>
      <c r="J474" s="74"/>
      <c r="K474" s="280"/>
    </row>
    <row r="475" spans="1:11" ht="15.75" x14ac:dyDescent="0.25">
      <c r="A475" s="74"/>
      <c r="B475" s="74"/>
      <c r="C475" s="87"/>
      <c r="D475" s="86"/>
      <c r="E475" s="86"/>
      <c r="F475" s="86"/>
      <c r="G475" s="86"/>
      <c r="H475" s="86"/>
      <c r="I475" s="86"/>
      <c r="J475" s="74"/>
      <c r="K475" s="280"/>
    </row>
    <row r="476" spans="1:11" ht="15.75" x14ac:dyDescent="0.25">
      <c r="A476" s="74"/>
      <c r="B476" s="74"/>
      <c r="C476" s="87"/>
      <c r="D476" s="86"/>
      <c r="E476" s="86"/>
      <c r="F476" s="86"/>
      <c r="G476" s="86"/>
      <c r="H476" s="86"/>
      <c r="I476" s="86"/>
      <c r="J476" s="74"/>
      <c r="K476" s="280"/>
    </row>
    <row r="477" spans="1:11" ht="15.75" x14ac:dyDescent="0.25">
      <c r="A477" s="74"/>
      <c r="B477" s="74"/>
      <c r="C477" s="87"/>
      <c r="D477" s="86"/>
      <c r="E477" s="86"/>
      <c r="F477" s="86"/>
      <c r="G477" s="86"/>
      <c r="H477" s="86"/>
      <c r="I477" s="86"/>
      <c r="J477" s="74"/>
      <c r="K477" s="280"/>
    </row>
    <row r="478" spans="1:11" ht="15.75" x14ac:dyDescent="0.25">
      <c r="A478" s="74"/>
      <c r="B478" s="74"/>
      <c r="C478" s="87"/>
      <c r="D478" s="86"/>
      <c r="E478" s="86"/>
      <c r="F478" s="86"/>
      <c r="G478" s="86"/>
      <c r="H478" s="86"/>
      <c r="I478" s="86"/>
      <c r="J478" s="74"/>
      <c r="K478" s="280"/>
    </row>
    <row r="479" spans="1:11" ht="15.75" x14ac:dyDescent="0.25">
      <c r="A479" s="74"/>
      <c r="B479" s="74"/>
      <c r="C479" s="87"/>
      <c r="D479" s="86"/>
      <c r="E479" s="86"/>
      <c r="F479" s="86"/>
      <c r="G479" s="86"/>
      <c r="H479" s="86"/>
      <c r="I479" s="86"/>
      <c r="J479" s="74"/>
      <c r="K479" s="280"/>
    </row>
    <row r="480" spans="1:11" ht="15.75" x14ac:dyDescent="0.25">
      <c r="A480" s="74"/>
      <c r="B480" s="74"/>
      <c r="C480" s="87"/>
      <c r="D480" s="86"/>
      <c r="E480" s="86"/>
      <c r="F480" s="86"/>
      <c r="G480" s="86"/>
      <c r="H480" s="86"/>
      <c r="I480" s="86"/>
      <c r="J480" s="74"/>
      <c r="K480" s="280"/>
    </row>
    <row r="481" spans="1:11" ht="15.75" x14ac:dyDescent="0.25">
      <c r="A481" s="74"/>
      <c r="B481" s="74"/>
      <c r="C481" s="87"/>
      <c r="D481" s="86"/>
      <c r="E481" s="86"/>
      <c r="F481" s="86"/>
      <c r="G481" s="86"/>
      <c r="H481" s="86"/>
      <c r="I481" s="86"/>
      <c r="J481" s="74"/>
      <c r="K481" s="280"/>
    </row>
    <row r="482" spans="1:11" ht="15.75" x14ac:dyDescent="0.25">
      <c r="A482" s="74"/>
      <c r="B482" s="74"/>
      <c r="C482" s="87"/>
      <c r="D482" s="86"/>
      <c r="E482" s="86"/>
      <c r="F482" s="86"/>
      <c r="G482" s="86"/>
      <c r="H482" s="86"/>
      <c r="I482" s="86"/>
      <c r="J482" s="74"/>
      <c r="K482" s="280"/>
    </row>
    <row r="483" spans="1:11" ht="15.75" x14ac:dyDescent="0.25">
      <c r="A483" s="74"/>
      <c r="B483" s="74"/>
      <c r="C483" s="87"/>
      <c r="D483" s="86"/>
      <c r="E483" s="86"/>
      <c r="F483" s="86"/>
      <c r="G483" s="86"/>
      <c r="H483" s="86"/>
      <c r="I483" s="86"/>
      <c r="J483" s="74"/>
      <c r="K483" s="280"/>
    </row>
    <row r="484" spans="1:11" ht="15.75" x14ac:dyDescent="0.25">
      <c r="A484" s="74"/>
      <c r="B484" s="74"/>
      <c r="C484" s="87"/>
      <c r="D484" s="86"/>
      <c r="E484" s="86"/>
      <c r="F484" s="86"/>
      <c r="G484" s="86"/>
      <c r="H484" s="86"/>
      <c r="I484" s="86"/>
      <c r="J484" s="74"/>
      <c r="K484" s="280"/>
    </row>
    <row r="485" spans="1:11" ht="15.75" x14ac:dyDescent="0.25">
      <c r="A485" s="74"/>
      <c r="B485" s="74"/>
      <c r="C485" s="87"/>
      <c r="D485" s="86"/>
      <c r="E485" s="86"/>
      <c r="F485" s="86"/>
      <c r="G485" s="86"/>
      <c r="H485" s="86"/>
      <c r="I485" s="86"/>
      <c r="J485" s="74"/>
      <c r="K485" s="280"/>
    </row>
    <row r="486" spans="1:11" ht="15.75" x14ac:dyDescent="0.25">
      <c r="A486" s="74"/>
      <c r="B486" s="74"/>
      <c r="C486" s="87"/>
      <c r="D486" s="86"/>
      <c r="E486" s="86"/>
      <c r="F486" s="86"/>
      <c r="G486" s="86"/>
      <c r="H486" s="86"/>
      <c r="I486" s="86"/>
      <c r="J486" s="74"/>
      <c r="K486" s="280"/>
    </row>
    <row r="487" spans="1:11" ht="15.75" x14ac:dyDescent="0.25">
      <c r="A487" s="74"/>
      <c r="B487" s="74"/>
      <c r="C487" s="87"/>
      <c r="D487" s="86"/>
      <c r="E487" s="86"/>
      <c r="F487" s="86"/>
      <c r="G487" s="86"/>
      <c r="H487" s="86"/>
      <c r="I487" s="86"/>
      <c r="J487" s="74"/>
      <c r="K487" s="280"/>
    </row>
    <row r="488" spans="1:11" ht="15.75" x14ac:dyDescent="0.25">
      <c r="A488" s="74"/>
      <c r="B488" s="74"/>
      <c r="C488" s="87"/>
      <c r="D488" s="86"/>
      <c r="E488" s="86"/>
      <c r="F488" s="86"/>
      <c r="G488" s="86"/>
      <c r="H488" s="86"/>
      <c r="I488" s="86"/>
      <c r="J488" s="74"/>
      <c r="K488" s="280"/>
    </row>
    <row r="489" spans="1:11" ht="15.75" x14ac:dyDescent="0.25">
      <c r="A489" s="74"/>
      <c r="B489" s="74"/>
      <c r="C489" s="87"/>
      <c r="D489" s="86"/>
      <c r="E489" s="86"/>
      <c r="F489" s="86"/>
      <c r="G489" s="86"/>
      <c r="H489" s="86"/>
      <c r="I489" s="86"/>
      <c r="J489" s="74"/>
      <c r="K489" s="280"/>
    </row>
    <row r="490" spans="1:11" ht="15.75" x14ac:dyDescent="0.25">
      <c r="A490" s="74"/>
      <c r="B490" s="74"/>
      <c r="C490" s="87"/>
      <c r="D490" s="86"/>
      <c r="E490" s="86"/>
      <c r="F490" s="86"/>
      <c r="G490" s="86"/>
      <c r="H490" s="86"/>
      <c r="I490" s="86"/>
      <c r="J490" s="74"/>
      <c r="K490" s="280"/>
    </row>
    <row r="491" spans="1:11" ht="15.75" x14ac:dyDescent="0.25">
      <c r="A491" s="74"/>
      <c r="B491" s="74"/>
      <c r="C491" s="87"/>
      <c r="D491" s="86"/>
      <c r="E491" s="86"/>
      <c r="F491" s="86"/>
      <c r="G491" s="86"/>
      <c r="H491" s="86"/>
      <c r="I491" s="86"/>
      <c r="J491" s="74"/>
      <c r="K491" s="280"/>
    </row>
    <row r="492" spans="1:11" ht="15.75" x14ac:dyDescent="0.25">
      <c r="A492" s="74"/>
      <c r="B492" s="74"/>
      <c r="C492" s="87"/>
      <c r="D492" s="86"/>
      <c r="E492" s="86"/>
      <c r="F492" s="86"/>
      <c r="G492" s="86"/>
      <c r="H492" s="86"/>
      <c r="I492" s="86"/>
      <c r="J492" s="74"/>
      <c r="K492" s="280"/>
    </row>
    <row r="493" spans="1:11" ht="15.75" x14ac:dyDescent="0.25">
      <c r="A493" s="74"/>
      <c r="B493" s="74"/>
      <c r="C493" s="87"/>
      <c r="D493" s="86"/>
      <c r="E493" s="86"/>
      <c r="F493" s="86"/>
      <c r="G493" s="86"/>
      <c r="H493" s="86"/>
      <c r="I493" s="86"/>
      <c r="J493" s="74"/>
      <c r="K493" s="280"/>
    </row>
    <row r="494" spans="1:11" ht="15.75" x14ac:dyDescent="0.25">
      <c r="A494" s="74"/>
      <c r="B494" s="74"/>
      <c r="C494" s="87"/>
      <c r="D494" s="86"/>
      <c r="E494" s="86"/>
      <c r="F494" s="86"/>
      <c r="G494" s="86"/>
      <c r="H494" s="86"/>
      <c r="I494" s="86"/>
      <c r="J494" s="74"/>
      <c r="K494" s="280"/>
    </row>
    <row r="495" spans="1:11" ht="15.75" x14ac:dyDescent="0.25">
      <c r="A495" s="74"/>
      <c r="B495" s="74"/>
      <c r="C495" s="87"/>
      <c r="D495" s="86"/>
      <c r="E495" s="86"/>
      <c r="F495" s="86"/>
      <c r="G495" s="86"/>
      <c r="H495" s="86"/>
      <c r="I495" s="86"/>
      <c r="J495" s="74"/>
      <c r="K495" s="280"/>
    </row>
    <row r="496" spans="1:11" ht="15.75" x14ac:dyDescent="0.25">
      <c r="A496" s="74"/>
      <c r="B496" s="74"/>
      <c r="C496" s="87"/>
      <c r="D496" s="86"/>
      <c r="E496" s="86"/>
      <c r="F496" s="86"/>
      <c r="G496" s="86"/>
      <c r="H496" s="86"/>
      <c r="I496" s="86"/>
      <c r="J496" s="74"/>
      <c r="K496" s="280"/>
    </row>
    <row r="497" spans="1:11" ht="15.75" x14ac:dyDescent="0.25">
      <c r="A497" s="74"/>
      <c r="B497" s="74"/>
      <c r="C497" s="87"/>
      <c r="D497" s="86"/>
      <c r="E497" s="86"/>
      <c r="F497" s="86"/>
      <c r="G497" s="86"/>
      <c r="H497" s="86"/>
      <c r="I497" s="86"/>
      <c r="J497" s="74"/>
      <c r="K497" s="280"/>
    </row>
    <row r="498" spans="1:11" ht="15.75" x14ac:dyDescent="0.25">
      <c r="A498" s="74"/>
      <c r="B498" s="74"/>
      <c r="C498" s="87"/>
      <c r="D498" s="86"/>
      <c r="E498" s="86"/>
      <c r="F498" s="86"/>
      <c r="G498" s="86"/>
      <c r="H498" s="86"/>
      <c r="I498" s="86"/>
      <c r="J498" s="74"/>
      <c r="K498" s="280"/>
    </row>
    <row r="499" spans="1:11" ht="15.75" x14ac:dyDescent="0.25">
      <c r="A499" s="74"/>
      <c r="B499" s="74"/>
      <c r="C499" s="87"/>
      <c r="D499" s="86"/>
      <c r="E499" s="86"/>
      <c r="F499" s="86"/>
      <c r="G499" s="86"/>
      <c r="H499" s="86"/>
      <c r="I499" s="86"/>
      <c r="J499" s="74"/>
      <c r="K499" s="280"/>
    </row>
    <row r="500" spans="1:11" ht="15.75" x14ac:dyDescent="0.25">
      <c r="A500" s="74"/>
      <c r="B500" s="74"/>
      <c r="C500" s="87"/>
      <c r="D500" s="86"/>
      <c r="E500" s="86"/>
      <c r="F500" s="86"/>
      <c r="G500" s="86"/>
      <c r="H500" s="86"/>
      <c r="I500" s="86"/>
      <c r="J500" s="74"/>
      <c r="K500" s="280"/>
    </row>
    <row r="501" spans="1:11" ht="15.75" x14ac:dyDescent="0.25">
      <c r="A501" s="74"/>
      <c r="B501" s="74"/>
      <c r="C501" s="87"/>
      <c r="D501" s="86"/>
      <c r="E501" s="86"/>
      <c r="F501" s="86"/>
      <c r="G501" s="86"/>
      <c r="H501" s="86"/>
      <c r="I501" s="86"/>
      <c r="J501" s="74"/>
      <c r="K501" s="280"/>
    </row>
    <row r="502" spans="1:11" ht="15.75" x14ac:dyDescent="0.25">
      <c r="A502" s="74"/>
      <c r="B502" s="74"/>
      <c r="C502" s="87"/>
      <c r="D502" s="86"/>
      <c r="E502" s="86"/>
      <c r="F502" s="86"/>
      <c r="G502" s="86"/>
      <c r="H502" s="86"/>
      <c r="I502" s="86"/>
      <c r="J502" s="74"/>
      <c r="K502" s="280"/>
    </row>
    <row r="503" spans="1:11" ht="15.75" x14ac:dyDescent="0.25">
      <c r="A503" s="74"/>
      <c r="B503" s="74"/>
      <c r="C503" s="87"/>
      <c r="D503" s="86"/>
      <c r="E503" s="86"/>
      <c r="F503" s="86"/>
      <c r="G503" s="86"/>
      <c r="H503" s="86"/>
      <c r="I503" s="86"/>
      <c r="J503" s="74"/>
      <c r="K503" s="280"/>
    </row>
    <row r="504" spans="1:11" ht="15.75" x14ac:dyDescent="0.25">
      <c r="A504" s="74"/>
      <c r="B504" s="74"/>
      <c r="C504" s="87"/>
      <c r="D504" s="86"/>
      <c r="E504" s="86"/>
      <c r="F504" s="86"/>
      <c r="G504" s="86"/>
      <c r="H504" s="86"/>
      <c r="I504" s="86"/>
      <c r="J504" s="74"/>
      <c r="K504" s="280"/>
    </row>
    <row r="505" spans="1:11" ht="15.75" x14ac:dyDescent="0.25">
      <c r="A505" s="74"/>
      <c r="B505" s="74"/>
      <c r="C505" s="87"/>
      <c r="D505" s="86"/>
      <c r="E505" s="86"/>
      <c r="F505" s="86"/>
      <c r="G505" s="86"/>
      <c r="H505" s="86"/>
      <c r="I505" s="86"/>
      <c r="J505" s="74"/>
      <c r="K505" s="280"/>
    </row>
    <row r="506" spans="1:11" ht="15.75" x14ac:dyDescent="0.25">
      <c r="A506" s="74"/>
      <c r="B506" s="74"/>
      <c r="C506" s="87"/>
      <c r="D506" s="86"/>
      <c r="E506" s="86"/>
      <c r="F506" s="86"/>
      <c r="G506" s="86"/>
      <c r="H506" s="86"/>
      <c r="I506" s="86"/>
      <c r="J506" s="74"/>
      <c r="K506" s="280"/>
    </row>
    <row r="507" spans="1:11" ht="15.75" x14ac:dyDescent="0.25">
      <c r="A507" s="74"/>
      <c r="B507" s="74"/>
      <c r="C507" s="87"/>
      <c r="D507" s="86"/>
      <c r="E507" s="86"/>
      <c r="F507" s="86"/>
      <c r="G507" s="86"/>
      <c r="H507" s="86"/>
      <c r="I507" s="86"/>
      <c r="J507" s="74"/>
      <c r="K507" s="280"/>
    </row>
    <row r="508" spans="1:11" ht="15.75" x14ac:dyDescent="0.25">
      <c r="A508" s="74"/>
      <c r="B508" s="74"/>
      <c r="C508" s="87"/>
      <c r="D508" s="86"/>
      <c r="E508" s="86"/>
      <c r="F508" s="86"/>
      <c r="G508" s="86"/>
      <c r="H508" s="86"/>
      <c r="I508" s="86"/>
      <c r="J508" s="74"/>
      <c r="K508" s="280"/>
    </row>
    <row r="509" spans="1:11" ht="15.75" x14ac:dyDescent="0.25">
      <c r="A509" s="74"/>
      <c r="B509" s="74"/>
      <c r="C509" s="87"/>
      <c r="D509" s="86"/>
      <c r="E509" s="86"/>
      <c r="F509" s="86"/>
      <c r="G509" s="86"/>
      <c r="H509" s="86"/>
      <c r="I509" s="86"/>
      <c r="J509" s="74"/>
      <c r="K509" s="280"/>
    </row>
    <row r="510" spans="1:11" ht="15.75" x14ac:dyDescent="0.25">
      <c r="A510" s="74"/>
      <c r="B510" s="74"/>
      <c r="C510" s="87"/>
      <c r="D510" s="86"/>
      <c r="E510" s="86"/>
      <c r="F510" s="86"/>
      <c r="G510" s="86"/>
      <c r="H510" s="86"/>
      <c r="I510" s="86"/>
      <c r="J510" s="74"/>
      <c r="K510" s="280"/>
    </row>
    <row r="511" spans="1:11" ht="15.75" x14ac:dyDescent="0.25">
      <c r="A511" s="74"/>
      <c r="B511" s="74"/>
      <c r="C511" s="87"/>
      <c r="D511" s="86"/>
      <c r="E511" s="86"/>
      <c r="F511" s="86"/>
      <c r="G511" s="86"/>
      <c r="H511" s="86"/>
      <c r="I511" s="86"/>
      <c r="J511" s="74"/>
      <c r="K511" s="280"/>
    </row>
    <row r="512" spans="1:11" ht="15.75" x14ac:dyDescent="0.25">
      <c r="A512" s="74"/>
      <c r="B512" s="74"/>
      <c r="C512" s="87"/>
      <c r="D512" s="86"/>
      <c r="E512" s="86"/>
      <c r="F512" s="86"/>
      <c r="G512" s="86"/>
      <c r="H512" s="86"/>
      <c r="I512" s="86"/>
      <c r="J512" s="74"/>
      <c r="K512" s="280"/>
    </row>
    <row r="513" spans="1:11" ht="15.75" x14ac:dyDescent="0.25">
      <c r="A513" s="74"/>
      <c r="B513" s="74"/>
      <c r="C513" s="87"/>
      <c r="D513" s="86"/>
      <c r="E513" s="86"/>
      <c r="F513" s="86"/>
      <c r="G513" s="86"/>
      <c r="H513" s="86"/>
      <c r="I513" s="86"/>
      <c r="J513" s="74"/>
      <c r="K513" s="280"/>
    </row>
    <row r="514" spans="1:11" ht="15.75" x14ac:dyDescent="0.25">
      <c r="A514" s="74"/>
      <c r="B514" s="74"/>
      <c r="C514" s="87"/>
      <c r="D514" s="86"/>
      <c r="E514" s="86"/>
      <c r="F514" s="86"/>
      <c r="G514" s="86"/>
      <c r="H514" s="86"/>
      <c r="I514" s="86"/>
      <c r="J514" s="74"/>
      <c r="K514" s="280"/>
    </row>
    <row r="515" spans="1:11" ht="15.75" x14ac:dyDescent="0.25">
      <c r="A515" s="74"/>
      <c r="B515" s="74"/>
      <c r="C515" s="87"/>
      <c r="D515" s="86"/>
      <c r="E515" s="86"/>
      <c r="F515" s="86"/>
      <c r="G515" s="86"/>
      <c r="H515" s="86"/>
      <c r="I515" s="86"/>
      <c r="J515" s="74"/>
      <c r="K515" s="280"/>
    </row>
    <row r="516" spans="1:11" ht="15.75" x14ac:dyDescent="0.25">
      <c r="A516" s="74"/>
      <c r="B516" s="74"/>
      <c r="C516" s="87"/>
      <c r="D516" s="86"/>
      <c r="E516" s="86"/>
      <c r="F516" s="86"/>
      <c r="G516" s="86"/>
      <c r="H516" s="86"/>
      <c r="I516" s="86"/>
      <c r="J516" s="74"/>
      <c r="K516" s="280"/>
    </row>
    <row r="517" spans="1:11" ht="15.75" x14ac:dyDescent="0.25">
      <c r="A517" s="74"/>
      <c r="B517" s="74"/>
      <c r="C517" s="87"/>
      <c r="D517" s="86"/>
      <c r="E517" s="86"/>
      <c r="F517" s="86"/>
      <c r="G517" s="86"/>
      <c r="H517" s="86"/>
      <c r="I517" s="86"/>
      <c r="J517" s="74"/>
      <c r="K517" s="280"/>
    </row>
    <row r="518" spans="1:11" ht="15.75" x14ac:dyDescent="0.25">
      <c r="A518" s="74"/>
      <c r="B518" s="74"/>
      <c r="C518" s="87"/>
      <c r="D518" s="86"/>
      <c r="E518" s="86"/>
      <c r="F518" s="86"/>
      <c r="G518" s="86"/>
      <c r="H518" s="86"/>
      <c r="I518" s="86"/>
      <c r="J518" s="74"/>
      <c r="K518" s="280"/>
    </row>
    <row r="519" spans="1:11" ht="15.75" x14ac:dyDescent="0.25">
      <c r="A519" s="74"/>
      <c r="B519" s="74"/>
      <c r="C519" s="87"/>
      <c r="D519" s="86"/>
      <c r="E519" s="86"/>
      <c r="F519" s="86"/>
      <c r="G519" s="86"/>
      <c r="H519" s="86"/>
      <c r="I519" s="86"/>
      <c r="J519" s="74"/>
      <c r="K519" s="280"/>
    </row>
    <row r="520" spans="1:11" ht="15.75" x14ac:dyDescent="0.25">
      <c r="A520" s="74"/>
      <c r="B520" s="74"/>
      <c r="C520" s="87"/>
      <c r="D520" s="86"/>
      <c r="E520" s="86"/>
      <c r="F520" s="86"/>
      <c r="G520" s="86"/>
      <c r="H520" s="86"/>
      <c r="I520" s="86"/>
      <c r="J520" s="74"/>
      <c r="K520" s="280"/>
    </row>
    <row r="521" spans="1:11" ht="15.75" x14ac:dyDescent="0.25">
      <c r="A521" s="74"/>
      <c r="B521" s="74"/>
      <c r="C521" s="87"/>
      <c r="D521" s="86"/>
      <c r="E521" s="86"/>
      <c r="F521" s="86"/>
      <c r="G521" s="86"/>
      <c r="H521" s="86"/>
      <c r="I521" s="86"/>
      <c r="J521" s="74"/>
      <c r="K521" s="280"/>
    </row>
    <row r="522" spans="1:11" ht="15.75" x14ac:dyDescent="0.25">
      <c r="A522" s="74"/>
      <c r="B522" s="74"/>
      <c r="C522" s="87"/>
      <c r="D522" s="86"/>
      <c r="E522" s="86"/>
      <c r="F522" s="86"/>
      <c r="G522" s="86"/>
      <c r="H522" s="86"/>
      <c r="I522" s="86"/>
      <c r="J522" s="74"/>
      <c r="K522" s="280"/>
    </row>
    <row r="523" spans="1:11" ht="15.75" x14ac:dyDescent="0.25">
      <c r="A523" s="74"/>
      <c r="B523" s="74"/>
      <c r="C523" s="87"/>
      <c r="D523" s="86"/>
      <c r="E523" s="86"/>
      <c r="F523" s="86"/>
      <c r="G523" s="86"/>
      <c r="H523" s="86"/>
      <c r="I523" s="86"/>
      <c r="J523" s="74"/>
      <c r="K523" s="280"/>
    </row>
    <row r="524" spans="1:11" ht="15.75" x14ac:dyDescent="0.25">
      <c r="A524" s="74"/>
      <c r="B524" s="74"/>
      <c r="C524" s="87"/>
      <c r="D524" s="86"/>
      <c r="E524" s="86"/>
      <c r="F524" s="86"/>
      <c r="G524" s="86"/>
      <c r="H524" s="86"/>
      <c r="I524" s="86"/>
      <c r="J524" s="74"/>
      <c r="K524" s="280"/>
    </row>
    <row r="525" spans="1:11" ht="15.75" x14ac:dyDescent="0.25">
      <c r="A525" s="74"/>
      <c r="B525" s="74"/>
      <c r="C525" s="87"/>
      <c r="D525" s="86"/>
      <c r="E525" s="86"/>
      <c r="F525" s="86"/>
      <c r="G525" s="86"/>
      <c r="H525" s="86"/>
      <c r="I525" s="86"/>
      <c r="J525" s="74"/>
      <c r="K525" s="280"/>
    </row>
    <row r="526" spans="1:11" ht="15.75" x14ac:dyDescent="0.25">
      <c r="A526" s="74"/>
      <c r="B526" s="74"/>
      <c r="C526" s="87"/>
      <c r="D526" s="86"/>
      <c r="E526" s="86"/>
      <c r="F526" s="86"/>
      <c r="G526" s="86"/>
      <c r="H526" s="86"/>
      <c r="I526" s="86"/>
      <c r="J526" s="74"/>
      <c r="K526" s="280"/>
    </row>
    <row r="527" spans="1:11" ht="15.75" x14ac:dyDescent="0.25">
      <c r="A527" s="74"/>
      <c r="B527" s="74"/>
      <c r="C527" s="87"/>
      <c r="D527" s="86"/>
      <c r="E527" s="86"/>
      <c r="F527" s="86"/>
      <c r="G527" s="86"/>
      <c r="H527" s="86"/>
      <c r="I527" s="86"/>
      <c r="J527" s="74"/>
      <c r="K527" s="280"/>
    </row>
    <row r="528" spans="1:11" ht="15.75" x14ac:dyDescent="0.25">
      <c r="A528" s="74"/>
      <c r="B528" s="74"/>
      <c r="C528" s="87"/>
      <c r="D528" s="86"/>
      <c r="E528" s="86"/>
      <c r="F528" s="86"/>
      <c r="G528" s="86"/>
      <c r="H528" s="86"/>
      <c r="I528" s="86"/>
      <c r="J528" s="74"/>
      <c r="K528" s="280"/>
    </row>
    <row r="529" spans="1:11" ht="15.75" x14ac:dyDescent="0.25">
      <c r="A529" s="74"/>
      <c r="B529" s="74"/>
      <c r="C529" s="87"/>
      <c r="D529" s="86"/>
      <c r="E529" s="86"/>
      <c r="F529" s="86"/>
      <c r="G529" s="86"/>
      <c r="H529" s="86"/>
      <c r="I529" s="86"/>
      <c r="J529" s="74"/>
      <c r="K529" s="280"/>
    </row>
    <row r="530" spans="1:11" ht="15.75" x14ac:dyDescent="0.25">
      <c r="A530" s="74"/>
      <c r="B530" s="74"/>
      <c r="C530" s="87"/>
      <c r="D530" s="86"/>
      <c r="E530" s="86"/>
      <c r="F530" s="86"/>
      <c r="G530" s="86"/>
      <c r="H530" s="86"/>
      <c r="I530" s="86"/>
      <c r="J530" s="74"/>
      <c r="K530" s="280"/>
    </row>
    <row r="531" spans="1:11" ht="15.75" x14ac:dyDescent="0.25">
      <c r="A531" s="74"/>
      <c r="B531" s="74"/>
      <c r="C531" s="87"/>
      <c r="D531" s="86"/>
      <c r="E531" s="86"/>
      <c r="F531" s="86"/>
      <c r="G531" s="86"/>
      <c r="H531" s="86"/>
      <c r="I531" s="86"/>
      <c r="J531" s="74"/>
      <c r="K531" s="280"/>
    </row>
    <row r="532" spans="1:11" ht="15.75" x14ac:dyDescent="0.25">
      <c r="A532" s="74"/>
      <c r="B532" s="74"/>
      <c r="C532" s="87"/>
      <c r="D532" s="86"/>
      <c r="E532" s="86"/>
      <c r="F532" s="86"/>
      <c r="G532" s="86"/>
      <c r="H532" s="86"/>
      <c r="I532" s="86"/>
      <c r="J532" s="74"/>
      <c r="K532" s="280"/>
    </row>
    <row r="533" spans="1:11" ht="15.75" x14ac:dyDescent="0.25">
      <c r="A533" s="74"/>
      <c r="B533" s="74"/>
      <c r="C533" s="87"/>
      <c r="D533" s="86"/>
      <c r="E533" s="86"/>
      <c r="F533" s="86"/>
      <c r="G533" s="86"/>
      <c r="H533" s="86"/>
      <c r="I533" s="86"/>
      <c r="J533" s="74"/>
      <c r="K533" s="280"/>
    </row>
    <row r="534" spans="1:11" ht="15.75" x14ac:dyDescent="0.25">
      <c r="A534" s="74"/>
      <c r="B534" s="74"/>
      <c r="C534" s="87"/>
      <c r="D534" s="86"/>
      <c r="E534" s="86"/>
      <c r="F534" s="86"/>
      <c r="G534" s="86"/>
      <c r="H534" s="86"/>
      <c r="I534" s="86"/>
      <c r="J534" s="74"/>
      <c r="K534" s="280"/>
    </row>
    <row r="535" spans="1:11" ht="15.75" x14ac:dyDescent="0.25">
      <c r="A535" s="74"/>
      <c r="B535" s="74"/>
      <c r="C535" s="87"/>
      <c r="D535" s="86"/>
      <c r="E535" s="86"/>
      <c r="F535" s="86"/>
      <c r="G535" s="86"/>
      <c r="H535" s="86"/>
      <c r="I535" s="86"/>
      <c r="J535" s="74"/>
      <c r="K535" s="280"/>
    </row>
    <row r="536" spans="1:11" ht="15.75" x14ac:dyDescent="0.25">
      <c r="A536" s="74"/>
      <c r="B536" s="74"/>
      <c r="C536" s="87"/>
      <c r="D536" s="86"/>
      <c r="E536" s="86"/>
      <c r="F536" s="86"/>
      <c r="G536" s="86"/>
      <c r="H536" s="86"/>
      <c r="I536" s="86"/>
      <c r="J536" s="74"/>
      <c r="K536" s="280"/>
    </row>
    <row r="537" spans="1:11" ht="15.75" x14ac:dyDescent="0.25">
      <c r="A537" s="74"/>
      <c r="B537" s="74"/>
      <c r="C537" s="87"/>
      <c r="D537" s="86"/>
      <c r="E537" s="86"/>
      <c r="F537" s="86"/>
      <c r="G537" s="86"/>
      <c r="H537" s="86"/>
      <c r="I537" s="86"/>
      <c r="J537" s="74"/>
      <c r="K537" s="280"/>
    </row>
    <row r="538" spans="1:11" ht="15.75" x14ac:dyDescent="0.25">
      <c r="A538" s="74"/>
      <c r="B538" s="74"/>
      <c r="C538" s="87"/>
      <c r="D538" s="86"/>
      <c r="E538" s="86"/>
      <c r="F538" s="86"/>
      <c r="G538" s="86"/>
      <c r="H538" s="86"/>
      <c r="I538" s="86"/>
      <c r="J538" s="74"/>
      <c r="K538" s="280"/>
    </row>
    <row r="539" spans="1:11" ht="15.75" x14ac:dyDescent="0.25">
      <c r="A539" s="74"/>
      <c r="B539" s="74"/>
      <c r="C539" s="87"/>
      <c r="D539" s="86"/>
      <c r="E539" s="86"/>
      <c r="F539" s="86"/>
      <c r="G539" s="86"/>
      <c r="H539" s="86"/>
      <c r="I539" s="86"/>
      <c r="J539" s="74"/>
      <c r="K539" s="280"/>
    </row>
    <row r="540" spans="1:11" ht="15.75" x14ac:dyDescent="0.25">
      <c r="A540" s="74"/>
      <c r="B540" s="74"/>
      <c r="C540" s="87"/>
      <c r="D540" s="86"/>
      <c r="E540" s="86"/>
      <c r="F540" s="86"/>
      <c r="G540" s="86"/>
      <c r="H540" s="86"/>
      <c r="I540" s="86"/>
      <c r="J540" s="74"/>
      <c r="K540" s="280"/>
    </row>
    <row r="541" spans="1:11" ht="15.75" x14ac:dyDescent="0.25">
      <c r="A541" s="74"/>
      <c r="B541" s="74"/>
      <c r="C541" s="87"/>
      <c r="D541" s="86"/>
      <c r="E541" s="86"/>
      <c r="F541" s="86"/>
      <c r="G541" s="86"/>
      <c r="H541" s="86"/>
      <c r="I541" s="86"/>
      <c r="J541" s="74"/>
      <c r="K541" s="280"/>
    </row>
    <row r="542" spans="1:11" ht="15.75" x14ac:dyDescent="0.25">
      <c r="A542" s="74"/>
      <c r="B542" s="74"/>
      <c r="C542" s="87"/>
      <c r="D542" s="86"/>
      <c r="E542" s="86"/>
      <c r="F542" s="86"/>
      <c r="G542" s="86"/>
      <c r="H542" s="86"/>
      <c r="I542" s="86"/>
      <c r="J542" s="74"/>
      <c r="K542" s="280"/>
    </row>
    <row r="543" spans="1:11" ht="15.75" x14ac:dyDescent="0.25">
      <c r="A543" s="74"/>
      <c r="B543" s="74"/>
      <c r="C543" s="87"/>
      <c r="D543" s="86"/>
      <c r="E543" s="86"/>
      <c r="F543" s="86"/>
      <c r="G543" s="86"/>
      <c r="H543" s="86"/>
      <c r="I543" s="86"/>
      <c r="J543" s="74"/>
      <c r="K543" s="280"/>
    </row>
    <row r="544" spans="1:11" ht="15.75" x14ac:dyDescent="0.25">
      <c r="A544" s="74"/>
      <c r="B544" s="74"/>
      <c r="C544" s="87"/>
      <c r="D544" s="86"/>
      <c r="E544" s="86"/>
      <c r="F544" s="86"/>
      <c r="G544" s="86"/>
      <c r="H544" s="86"/>
      <c r="I544" s="86"/>
      <c r="J544" s="74"/>
      <c r="K544" s="280"/>
    </row>
    <row r="545" spans="1:11" ht="15.75" x14ac:dyDescent="0.25">
      <c r="A545" s="74"/>
      <c r="B545" s="74"/>
      <c r="C545" s="87"/>
      <c r="D545" s="86"/>
      <c r="E545" s="86"/>
      <c r="F545" s="86"/>
      <c r="G545" s="86"/>
      <c r="H545" s="86"/>
      <c r="I545" s="86"/>
      <c r="J545" s="74"/>
      <c r="K545" s="280"/>
    </row>
    <row r="546" spans="1:11" ht="15.75" x14ac:dyDescent="0.25">
      <c r="A546" s="74"/>
      <c r="B546" s="74"/>
      <c r="C546" s="87"/>
      <c r="D546" s="86"/>
      <c r="E546" s="86"/>
      <c r="F546" s="86"/>
      <c r="G546" s="86"/>
      <c r="H546" s="86"/>
      <c r="I546" s="86"/>
      <c r="J546" s="74"/>
      <c r="K546" s="280"/>
    </row>
    <row r="547" spans="1:11" ht="15.75" x14ac:dyDescent="0.25">
      <c r="A547" s="74"/>
      <c r="B547" s="74"/>
      <c r="C547" s="87"/>
      <c r="D547" s="86"/>
      <c r="E547" s="86"/>
      <c r="F547" s="86"/>
      <c r="G547" s="86"/>
      <c r="H547" s="86"/>
      <c r="I547" s="86"/>
      <c r="J547" s="74"/>
      <c r="K547" s="280"/>
    </row>
    <row r="548" spans="1:11" ht="15.75" x14ac:dyDescent="0.25">
      <c r="A548" s="74"/>
      <c r="B548" s="74"/>
      <c r="C548" s="87"/>
      <c r="D548" s="86"/>
      <c r="E548" s="86"/>
      <c r="F548" s="86"/>
      <c r="G548" s="86"/>
      <c r="H548" s="86"/>
      <c r="I548" s="86"/>
      <c r="J548" s="74"/>
      <c r="K548" s="280"/>
    </row>
    <row r="549" spans="1:11" ht="15.75" x14ac:dyDescent="0.25">
      <c r="A549" s="74"/>
      <c r="B549" s="74"/>
      <c r="C549" s="87"/>
      <c r="D549" s="86"/>
      <c r="E549" s="86"/>
      <c r="F549" s="86"/>
      <c r="G549" s="86"/>
      <c r="H549" s="86"/>
      <c r="I549" s="86"/>
      <c r="J549" s="74"/>
      <c r="K549" s="280"/>
    </row>
    <row r="550" spans="1:11" ht="15.75" x14ac:dyDescent="0.25">
      <c r="A550" s="74"/>
      <c r="B550" s="74"/>
      <c r="C550" s="87"/>
      <c r="D550" s="86"/>
      <c r="E550" s="86"/>
      <c r="F550" s="86"/>
      <c r="G550" s="86"/>
      <c r="H550" s="86"/>
      <c r="I550" s="86"/>
      <c r="J550" s="74"/>
      <c r="K550" s="280"/>
    </row>
    <row r="551" spans="1:11" ht="15.75" x14ac:dyDescent="0.25">
      <c r="A551" s="74"/>
      <c r="B551" s="74"/>
      <c r="C551" s="87"/>
      <c r="D551" s="86"/>
      <c r="E551" s="86"/>
      <c r="F551" s="86"/>
      <c r="G551" s="86"/>
      <c r="H551" s="86"/>
      <c r="I551" s="86"/>
      <c r="J551" s="74"/>
      <c r="K551" s="280"/>
    </row>
    <row r="552" spans="1:11" ht="15.75" x14ac:dyDescent="0.25">
      <c r="A552" s="74"/>
      <c r="B552" s="74"/>
      <c r="C552" s="87"/>
      <c r="D552" s="86"/>
      <c r="E552" s="86"/>
      <c r="F552" s="86"/>
      <c r="G552" s="86"/>
      <c r="H552" s="86"/>
      <c r="I552" s="86"/>
      <c r="J552" s="74"/>
      <c r="K552" s="280"/>
    </row>
    <row r="553" spans="1:11" ht="15.75" x14ac:dyDescent="0.25">
      <c r="A553" s="74"/>
      <c r="B553" s="74"/>
      <c r="C553" s="87"/>
      <c r="D553" s="86"/>
      <c r="E553" s="86"/>
      <c r="F553" s="86"/>
      <c r="G553" s="86"/>
      <c r="H553" s="86"/>
      <c r="I553" s="86"/>
      <c r="J553" s="74"/>
      <c r="K553" s="280"/>
    </row>
    <row r="554" spans="1:11" ht="15.75" x14ac:dyDescent="0.25">
      <c r="A554" s="74"/>
      <c r="B554" s="74"/>
      <c r="C554" s="87"/>
      <c r="D554" s="86"/>
      <c r="E554" s="86"/>
      <c r="F554" s="86"/>
      <c r="G554" s="86"/>
      <c r="H554" s="86"/>
      <c r="I554" s="86"/>
      <c r="J554" s="74"/>
      <c r="K554" s="280"/>
    </row>
    <row r="555" spans="1:11" ht="15.75" x14ac:dyDescent="0.25">
      <c r="A555" s="74"/>
      <c r="B555" s="74"/>
      <c r="C555" s="87"/>
      <c r="D555" s="86"/>
      <c r="E555" s="86"/>
      <c r="F555" s="86"/>
      <c r="G555" s="86"/>
      <c r="H555" s="86"/>
      <c r="I555" s="86"/>
      <c r="J555" s="74"/>
      <c r="K555" s="280"/>
    </row>
    <row r="556" spans="1:11" ht="15.75" x14ac:dyDescent="0.25">
      <c r="A556" s="74"/>
      <c r="B556" s="74"/>
      <c r="C556" s="87"/>
      <c r="D556" s="86"/>
      <c r="E556" s="86"/>
      <c r="F556" s="86"/>
      <c r="G556" s="86"/>
      <c r="H556" s="86"/>
      <c r="I556" s="86"/>
      <c r="J556" s="74"/>
      <c r="K556" s="280"/>
    </row>
    <row r="557" spans="1:11" ht="15.75" x14ac:dyDescent="0.25">
      <c r="A557" s="74"/>
      <c r="B557" s="74"/>
      <c r="C557" s="87"/>
      <c r="D557" s="86"/>
      <c r="E557" s="86"/>
      <c r="F557" s="86"/>
      <c r="G557" s="86"/>
      <c r="H557" s="86"/>
      <c r="I557" s="86"/>
      <c r="J557" s="74"/>
      <c r="K557" s="280"/>
    </row>
    <row r="558" spans="1:11" ht="15.75" x14ac:dyDescent="0.25">
      <c r="A558" s="74"/>
      <c r="B558" s="74"/>
      <c r="C558" s="87"/>
      <c r="D558" s="86"/>
      <c r="E558" s="86"/>
      <c r="F558" s="86"/>
      <c r="G558" s="86"/>
      <c r="H558" s="86"/>
      <c r="I558" s="86"/>
      <c r="J558" s="74"/>
      <c r="K558" s="280"/>
    </row>
    <row r="559" spans="1:11" ht="15.75" x14ac:dyDescent="0.25">
      <c r="A559" s="74"/>
      <c r="B559" s="74"/>
      <c r="C559" s="87"/>
      <c r="D559" s="86"/>
      <c r="E559" s="86"/>
      <c r="F559" s="86"/>
      <c r="G559" s="86"/>
      <c r="H559" s="86"/>
      <c r="I559" s="86"/>
      <c r="J559" s="74"/>
      <c r="K559" s="280"/>
    </row>
    <row r="560" spans="1:11" ht="15.75" x14ac:dyDescent="0.25">
      <c r="A560" s="74"/>
      <c r="B560" s="74"/>
      <c r="C560" s="87"/>
      <c r="D560" s="86"/>
      <c r="E560" s="86"/>
      <c r="F560" s="86"/>
      <c r="G560" s="86"/>
      <c r="H560" s="86"/>
      <c r="I560" s="86"/>
      <c r="J560" s="74"/>
      <c r="K560" s="280"/>
    </row>
    <row r="561" spans="1:11" ht="15.75" x14ac:dyDescent="0.25">
      <c r="A561" s="74"/>
      <c r="B561" s="74"/>
      <c r="C561" s="87"/>
      <c r="D561" s="86"/>
      <c r="E561" s="86"/>
      <c r="F561" s="86"/>
      <c r="G561" s="86"/>
      <c r="H561" s="86"/>
      <c r="I561" s="86"/>
      <c r="J561" s="74"/>
      <c r="K561" s="280"/>
    </row>
    <row r="562" spans="1:11" ht="15.75" x14ac:dyDescent="0.25">
      <c r="A562" s="74"/>
      <c r="B562" s="74"/>
      <c r="C562" s="87"/>
      <c r="D562" s="86"/>
      <c r="E562" s="86"/>
      <c r="F562" s="86"/>
      <c r="G562" s="86"/>
      <c r="H562" s="86"/>
      <c r="I562" s="86"/>
      <c r="J562" s="74"/>
      <c r="K562" s="280"/>
    </row>
    <row r="563" spans="1:11" ht="15.75" x14ac:dyDescent="0.25">
      <c r="A563" s="74"/>
      <c r="B563" s="74"/>
      <c r="C563" s="87"/>
      <c r="D563" s="86"/>
      <c r="E563" s="86"/>
      <c r="F563" s="86"/>
      <c r="G563" s="86"/>
      <c r="H563" s="86"/>
      <c r="I563" s="86"/>
      <c r="J563" s="74"/>
      <c r="K563" s="280"/>
    </row>
    <row r="564" spans="1:11" ht="15.75" x14ac:dyDescent="0.25">
      <c r="A564" s="74"/>
      <c r="B564" s="74"/>
      <c r="C564" s="87"/>
      <c r="D564" s="86"/>
      <c r="E564" s="86"/>
      <c r="F564" s="86"/>
      <c r="G564" s="86"/>
      <c r="H564" s="86"/>
      <c r="I564" s="86"/>
      <c r="J564" s="74"/>
      <c r="K564" s="280"/>
    </row>
    <row r="565" spans="1:11" ht="15.75" x14ac:dyDescent="0.25">
      <c r="A565" s="74"/>
      <c r="B565" s="74"/>
      <c r="C565" s="87"/>
      <c r="D565" s="86"/>
      <c r="E565" s="86"/>
      <c r="F565" s="86"/>
      <c r="G565" s="86"/>
      <c r="H565" s="86"/>
      <c r="I565" s="86"/>
      <c r="J565" s="74"/>
      <c r="K565" s="280"/>
    </row>
    <row r="566" spans="1:11" ht="15.75" x14ac:dyDescent="0.25">
      <c r="A566" s="74"/>
      <c r="B566" s="74"/>
      <c r="C566" s="87"/>
      <c r="D566" s="86"/>
      <c r="E566" s="86"/>
      <c r="F566" s="86"/>
      <c r="G566" s="86"/>
      <c r="H566" s="86"/>
      <c r="I566" s="86"/>
      <c r="J566" s="74"/>
      <c r="K566" s="280"/>
    </row>
    <row r="567" spans="1:11" ht="15.75" x14ac:dyDescent="0.25">
      <c r="A567" s="74"/>
      <c r="B567" s="74"/>
      <c r="C567" s="87"/>
      <c r="D567" s="86"/>
      <c r="E567" s="86"/>
      <c r="F567" s="86"/>
      <c r="G567" s="86"/>
      <c r="H567" s="86"/>
      <c r="I567" s="86"/>
      <c r="J567" s="74"/>
      <c r="K567" s="280"/>
    </row>
    <row r="568" spans="1:11" ht="15.75" x14ac:dyDescent="0.25">
      <c r="A568" s="74"/>
      <c r="B568" s="74"/>
      <c r="C568" s="87"/>
      <c r="D568" s="86"/>
      <c r="E568" s="86"/>
      <c r="F568" s="86"/>
      <c r="G568" s="86"/>
      <c r="H568" s="86"/>
      <c r="I568" s="86"/>
      <c r="J568" s="74"/>
      <c r="K568" s="280"/>
    </row>
    <row r="569" spans="1:11" ht="15.75" x14ac:dyDescent="0.25">
      <c r="A569" s="74"/>
      <c r="B569" s="74"/>
      <c r="C569" s="87"/>
      <c r="D569" s="86"/>
      <c r="E569" s="86"/>
      <c r="F569" s="86"/>
      <c r="G569" s="86"/>
      <c r="H569" s="86"/>
      <c r="I569" s="86"/>
      <c r="J569" s="74"/>
      <c r="K569" s="280"/>
    </row>
    <row r="570" spans="1:11" ht="15.75" x14ac:dyDescent="0.25">
      <c r="A570" s="74"/>
      <c r="B570" s="74"/>
      <c r="C570" s="87"/>
      <c r="D570" s="86"/>
      <c r="E570" s="86"/>
      <c r="F570" s="86"/>
      <c r="G570" s="86"/>
      <c r="H570" s="86"/>
      <c r="I570" s="86"/>
      <c r="J570" s="74"/>
      <c r="K570" s="280"/>
    </row>
    <row r="571" spans="1:11" ht="15.75" x14ac:dyDescent="0.25">
      <c r="A571" s="74"/>
      <c r="B571" s="74"/>
      <c r="C571" s="87"/>
      <c r="D571" s="86"/>
      <c r="E571" s="86"/>
      <c r="F571" s="86"/>
      <c r="G571" s="86"/>
      <c r="H571" s="86"/>
      <c r="I571" s="86"/>
      <c r="J571" s="74"/>
      <c r="K571" s="280"/>
    </row>
    <row r="572" spans="1:11" ht="15.75" x14ac:dyDescent="0.25">
      <c r="A572" s="74"/>
      <c r="B572" s="74"/>
      <c r="C572" s="87"/>
      <c r="D572" s="86"/>
      <c r="E572" s="86"/>
      <c r="F572" s="86"/>
      <c r="G572" s="86"/>
      <c r="H572" s="86"/>
      <c r="I572" s="86"/>
      <c r="J572" s="74"/>
      <c r="K572" s="280"/>
    </row>
    <row r="573" spans="1:11" ht="15.75" x14ac:dyDescent="0.25">
      <c r="A573" s="74"/>
      <c r="B573" s="74"/>
      <c r="C573" s="87"/>
      <c r="D573" s="86"/>
      <c r="E573" s="86"/>
      <c r="F573" s="86"/>
      <c r="G573" s="86"/>
      <c r="H573" s="86"/>
      <c r="I573" s="86"/>
      <c r="J573" s="74"/>
      <c r="K573" s="280"/>
    </row>
    <row r="574" spans="1:11" ht="15.75" x14ac:dyDescent="0.25">
      <c r="A574" s="74"/>
      <c r="B574" s="74"/>
      <c r="C574" s="87"/>
      <c r="D574" s="86"/>
      <c r="E574" s="86"/>
      <c r="F574" s="86"/>
      <c r="G574" s="86"/>
      <c r="H574" s="86"/>
      <c r="I574" s="86"/>
      <c r="J574" s="74"/>
      <c r="K574" s="280"/>
    </row>
    <row r="575" spans="1:11" ht="15.75" x14ac:dyDescent="0.25">
      <c r="A575" s="74"/>
      <c r="B575" s="74"/>
      <c r="C575" s="87"/>
      <c r="D575" s="86"/>
      <c r="E575" s="86"/>
      <c r="F575" s="86"/>
      <c r="G575" s="86"/>
      <c r="H575" s="86"/>
      <c r="I575" s="86"/>
      <c r="J575" s="74"/>
      <c r="K575" s="280"/>
    </row>
    <row r="576" spans="1:11" ht="15.75" x14ac:dyDescent="0.25">
      <c r="A576" s="74"/>
      <c r="B576" s="74"/>
      <c r="C576" s="87"/>
      <c r="D576" s="86"/>
      <c r="E576" s="86"/>
      <c r="F576" s="86"/>
      <c r="G576" s="86"/>
      <c r="H576" s="86"/>
      <c r="I576" s="86"/>
      <c r="J576" s="74"/>
      <c r="K576" s="280"/>
    </row>
    <row r="577" spans="1:11" ht="15.75" x14ac:dyDescent="0.25">
      <c r="A577" s="74"/>
      <c r="B577" s="74"/>
      <c r="C577" s="87"/>
      <c r="D577" s="86"/>
      <c r="E577" s="86"/>
      <c r="F577" s="86"/>
      <c r="G577" s="86"/>
      <c r="H577" s="86"/>
      <c r="I577" s="86"/>
      <c r="J577" s="74"/>
      <c r="K577" s="280"/>
    </row>
    <row r="578" spans="1:11" ht="15.75" x14ac:dyDescent="0.25">
      <c r="A578" s="74"/>
      <c r="B578" s="74"/>
      <c r="C578" s="87"/>
      <c r="D578" s="86"/>
      <c r="E578" s="86"/>
      <c r="F578" s="86"/>
      <c r="G578" s="86"/>
      <c r="H578" s="86"/>
      <c r="I578" s="86"/>
      <c r="J578" s="74"/>
      <c r="K578" s="280"/>
    </row>
    <row r="579" spans="1:11" ht="15.75" x14ac:dyDescent="0.25">
      <c r="A579" s="74"/>
      <c r="B579" s="74"/>
      <c r="C579" s="87"/>
      <c r="D579" s="86"/>
      <c r="E579" s="86"/>
      <c r="F579" s="86"/>
      <c r="G579" s="86"/>
      <c r="H579" s="86"/>
      <c r="I579" s="86"/>
      <c r="J579" s="74"/>
      <c r="K579" s="280"/>
    </row>
    <row r="580" spans="1:11" ht="15.75" x14ac:dyDescent="0.25">
      <c r="A580" s="74"/>
      <c r="B580" s="74"/>
      <c r="C580" s="87"/>
      <c r="D580" s="86"/>
      <c r="E580" s="86"/>
      <c r="F580" s="86"/>
      <c r="G580" s="86"/>
      <c r="H580" s="86"/>
      <c r="I580" s="86"/>
      <c r="J580" s="74"/>
      <c r="K580" s="280"/>
    </row>
    <row r="581" spans="1:11" ht="15.75" x14ac:dyDescent="0.25">
      <c r="A581" s="74"/>
      <c r="B581" s="74"/>
      <c r="C581" s="87"/>
      <c r="D581" s="86"/>
      <c r="E581" s="86"/>
      <c r="F581" s="86"/>
      <c r="G581" s="86"/>
      <c r="H581" s="86"/>
      <c r="I581" s="86"/>
      <c r="J581" s="74"/>
      <c r="K581" s="280"/>
    </row>
  </sheetData>
  <dataConsolidate/>
  <mergeCells count="213">
    <mergeCell ref="D112:F112"/>
    <mergeCell ref="D113:F113"/>
    <mergeCell ref="D114:F114"/>
    <mergeCell ref="D115:F115"/>
    <mergeCell ref="D116:F116"/>
    <mergeCell ref="D103:F103"/>
    <mergeCell ref="D104:F104"/>
    <mergeCell ref="D105:F105"/>
    <mergeCell ref="D106:F106"/>
    <mergeCell ref="D107:F107"/>
    <mergeCell ref="D108:F108"/>
    <mergeCell ref="D109:F109"/>
    <mergeCell ref="D110:F110"/>
    <mergeCell ref="D111:F111"/>
    <mergeCell ref="A187:A199"/>
    <mergeCell ref="D187:F187"/>
    <mergeCell ref="K187:K196"/>
    <mergeCell ref="D188:F188"/>
    <mergeCell ref="D189:F189"/>
    <mergeCell ref="D190:F190"/>
    <mergeCell ref="D191:F191"/>
    <mergeCell ref="D192:F192"/>
    <mergeCell ref="D193:F193"/>
    <mergeCell ref="D194:F194"/>
    <mergeCell ref="D195:F195"/>
    <mergeCell ref="D196:F196"/>
    <mergeCell ref="D197:F197"/>
    <mergeCell ref="D198:F198"/>
    <mergeCell ref="D199:F199"/>
    <mergeCell ref="A175:A186"/>
    <mergeCell ref="D175:F175"/>
    <mergeCell ref="K175:K186"/>
    <mergeCell ref="D176:F176"/>
    <mergeCell ref="D177:F177"/>
    <mergeCell ref="D178:F178"/>
    <mergeCell ref="D179:F179"/>
    <mergeCell ref="D180:F180"/>
    <mergeCell ref="D181:F181"/>
    <mergeCell ref="D182:F182"/>
    <mergeCell ref="D183:F183"/>
    <mergeCell ref="D184:F184"/>
    <mergeCell ref="D185:F185"/>
    <mergeCell ref="D186:F186"/>
    <mergeCell ref="K124:K153"/>
    <mergeCell ref="K62:K82"/>
    <mergeCell ref="K83:K93"/>
    <mergeCell ref="K94:K123"/>
    <mergeCell ref="A154:A165"/>
    <mergeCell ref="K154:K165"/>
    <mergeCell ref="A124:A153"/>
    <mergeCell ref="A173:A174"/>
    <mergeCell ref="D173:F173"/>
    <mergeCell ref="K173:K174"/>
    <mergeCell ref="D174:F174"/>
    <mergeCell ref="D144:F144"/>
    <mergeCell ref="D145:F145"/>
    <mergeCell ref="D146:F146"/>
    <mergeCell ref="D147:F147"/>
    <mergeCell ref="D148:F148"/>
    <mergeCell ref="D149:F149"/>
    <mergeCell ref="D150:F150"/>
    <mergeCell ref="D151:F151"/>
    <mergeCell ref="D152:F152"/>
    <mergeCell ref="D153:F153"/>
    <mergeCell ref="D135:F135"/>
    <mergeCell ref="D136:F136"/>
    <mergeCell ref="D137:F137"/>
    <mergeCell ref="D143:F143"/>
    <mergeCell ref="D16:F16"/>
    <mergeCell ref="D12:F12"/>
    <mergeCell ref="D14:F14"/>
    <mergeCell ref="D13:F13"/>
    <mergeCell ref="D127:F127"/>
    <mergeCell ref="D128:F128"/>
    <mergeCell ref="D129:F129"/>
    <mergeCell ref="D130:F130"/>
    <mergeCell ref="D131:F131"/>
    <mergeCell ref="D132:F132"/>
    <mergeCell ref="D133:F133"/>
    <mergeCell ref="D134:F134"/>
    <mergeCell ref="D98:F98"/>
    <mergeCell ref="D99:F99"/>
    <mergeCell ref="D100:F100"/>
    <mergeCell ref="D120:F120"/>
    <mergeCell ref="D39:F39"/>
    <mergeCell ref="D40:F40"/>
    <mergeCell ref="D22:F22"/>
    <mergeCell ref="D117:F117"/>
    <mergeCell ref="D118:F118"/>
    <mergeCell ref="D37:F37"/>
    <mergeCell ref="D38:F38"/>
    <mergeCell ref="K2:K17"/>
    <mergeCell ref="A166:A172"/>
    <mergeCell ref="A200:A229"/>
    <mergeCell ref="K166:K172"/>
    <mergeCell ref="D36:F36"/>
    <mergeCell ref="D32:F32"/>
    <mergeCell ref="D33:F33"/>
    <mergeCell ref="D34:F34"/>
    <mergeCell ref="D27:F27"/>
    <mergeCell ref="D28:F28"/>
    <mergeCell ref="D35:F35"/>
    <mergeCell ref="D56:F56"/>
    <mergeCell ref="D59:F59"/>
    <mergeCell ref="D57:F57"/>
    <mergeCell ref="K50:K57"/>
    <mergeCell ref="K58:K61"/>
    <mergeCell ref="D124:F124"/>
    <mergeCell ref="D125:F125"/>
    <mergeCell ref="D126:F126"/>
    <mergeCell ref="D138:F138"/>
    <mergeCell ref="D139:F139"/>
    <mergeCell ref="D140:F140"/>
    <mergeCell ref="D141:F141"/>
    <mergeCell ref="D142:F142"/>
    <mergeCell ref="D9:F9"/>
    <mergeCell ref="D10:F10"/>
    <mergeCell ref="D4:F4"/>
    <mergeCell ref="D6:F6"/>
    <mergeCell ref="D15:F15"/>
    <mergeCell ref="D89:F89"/>
    <mergeCell ref="D90:F90"/>
    <mergeCell ref="D91:F91"/>
    <mergeCell ref="D71:F71"/>
    <mergeCell ref="D72:F72"/>
    <mergeCell ref="D88:F88"/>
    <mergeCell ref="D24:F24"/>
    <mergeCell ref="D86:F86"/>
    <mergeCell ref="D87:F87"/>
    <mergeCell ref="D80:F80"/>
    <mergeCell ref="D81:F81"/>
    <mergeCell ref="D82:F82"/>
    <mergeCell ref="D83:F83"/>
    <mergeCell ref="D84:F84"/>
    <mergeCell ref="D85:F85"/>
    <mergeCell ref="D1:H1"/>
    <mergeCell ref="D11:F11"/>
    <mergeCell ref="D119:F119"/>
    <mergeCell ref="D123:F123"/>
    <mergeCell ref="D2:F2"/>
    <mergeCell ref="D3:F3"/>
    <mergeCell ref="D5:F5"/>
    <mergeCell ref="D7:F7"/>
    <mergeCell ref="D8:F8"/>
    <mergeCell ref="D31:F31"/>
    <mergeCell ref="D25:F25"/>
    <mergeCell ref="D26:F26"/>
    <mergeCell ref="D29:F29"/>
    <mergeCell ref="D30:F30"/>
    <mergeCell ref="D97:F97"/>
    <mergeCell ref="D18:F18"/>
    <mergeCell ref="D19:F19"/>
    <mergeCell ref="D20:F20"/>
    <mergeCell ref="D21:F21"/>
    <mergeCell ref="D92:F92"/>
    <mergeCell ref="D93:F93"/>
    <mergeCell ref="D41:F41"/>
    <mergeCell ref="D95:F95"/>
    <mergeCell ref="D96:F96"/>
    <mergeCell ref="K18:K24"/>
    <mergeCell ref="A18:A24"/>
    <mergeCell ref="A43:A49"/>
    <mergeCell ref="D43:F43"/>
    <mergeCell ref="K43:K49"/>
    <mergeCell ref="D44:F44"/>
    <mergeCell ref="D45:F45"/>
    <mergeCell ref="D46:F46"/>
    <mergeCell ref="D47:F47"/>
    <mergeCell ref="D48:F48"/>
    <mergeCell ref="D49:F49"/>
    <mergeCell ref="D23:F23"/>
    <mergeCell ref="D42:F42"/>
    <mergeCell ref="K25:K42"/>
    <mergeCell ref="A50:A57"/>
    <mergeCell ref="A58:A61"/>
    <mergeCell ref="D58:F58"/>
    <mergeCell ref="D60:F60"/>
    <mergeCell ref="D61:F61"/>
    <mergeCell ref="D64:F64"/>
    <mergeCell ref="D62:F62"/>
    <mergeCell ref="D63:F63"/>
    <mergeCell ref="D70:F70"/>
    <mergeCell ref="D50:F50"/>
    <mergeCell ref="D51:F51"/>
    <mergeCell ref="D52:F52"/>
    <mergeCell ref="D53:F53"/>
    <mergeCell ref="D54:F54"/>
    <mergeCell ref="D55:F55"/>
    <mergeCell ref="A62:A82"/>
    <mergeCell ref="D101:F101"/>
    <mergeCell ref="D102:F102"/>
    <mergeCell ref="D121:F121"/>
    <mergeCell ref="D122:F122"/>
    <mergeCell ref="A25:A42"/>
    <mergeCell ref="A94:A123"/>
    <mergeCell ref="L93:N93"/>
    <mergeCell ref="D17:F17"/>
    <mergeCell ref="L17:N17"/>
    <mergeCell ref="A2:A17"/>
    <mergeCell ref="A83:A93"/>
    <mergeCell ref="D94:F94"/>
    <mergeCell ref="D65:F65"/>
    <mergeCell ref="D66:F66"/>
    <mergeCell ref="D67:F67"/>
    <mergeCell ref="D68:F68"/>
    <mergeCell ref="D69:F69"/>
    <mergeCell ref="D73:F73"/>
    <mergeCell ref="D74:F74"/>
    <mergeCell ref="D75:F75"/>
    <mergeCell ref="D76:F76"/>
    <mergeCell ref="D77:F77"/>
    <mergeCell ref="D78:F78"/>
    <mergeCell ref="D79:F79"/>
  </mergeCells>
  <dataValidations count="23">
    <dataValidation type="list" allowBlank="1" showInputMessage="1" showErrorMessage="1" sqref="G32 D20:F20 D164:F164 G141:G153 D58:F58 D11:F11 G61 G36 D45:F45 D90:F90 G52:G53 D25:F25 G55:G56 D70:F70 D83:F83 H12:H16 D95:F95 D117:F117 D138 D169:F169 D176:F184 D195:F195">
      <formula1>YN</formula1>
    </dataValidation>
    <dataValidation type="list" allowBlank="1" showInputMessage="1" showErrorMessage="1" sqref="G34">
      <formula1>Occupation</formula1>
    </dataValidation>
    <dataValidation type="list" allowBlank="1" showInputMessage="1" showErrorMessage="1" sqref="D18:F18 D43:F43">
      <formula1>Education1</formula1>
    </dataValidation>
    <dataValidation type="list" allowBlank="1" showInputMessage="1" showErrorMessage="1" sqref="D19:F19 D44:F44">
      <formula1>English</formula1>
    </dataValidation>
    <dataValidation type="list" allowBlank="1" showInputMessage="1" showErrorMessage="1" sqref="H54:I54">
      <formula1>Net</formula1>
    </dataValidation>
    <dataValidation type="list" allowBlank="1" showInputMessage="1" showErrorMessage="1" sqref="G50">
      <formula1>Phone</formula1>
    </dataValidation>
    <dataValidation type="list" allowBlank="1" showInputMessage="1" showErrorMessage="1" sqref="D62:F62">
      <formula1>Residence</formula1>
    </dataValidation>
    <dataValidation type="list" allowBlank="1" showInputMessage="1" showErrorMessage="1" sqref="D126">
      <formula1>Type_land</formula1>
    </dataValidation>
    <dataValidation type="list" allowBlank="1" showInputMessage="1" showErrorMessage="1" sqref="D139">
      <formula1>Soil</formula1>
    </dataValidation>
    <dataValidation type="list" allowBlank="1" showInputMessage="1" showErrorMessage="1" sqref="D157:F157">
      <formula1>Stage_crop</formula1>
    </dataValidation>
    <dataValidation type="list" allowBlank="1" showInputMessage="1" showErrorMessage="1" sqref="D159:F159">
      <formula1>Potential_market</formula1>
    </dataValidation>
    <dataValidation type="list" allowBlank="1" showInputMessage="1" showErrorMessage="1" sqref="D160:F160">
      <formula1>Potential_market1</formula1>
    </dataValidation>
    <dataValidation type="list" allowBlank="1" showInputMessage="1" showErrorMessage="1" sqref="D163:F163">
      <formula1>Crop_diseases</formula1>
    </dataValidation>
    <dataValidation type="list" allowBlank="1" showInputMessage="1" showErrorMessage="1" sqref="D165:F165">
      <formula1>Fertilizers</formula1>
    </dataValidation>
    <dataValidation type="list" allowBlank="1" showInputMessage="1" showErrorMessage="1" sqref="D166:F166">
      <formula1>Last_year_crop</formula1>
    </dataValidation>
    <dataValidation type="list" allowBlank="1" showInputMessage="1" showErrorMessage="1" sqref="D171:F171">
      <formula1>L_Fert</formula1>
    </dataValidation>
    <dataValidation type="list" allowBlank="1" showInputMessage="1" showErrorMessage="1" sqref="D173:F173">
      <formula1>Vehicle</formula1>
    </dataValidation>
    <dataValidation type="list" allowBlank="1" showInputMessage="1" showErrorMessage="1" sqref="D174:F174">
      <formula1>Machinery</formula1>
    </dataValidation>
    <dataValidation type="list" allowBlank="1" showInputMessage="1" showErrorMessage="1" sqref="D187:F187">
      <formula1>Loan_Bank</formula1>
    </dataValidation>
    <dataValidation type="list" allowBlank="1" showInputMessage="1" showErrorMessage="1" sqref="H39">
      <formula1>Loan_purpose</formula1>
    </dataValidation>
    <dataValidation type="list" allowBlank="1" showInputMessage="1" showErrorMessage="1" sqref="G96 G103 G110">
      <formula1>Loan_Type</formula1>
    </dataValidation>
    <dataValidation type="list" allowBlank="1" showInputMessage="1" showErrorMessage="1" sqref="D155:F155">
      <formula1>RICE</formula1>
    </dataValidation>
    <dataValidation type="list" allowBlank="1" showInputMessage="1" showErrorMessage="1" sqref="D156:F156">
      <formula1>Types_rice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13" workbookViewId="0">
      <selection activeCell="L4" sqref="L4"/>
    </sheetView>
  </sheetViews>
  <sheetFormatPr defaultColWidth="8.85546875" defaultRowHeight="15" x14ac:dyDescent="0.25"/>
  <cols>
    <col min="1" max="1" width="7" customWidth="1"/>
    <col min="2" max="2" width="34.5703125" bestFit="1" customWidth="1"/>
    <col min="3" max="3" width="17.85546875" customWidth="1"/>
    <col min="4" max="4" width="16.5703125" style="239" customWidth="1"/>
    <col min="11" max="11" width="8.85546875" style="242"/>
    <col min="12" max="12" width="11.28515625" style="242" bestFit="1" customWidth="1"/>
    <col min="13" max="13" width="8.85546875" style="242"/>
  </cols>
  <sheetData>
    <row r="1" spans="1:13" x14ac:dyDescent="0.25">
      <c r="D1" s="239" t="s">
        <v>360</v>
      </c>
    </row>
    <row r="2" spans="1:13" x14ac:dyDescent="0.25">
      <c r="A2" s="249">
        <v>1</v>
      </c>
      <c r="B2" s="238" t="s">
        <v>415</v>
      </c>
      <c r="C2" s="238"/>
      <c r="D2" s="240"/>
      <c r="K2" s="245" t="s">
        <v>500</v>
      </c>
    </row>
    <row r="3" spans="1:13" ht="15.75" customHeight="1" x14ac:dyDescent="0.25">
      <c r="A3" s="249">
        <v>2</v>
      </c>
      <c r="B3" s="238" t="s">
        <v>501</v>
      </c>
      <c r="C3" s="238">
        <v>50000</v>
      </c>
      <c r="D3" s="240">
        <v>10</v>
      </c>
      <c r="K3" s="243">
        <v>0</v>
      </c>
      <c r="L3" s="243">
        <v>6</v>
      </c>
      <c r="M3" s="243">
        <v>10</v>
      </c>
    </row>
    <row r="4" spans="1:13" ht="15.75" customHeight="1" x14ac:dyDescent="0.25">
      <c r="A4" s="249">
        <v>3</v>
      </c>
      <c r="B4" s="238" t="s">
        <v>499</v>
      </c>
      <c r="C4" s="238">
        <v>5000</v>
      </c>
      <c r="D4" s="240">
        <v>8</v>
      </c>
      <c r="K4" s="243">
        <v>7</v>
      </c>
      <c r="L4" s="243">
        <v>12</v>
      </c>
      <c r="M4" s="243">
        <v>8</v>
      </c>
    </row>
    <row r="5" spans="1:13" ht="15.75" customHeight="1" x14ac:dyDescent="0.25">
      <c r="A5" s="249">
        <v>4</v>
      </c>
      <c r="B5" s="238" t="s">
        <v>502</v>
      </c>
      <c r="C5" s="238">
        <f>C3/C4</f>
        <v>10</v>
      </c>
      <c r="D5" s="240">
        <v>8</v>
      </c>
      <c r="K5" s="243">
        <v>13</v>
      </c>
      <c r="L5" s="243">
        <v>18</v>
      </c>
      <c r="M5" s="243">
        <v>6</v>
      </c>
    </row>
    <row r="6" spans="1:13" ht="26.25" customHeight="1" x14ac:dyDescent="0.25">
      <c r="B6" s="248" t="s">
        <v>468</v>
      </c>
      <c r="C6" s="246"/>
      <c r="D6" s="247">
        <f>SUM(D2:D5)</f>
        <v>26</v>
      </c>
      <c r="K6" s="243">
        <v>19</v>
      </c>
      <c r="L6" s="243">
        <v>24</v>
      </c>
      <c r="M6" s="243">
        <v>4</v>
      </c>
    </row>
    <row r="7" spans="1:13" ht="15.75" customHeight="1" x14ac:dyDescent="0.25">
      <c r="K7" s="243">
        <v>25</v>
      </c>
      <c r="L7" s="243">
        <v>30</v>
      </c>
      <c r="M7" s="243">
        <v>2</v>
      </c>
    </row>
    <row r="8" spans="1:13" ht="15.75" customHeight="1" x14ac:dyDescent="0.25"/>
    <row r="9" spans="1:13" ht="15.75" customHeight="1" x14ac:dyDescent="0.25">
      <c r="B9" s="238" t="s">
        <v>415</v>
      </c>
      <c r="C9" s="238"/>
      <c r="D9" s="240"/>
      <c r="F9" s="245"/>
      <c r="G9" s="242"/>
      <c r="H9" s="242"/>
      <c r="K9" s="242" t="s">
        <v>501</v>
      </c>
    </row>
    <row r="10" spans="1:13" ht="15.75" x14ac:dyDescent="0.25">
      <c r="B10" s="238" t="s">
        <v>501</v>
      </c>
      <c r="C10" s="238">
        <v>25000</v>
      </c>
      <c r="D10" s="240">
        <v>10</v>
      </c>
      <c r="F10" s="244"/>
      <c r="G10" s="241"/>
      <c r="H10" s="241"/>
      <c r="K10" s="244">
        <v>0</v>
      </c>
      <c r="L10" s="241">
        <v>50000</v>
      </c>
      <c r="M10" s="241">
        <v>10</v>
      </c>
    </row>
    <row r="11" spans="1:13" ht="15.75" x14ac:dyDescent="0.25">
      <c r="B11" s="238" t="s">
        <v>499</v>
      </c>
      <c r="C11" s="238">
        <v>5000</v>
      </c>
      <c r="D11" s="240">
        <v>10</v>
      </c>
      <c r="F11" s="244"/>
      <c r="G11" s="241"/>
      <c r="H11" s="241"/>
      <c r="K11" s="244">
        <v>50001</v>
      </c>
      <c r="L11" s="241">
        <v>100000</v>
      </c>
      <c r="M11" s="241">
        <v>8</v>
      </c>
    </row>
    <row r="12" spans="1:13" ht="15.75" x14ac:dyDescent="0.25">
      <c r="B12" s="238" t="s">
        <v>502</v>
      </c>
      <c r="C12" s="238">
        <f>C10/C11</f>
        <v>5</v>
      </c>
      <c r="D12" s="240">
        <v>10</v>
      </c>
      <c r="F12" s="244"/>
      <c r="G12" s="241"/>
      <c r="H12" s="241"/>
      <c r="K12" s="244">
        <v>100001</v>
      </c>
      <c r="L12" s="241">
        <v>150000</v>
      </c>
      <c r="M12" s="241">
        <v>6</v>
      </c>
    </row>
    <row r="13" spans="1:13" ht="15.75" x14ac:dyDescent="0.25">
      <c r="B13" s="248" t="s">
        <v>468</v>
      </c>
      <c r="C13" s="246"/>
      <c r="D13" s="247">
        <f>SUM(D9:D12)</f>
        <v>30</v>
      </c>
      <c r="F13" s="244"/>
      <c r="G13" s="241"/>
      <c r="H13" s="241"/>
      <c r="K13" s="244">
        <v>150001</v>
      </c>
      <c r="L13" s="241">
        <v>200000</v>
      </c>
      <c r="M13" s="241">
        <v>4</v>
      </c>
    </row>
    <row r="14" spans="1:13" ht="15.75" x14ac:dyDescent="0.25">
      <c r="F14" s="244"/>
      <c r="G14" s="241"/>
      <c r="H14" s="241"/>
      <c r="K14" s="244">
        <v>200001</v>
      </c>
      <c r="L14" s="241">
        <v>250000</v>
      </c>
      <c r="M14" s="241">
        <v>2</v>
      </c>
    </row>
    <row r="15" spans="1:13" x14ac:dyDescent="0.25">
      <c r="B15" s="238" t="s">
        <v>415</v>
      </c>
      <c r="C15" s="238"/>
      <c r="D15" s="240"/>
    </row>
    <row r="16" spans="1:13" x14ac:dyDescent="0.25">
      <c r="B16" s="238" t="s">
        <v>501</v>
      </c>
      <c r="C16" s="238">
        <v>100000</v>
      </c>
      <c r="D16" s="240">
        <v>8</v>
      </c>
      <c r="K16" s="245" t="s">
        <v>499</v>
      </c>
    </row>
    <row r="17" spans="2:13" ht="15.75" x14ac:dyDescent="0.25">
      <c r="B17" s="238" t="s">
        <v>499</v>
      </c>
      <c r="C17" s="238">
        <v>10000</v>
      </c>
      <c r="D17" s="240">
        <v>4</v>
      </c>
      <c r="K17" s="244">
        <v>0</v>
      </c>
      <c r="L17" s="241">
        <v>2500</v>
      </c>
      <c r="M17" s="241">
        <v>10</v>
      </c>
    </row>
    <row r="18" spans="2:13" ht="15.75" x14ac:dyDescent="0.25">
      <c r="B18" s="238" t="s">
        <v>502</v>
      </c>
      <c r="C18" s="238">
        <f>C16/C17</f>
        <v>10</v>
      </c>
      <c r="D18" s="240">
        <v>8</v>
      </c>
      <c r="K18" s="244">
        <v>2501</v>
      </c>
      <c r="L18" s="241">
        <v>5000</v>
      </c>
      <c r="M18" s="241">
        <v>8</v>
      </c>
    </row>
    <row r="19" spans="2:13" ht="15.75" x14ac:dyDescent="0.25">
      <c r="B19" s="248" t="s">
        <v>468</v>
      </c>
      <c r="C19" s="246"/>
      <c r="D19" s="247">
        <f>SUM(D15:D18)</f>
        <v>20</v>
      </c>
      <c r="K19" s="244">
        <v>5001</v>
      </c>
      <c r="L19" s="241">
        <v>7500</v>
      </c>
      <c r="M19" s="241">
        <v>6</v>
      </c>
    </row>
    <row r="20" spans="2:13" ht="15.75" x14ac:dyDescent="0.25">
      <c r="K20" s="244">
        <v>7501</v>
      </c>
      <c r="L20" s="241">
        <v>10000</v>
      </c>
      <c r="M20" s="241">
        <v>4</v>
      </c>
    </row>
    <row r="21" spans="2:13" ht="15.75" x14ac:dyDescent="0.25">
      <c r="K21" s="244">
        <v>10001</v>
      </c>
      <c r="L21" s="241">
        <v>12500</v>
      </c>
      <c r="M21" s="241">
        <v>2</v>
      </c>
    </row>
    <row r="22" spans="2:13" x14ac:dyDescent="0.25">
      <c r="K22" s="243">
        <v>12501</v>
      </c>
      <c r="L22" s="243">
        <v>15000</v>
      </c>
      <c r="M22" s="243">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
  <sheetViews>
    <sheetView workbookViewId="0">
      <selection activeCell="K17" sqref="K17"/>
    </sheetView>
  </sheetViews>
  <sheetFormatPr defaultColWidth="8.85546875" defaultRowHeight="15" x14ac:dyDescent="0.25"/>
  <sheetData>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E13" sqref="E13"/>
    </sheetView>
  </sheetViews>
  <sheetFormatPr defaultColWidth="8.85546875" defaultRowHeight="15" x14ac:dyDescent="0.25"/>
  <cols>
    <col min="2" max="2" width="54" bestFit="1" customWidth="1"/>
  </cols>
  <sheetData>
    <row r="2" spans="1:2" ht="15.75" x14ac:dyDescent="0.25">
      <c r="A2" s="419" t="s">
        <v>111</v>
      </c>
      <c r="B2" s="49" t="s">
        <v>112</v>
      </c>
    </row>
    <row r="3" spans="1:2" ht="15.75" x14ac:dyDescent="0.25">
      <c r="A3" s="420"/>
      <c r="B3" s="50" t="s">
        <v>113</v>
      </c>
    </row>
    <row r="4" spans="1:2" ht="15.75" x14ac:dyDescent="0.25">
      <c r="A4" s="420"/>
      <c r="B4" s="49" t="s">
        <v>114</v>
      </c>
    </row>
    <row r="5" spans="1:2" ht="15.75" x14ac:dyDescent="0.25">
      <c r="A5" s="420"/>
      <c r="B5" s="49" t="s">
        <v>119</v>
      </c>
    </row>
    <row r="6" spans="1:2" ht="15.75" x14ac:dyDescent="0.25">
      <c r="A6" s="420"/>
      <c r="B6" s="51" t="s">
        <v>31</v>
      </c>
    </row>
    <row r="7" spans="1:2" ht="15.75" x14ac:dyDescent="0.25">
      <c r="A7" s="420"/>
      <c r="B7" s="50" t="s">
        <v>32</v>
      </c>
    </row>
    <row r="8" spans="1:2" ht="15.75" x14ac:dyDescent="0.25">
      <c r="A8" s="420"/>
      <c r="B8" s="51" t="s">
        <v>38</v>
      </c>
    </row>
    <row r="9" spans="1:2" ht="15.75" x14ac:dyDescent="0.25">
      <c r="A9" s="420"/>
      <c r="B9" s="51" t="s">
        <v>40</v>
      </c>
    </row>
    <row r="10" spans="1:2" ht="15.75" x14ac:dyDescent="0.25">
      <c r="A10" s="420"/>
      <c r="B10" s="52" t="s">
        <v>44</v>
      </c>
    </row>
    <row r="11" spans="1:2" ht="15.75" x14ac:dyDescent="0.25">
      <c r="A11" s="420"/>
      <c r="B11" s="51" t="s">
        <v>45</v>
      </c>
    </row>
    <row r="12" spans="1:2" ht="15.75" x14ac:dyDescent="0.25">
      <c r="A12" s="420"/>
      <c r="B12" s="53" t="s">
        <v>12</v>
      </c>
    </row>
    <row r="13" spans="1:2" ht="15.75" x14ac:dyDescent="0.25">
      <c r="A13" s="420"/>
      <c r="B13" s="54" t="s">
        <v>46</v>
      </c>
    </row>
    <row r="14" spans="1:2" ht="15.75" x14ac:dyDescent="0.25">
      <c r="A14" s="420"/>
      <c r="B14" s="54" t="s">
        <v>47</v>
      </c>
    </row>
    <row r="15" spans="1:2" ht="15.75" x14ac:dyDescent="0.25">
      <c r="A15" s="420"/>
      <c r="B15" s="55" t="s">
        <v>13</v>
      </c>
    </row>
    <row r="16" spans="1:2" ht="15.75" x14ac:dyDescent="0.25">
      <c r="A16" s="421"/>
      <c r="B16" s="51" t="s">
        <v>48</v>
      </c>
    </row>
  </sheetData>
  <mergeCells count="1">
    <mergeCell ref="A2:A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topLeftCell="A55" workbookViewId="0">
      <selection activeCell="H20" sqref="H20"/>
    </sheetView>
  </sheetViews>
  <sheetFormatPr defaultColWidth="8.85546875" defaultRowHeight="15" x14ac:dyDescent="0.25"/>
  <cols>
    <col min="2" max="2" width="76" bestFit="1" customWidth="1"/>
  </cols>
  <sheetData>
    <row r="2" spans="1:5" ht="15.75" x14ac:dyDescent="0.25">
      <c r="A2" s="425" t="s">
        <v>120</v>
      </c>
      <c r="B2" s="56" t="s">
        <v>329</v>
      </c>
      <c r="C2" s="422"/>
      <c r="D2" s="423"/>
      <c r="E2" s="424"/>
    </row>
    <row r="3" spans="1:5" ht="15.75" x14ac:dyDescent="0.25">
      <c r="A3" s="426"/>
      <c r="B3" s="56" t="s">
        <v>330</v>
      </c>
      <c r="C3" s="422"/>
      <c r="D3" s="423"/>
      <c r="E3" s="424"/>
    </row>
    <row r="4" spans="1:5" ht="15.75" x14ac:dyDescent="0.25">
      <c r="A4" s="426"/>
      <c r="B4" s="56" t="s">
        <v>331</v>
      </c>
      <c r="C4" s="422"/>
      <c r="D4" s="423"/>
      <c r="E4" s="424"/>
    </row>
    <row r="5" spans="1:5" ht="15.75" x14ac:dyDescent="0.25">
      <c r="A5" s="426"/>
      <c r="B5" s="56" t="s">
        <v>151</v>
      </c>
      <c r="C5" s="422"/>
      <c r="D5" s="423"/>
      <c r="E5" s="424"/>
    </row>
    <row r="6" spans="1:5" ht="15.75" x14ac:dyDescent="0.25">
      <c r="A6" s="426"/>
      <c r="B6" s="56" t="s">
        <v>157</v>
      </c>
      <c r="C6" s="422"/>
      <c r="D6" s="423"/>
      <c r="E6" s="424"/>
    </row>
    <row r="7" spans="1:5" ht="15.75" x14ac:dyDescent="0.25">
      <c r="A7" s="426"/>
      <c r="B7" s="56" t="s">
        <v>332</v>
      </c>
      <c r="C7" s="422"/>
      <c r="D7" s="423"/>
      <c r="E7" s="424"/>
    </row>
    <row r="8" spans="1:5" ht="15.75" x14ac:dyDescent="0.25">
      <c r="A8" s="426"/>
      <c r="B8" s="56" t="s">
        <v>333</v>
      </c>
      <c r="C8" s="422"/>
      <c r="D8" s="423"/>
      <c r="E8" s="424"/>
    </row>
    <row r="9" spans="1:5" ht="15.75" x14ac:dyDescent="0.25">
      <c r="A9" s="426"/>
      <c r="B9" s="56" t="s">
        <v>158</v>
      </c>
      <c r="C9" s="422"/>
      <c r="D9" s="423"/>
      <c r="E9" s="424"/>
    </row>
    <row r="10" spans="1:5" ht="15.75" x14ac:dyDescent="0.25">
      <c r="A10" s="426"/>
      <c r="B10" s="56" t="s">
        <v>159</v>
      </c>
      <c r="C10" s="422"/>
      <c r="D10" s="423"/>
      <c r="E10" s="424"/>
    </row>
    <row r="11" spans="1:5" ht="15.75" x14ac:dyDescent="0.25">
      <c r="A11" s="426"/>
      <c r="B11" s="56" t="s">
        <v>160</v>
      </c>
      <c r="C11" s="422"/>
      <c r="D11" s="423"/>
      <c r="E11" s="424"/>
    </row>
    <row r="12" spans="1:5" ht="15.75" x14ac:dyDescent="0.25">
      <c r="A12" s="426"/>
      <c r="B12" s="56" t="s">
        <v>172</v>
      </c>
      <c r="C12" s="422"/>
      <c r="D12" s="423"/>
      <c r="E12" s="424"/>
    </row>
    <row r="13" spans="1:5" ht="15.75" x14ac:dyDescent="0.25">
      <c r="A13" s="426"/>
      <c r="B13" s="56" t="s">
        <v>173</v>
      </c>
      <c r="C13" s="422"/>
      <c r="D13" s="423"/>
      <c r="E13" s="424"/>
    </row>
    <row r="14" spans="1:5" ht="15.75" x14ac:dyDescent="0.25">
      <c r="A14" s="426"/>
      <c r="B14" s="56" t="s">
        <v>334</v>
      </c>
      <c r="C14" s="422"/>
      <c r="D14" s="423"/>
      <c r="E14" s="424"/>
    </row>
    <row r="15" spans="1:5" ht="15.75" x14ac:dyDescent="0.25">
      <c r="A15" s="426"/>
      <c r="B15" s="56" t="s">
        <v>335</v>
      </c>
      <c r="C15" s="422"/>
      <c r="D15" s="423"/>
      <c r="E15" s="424"/>
    </row>
    <row r="16" spans="1:5" ht="15.75" x14ac:dyDescent="0.25">
      <c r="A16" s="426"/>
      <c r="B16" s="56" t="s">
        <v>181</v>
      </c>
      <c r="C16" s="422"/>
      <c r="D16" s="423"/>
      <c r="E16" s="424"/>
    </row>
    <row r="17" spans="1:5" ht="15.75" x14ac:dyDescent="0.25">
      <c r="A17" s="426"/>
      <c r="B17" s="56" t="s">
        <v>12</v>
      </c>
      <c r="C17" s="422"/>
      <c r="D17" s="423"/>
      <c r="E17" s="424"/>
    </row>
    <row r="18" spans="1:5" ht="15.75" x14ac:dyDescent="0.25">
      <c r="A18" s="426"/>
      <c r="B18" s="56" t="s">
        <v>13</v>
      </c>
      <c r="C18" s="422"/>
      <c r="D18" s="423"/>
      <c r="E18" s="424"/>
    </row>
    <row r="19" spans="1:5" ht="15.75" x14ac:dyDescent="0.25">
      <c r="A19" s="426"/>
      <c r="B19" s="56" t="s">
        <v>182</v>
      </c>
      <c r="C19" s="422"/>
      <c r="D19" s="423"/>
      <c r="E19" s="424"/>
    </row>
    <row r="20" spans="1:5" ht="15.75" x14ac:dyDescent="0.25">
      <c r="A20" s="426"/>
      <c r="B20" s="56" t="s">
        <v>183</v>
      </c>
      <c r="C20" s="422"/>
      <c r="D20" s="423"/>
      <c r="E20" s="424"/>
    </row>
    <row r="21" spans="1:5" ht="15.75" x14ac:dyDescent="0.25">
      <c r="A21" s="426"/>
      <c r="B21" s="56" t="s">
        <v>171</v>
      </c>
      <c r="C21" s="422"/>
      <c r="D21" s="423"/>
      <c r="E21" s="424"/>
    </row>
    <row r="22" spans="1:5" ht="15.75" x14ac:dyDescent="0.25">
      <c r="A22" s="426"/>
      <c r="B22" s="56" t="s">
        <v>336</v>
      </c>
      <c r="C22" s="422"/>
      <c r="D22" s="423"/>
      <c r="E22" s="424"/>
    </row>
    <row r="23" spans="1:5" ht="15.75" x14ac:dyDescent="0.25">
      <c r="A23" s="426"/>
      <c r="B23" s="56" t="s">
        <v>184</v>
      </c>
      <c r="C23" s="422"/>
      <c r="D23" s="423"/>
      <c r="E23" s="424"/>
    </row>
    <row r="24" spans="1:5" ht="15.75" x14ac:dyDescent="0.25">
      <c r="A24" s="426"/>
      <c r="B24" s="56" t="s">
        <v>12</v>
      </c>
      <c r="C24" s="422"/>
      <c r="D24" s="423"/>
      <c r="E24" s="424"/>
    </row>
    <row r="25" spans="1:5" ht="15.75" x14ac:dyDescent="0.25">
      <c r="A25" s="426"/>
      <c r="B25" s="56" t="s">
        <v>13</v>
      </c>
      <c r="C25" s="422"/>
      <c r="D25" s="423"/>
      <c r="E25" s="424"/>
    </row>
    <row r="26" spans="1:5" ht="15.75" x14ac:dyDescent="0.25">
      <c r="A26" s="426"/>
      <c r="B26" s="56" t="s">
        <v>337</v>
      </c>
      <c r="C26" s="422"/>
      <c r="D26" s="423"/>
      <c r="E26" s="424"/>
    </row>
    <row r="27" spans="1:5" ht="15.75" x14ac:dyDescent="0.25">
      <c r="A27" s="426"/>
      <c r="B27" s="56" t="s">
        <v>324</v>
      </c>
      <c r="C27" s="422"/>
      <c r="D27" s="423"/>
      <c r="E27" s="424"/>
    </row>
    <row r="28" spans="1:5" ht="15.75" x14ac:dyDescent="0.25">
      <c r="A28" s="426"/>
      <c r="B28" s="56" t="s">
        <v>325</v>
      </c>
      <c r="C28" s="422"/>
      <c r="D28" s="423"/>
      <c r="E28" s="424"/>
    </row>
    <row r="29" spans="1:5" ht="15.75" x14ac:dyDescent="0.25">
      <c r="A29" s="426"/>
      <c r="B29" s="56" t="s">
        <v>257</v>
      </c>
      <c r="C29" s="422"/>
      <c r="D29" s="423"/>
      <c r="E29" s="424"/>
    </row>
    <row r="30" spans="1:5" ht="15.75" x14ac:dyDescent="0.25">
      <c r="A30" s="426"/>
      <c r="B30" s="56" t="s">
        <v>258</v>
      </c>
      <c r="C30" s="422"/>
      <c r="D30" s="423"/>
      <c r="E30" s="424"/>
    </row>
    <row r="31" spans="1:5" ht="15.75" x14ac:dyDescent="0.25">
      <c r="A31" s="426"/>
      <c r="B31" s="56" t="s">
        <v>259</v>
      </c>
      <c r="C31" s="422"/>
      <c r="D31" s="423"/>
      <c r="E31" s="424"/>
    </row>
    <row r="32" spans="1:5" ht="15.75" x14ac:dyDescent="0.25">
      <c r="A32" s="426"/>
      <c r="B32" s="56" t="s">
        <v>260</v>
      </c>
      <c r="C32" s="422"/>
      <c r="D32" s="423"/>
      <c r="E32" s="424"/>
    </row>
    <row r="33" spans="1:5" ht="15.75" x14ac:dyDescent="0.25">
      <c r="A33" s="426"/>
      <c r="B33" s="56" t="s">
        <v>261</v>
      </c>
      <c r="C33" s="422"/>
      <c r="D33" s="423"/>
      <c r="E33" s="424"/>
    </row>
    <row r="34" spans="1:5" ht="15.75" x14ac:dyDescent="0.25">
      <c r="A34" s="426"/>
      <c r="B34" s="56" t="s">
        <v>262</v>
      </c>
      <c r="C34" s="422"/>
      <c r="D34" s="423"/>
      <c r="E34" s="424"/>
    </row>
    <row r="35" spans="1:5" ht="15.75" x14ac:dyDescent="0.25">
      <c r="A35" s="426"/>
      <c r="B35" s="56" t="s">
        <v>263</v>
      </c>
      <c r="C35" s="422"/>
      <c r="D35" s="423"/>
      <c r="E35" s="424"/>
    </row>
    <row r="36" spans="1:5" ht="15.75" x14ac:dyDescent="0.25">
      <c r="A36" s="426"/>
      <c r="B36" s="56" t="s">
        <v>264</v>
      </c>
      <c r="C36" s="422"/>
      <c r="D36" s="423"/>
      <c r="E36" s="424"/>
    </row>
    <row r="37" spans="1:5" ht="15.75" x14ac:dyDescent="0.25">
      <c r="A37" s="426"/>
      <c r="B37" s="56" t="s">
        <v>265</v>
      </c>
      <c r="C37" s="422"/>
      <c r="D37" s="423"/>
      <c r="E37" s="424"/>
    </row>
    <row r="38" spans="1:5" ht="15.75" x14ac:dyDescent="0.25">
      <c r="A38" s="426"/>
      <c r="B38" s="56" t="s">
        <v>266</v>
      </c>
      <c r="C38" s="422"/>
      <c r="D38" s="423"/>
      <c r="E38" s="424"/>
    </row>
    <row r="39" spans="1:5" ht="15.75" x14ac:dyDescent="0.25">
      <c r="A39" s="426"/>
      <c r="B39" s="56" t="s">
        <v>267</v>
      </c>
      <c r="C39" s="422"/>
      <c r="D39" s="423"/>
      <c r="E39" s="424"/>
    </row>
    <row r="40" spans="1:5" ht="15.75" x14ac:dyDescent="0.25">
      <c r="A40" s="426"/>
      <c r="B40" s="56" t="s">
        <v>268</v>
      </c>
      <c r="C40" s="422"/>
      <c r="D40" s="423"/>
      <c r="E40" s="424"/>
    </row>
    <row r="41" spans="1:5" ht="15.75" x14ac:dyDescent="0.25">
      <c r="A41" s="426"/>
      <c r="B41" s="56" t="s">
        <v>269</v>
      </c>
      <c r="C41" s="422"/>
      <c r="D41" s="423"/>
      <c r="E41" s="424"/>
    </row>
    <row r="42" spans="1:5" ht="15.75" x14ac:dyDescent="0.25">
      <c r="A42" s="426"/>
      <c r="B42" s="56" t="s">
        <v>270</v>
      </c>
      <c r="C42" s="422"/>
      <c r="D42" s="423"/>
      <c r="E42" s="424"/>
    </row>
    <row r="43" spans="1:5" ht="15.75" x14ac:dyDescent="0.25">
      <c r="A43" s="426"/>
      <c r="B43" s="56" t="s">
        <v>271</v>
      </c>
      <c r="C43" s="422"/>
      <c r="D43" s="423"/>
      <c r="E43" s="424"/>
    </row>
    <row r="44" spans="1:5" ht="15.75" x14ac:dyDescent="0.25">
      <c r="A44" s="426"/>
      <c r="B44" s="56" t="s">
        <v>272</v>
      </c>
      <c r="C44" s="422"/>
      <c r="D44" s="423"/>
      <c r="E44" s="424"/>
    </row>
    <row r="45" spans="1:5" ht="15.75" x14ac:dyDescent="0.25">
      <c r="A45" s="426"/>
      <c r="B45" s="56" t="s">
        <v>273</v>
      </c>
      <c r="C45" s="422"/>
      <c r="D45" s="423"/>
      <c r="E45" s="424"/>
    </row>
    <row r="46" spans="1:5" ht="15.75" x14ac:dyDescent="0.25">
      <c r="A46" s="426"/>
      <c r="B46" s="56" t="s">
        <v>274</v>
      </c>
      <c r="C46" s="422"/>
      <c r="D46" s="423"/>
      <c r="E46" s="424"/>
    </row>
    <row r="47" spans="1:5" ht="15.75" x14ac:dyDescent="0.25">
      <c r="A47" s="426"/>
      <c r="B47" s="56" t="s">
        <v>275</v>
      </c>
      <c r="C47" s="422"/>
      <c r="D47" s="423"/>
      <c r="E47" s="424"/>
    </row>
    <row r="48" spans="1:5" ht="15.75" x14ac:dyDescent="0.25">
      <c r="A48" s="426"/>
      <c r="B48" s="56" t="s">
        <v>276</v>
      </c>
      <c r="C48" s="422"/>
      <c r="D48" s="423"/>
      <c r="E48" s="424"/>
    </row>
    <row r="49" spans="1:5" ht="15.75" x14ac:dyDescent="0.25">
      <c r="A49" s="426"/>
      <c r="B49" s="56" t="s">
        <v>277</v>
      </c>
      <c r="C49" s="422"/>
      <c r="D49" s="423"/>
      <c r="E49" s="424"/>
    </row>
    <row r="50" spans="1:5" ht="15.75" x14ac:dyDescent="0.25">
      <c r="A50" s="426"/>
      <c r="B50" s="56" t="s">
        <v>278</v>
      </c>
      <c r="C50" s="422"/>
      <c r="D50" s="423"/>
      <c r="E50" s="424"/>
    </row>
    <row r="51" spans="1:5" ht="15.75" x14ac:dyDescent="0.25">
      <c r="A51" s="426"/>
      <c r="B51" s="56" t="s">
        <v>279</v>
      </c>
      <c r="C51" s="422"/>
      <c r="D51" s="423"/>
      <c r="E51" s="424"/>
    </row>
    <row r="52" spans="1:5" ht="15.75" x14ac:dyDescent="0.25">
      <c r="A52" s="426"/>
      <c r="B52" s="56" t="s">
        <v>280</v>
      </c>
      <c r="C52" s="422"/>
      <c r="D52" s="423"/>
      <c r="E52" s="424"/>
    </row>
    <row r="53" spans="1:5" ht="15.75" x14ac:dyDescent="0.25">
      <c r="A53" s="426"/>
      <c r="B53" s="56" t="s">
        <v>281</v>
      </c>
      <c r="C53" s="422"/>
      <c r="D53" s="423"/>
      <c r="E53" s="424"/>
    </row>
    <row r="54" spans="1:5" ht="15.75" x14ac:dyDescent="0.25">
      <c r="A54" s="426"/>
      <c r="B54" s="56" t="s">
        <v>282</v>
      </c>
      <c r="C54" s="422"/>
      <c r="D54" s="423"/>
      <c r="E54" s="424"/>
    </row>
    <row r="55" spans="1:5" ht="15.75" x14ac:dyDescent="0.25">
      <c r="A55" s="426"/>
      <c r="B55" s="56" t="s">
        <v>283</v>
      </c>
      <c r="C55" s="422"/>
      <c r="D55" s="423"/>
      <c r="E55" s="424"/>
    </row>
    <row r="56" spans="1:5" ht="15.75" x14ac:dyDescent="0.25">
      <c r="A56" s="426"/>
      <c r="B56" s="56" t="s">
        <v>284</v>
      </c>
      <c r="C56" s="422"/>
      <c r="D56" s="423"/>
      <c r="E56" s="424"/>
    </row>
    <row r="57" spans="1:5" ht="15.75" x14ac:dyDescent="0.25">
      <c r="A57" s="426"/>
      <c r="B57" s="56" t="s">
        <v>285</v>
      </c>
      <c r="C57" s="422"/>
      <c r="D57" s="423"/>
      <c r="E57" s="424"/>
    </row>
    <row r="58" spans="1:5" ht="15.75" x14ac:dyDescent="0.25">
      <c r="A58" s="426"/>
      <c r="B58" s="56" t="s">
        <v>286</v>
      </c>
      <c r="C58" s="422"/>
      <c r="D58" s="423"/>
      <c r="E58" s="424"/>
    </row>
    <row r="59" spans="1:5" ht="15.75" x14ac:dyDescent="0.25">
      <c r="A59" s="426"/>
      <c r="B59" s="56" t="s">
        <v>287</v>
      </c>
      <c r="C59" s="422"/>
      <c r="D59" s="423"/>
      <c r="E59" s="424"/>
    </row>
  </sheetData>
  <mergeCells count="59">
    <mergeCell ref="C59:E59"/>
    <mergeCell ref="C53:E53"/>
    <mergeCell ref="C54:E54"/>
    <mergeCell ref="C55:E55"/>
    <mergeCell ref="C56:E56"/>
    <mergeCell ref="C57:E57"/>
    <mergeCell ref="C58:E58"/>
    <mergeCell ref="C52:E52"/>
    <mergeCell ref="C41:E41"/>
    <mergeCell ref="C42:E42"/>
    <mergeCell ref="C43:E43"/>
    <mergeCell ref="C44:E44"/>
    <mergeCell ref="C45:E45"/>
    <mergeCell ref="C46:E46"/>
    <mergeCell ref="C47:E47"/>
    <mergeCell ref="C48:E48"/>
    <mergeCell ref="C49:E49"/>
    <mergeCell ref="C50:E50"/>
    <mergeCell ref="C51:E51"/>
    <mergeCell ref="C40:E40"/>
    <mergeCell ref="C29:E29"/>
    <mergeCell ref="C30:E30"/>
    <mergeCell ref="C31:E31"/>
    <mergeCell ref="C32:E32"/>
    <mergeCell ref="C33:E33"/>
    <mergeCell ref="C34:E34"/>
    <mergeCell ref="C35:E35"/>
    <mergeCell ref="C36:E36"/>
    <mergeCell ref="C37:E37"/>
    <mergeCell ref="C38:E38"/>
    <mergeCell ref="C39:E39"/>
    <mergeCell ref="C28:E28"/>
    <mergeCell ref="C17:E17"/>
    <mergeCell ref="C18:E18"/>
    <mergeCell ref="C19:E19"/>
    <mergeCell ref="C20:E20"/>
    <mergeCell ref="C21:E21"/>
    <mergeCell ref="C22:E22"/>
    <mergeCell ref="C23:E23"/>
    <mergeCell ref="C24:E24"/>
    <mergeCell ref="C25:E25"/>
    <mergeCell ref="C26:E26"/>
    <mergeCell ref="C27:E27"/>
    <mergeCell ref="C16:E16"/>
    <mergeCell ref="A2:A59"/>
    <mergeCell ref="C2:E2"/>
    <mergeCell ref="C3:E3"/>
    <mergeCell ref="C4:E4"/>
    <mergeCell ref="C5:E5"/>
    <mergeCell ref="C6:E6"/>
    <mergeCell ref="C7:E7"/>
    <mergeCell ref="C8:E8"/>
    <mergeCell ref="C9:E9"/>
    <mergeCell ref="C10:E10"/>
    <mergeCell ref="C11:E11"/>
    <mergeCell ref="C12:E12"/>
    <mergeCell ref="C13:E13"/>
    <mergeCell ref="C14:E14"/>
    <mergeCell ref="C15:E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K16" sqref="K16"/>
    </sheetView>
  </sheetViews>
  <sheetFormatPr defaultColWidth="8.85546875" defaultRowHeight="15" x14ac:dyDescent="0.25"/>
  <cols>
    <col min="2" max="2" width="28.85546875" bestFit="1" customWidth="1"/>
  </cols>
  <sheetData>
    <row r="2" spans="1:2" ht="15.75" x14ac:dyDescent="0.25">
      <c r="A2" s="427" t="s">
        <v>197</v>
      </c>
      <c r="B2" s="57" t="s">
        <v>198</v>
      </c>
    </row>
    <row r="3" spans="1:2" ht="15.75" x14ac:dyDescent="0.25">
      <c r="A3" s="428"/>
      <c r="B3" s="57" t="s">
        <v>202</v>
      </c>
    </row>
    <row r="4" spans="1:2" ht="15.75" x14ac:dyDescent="0.25">
      <c r="A4" s="428"/>
      <c r="B4" s="58" t="s">
        <v>203</v>
      </c>
    </row>
    <row r="5" spans="1:2" ht="15.75" x14ac:dyDescent="0.25">
      <c r="A5" s="428"/>
      <c r="B5" s="58" t="s">
        <v>204</v>
      </c>
    </row>
    <row r="6" spans="1:2" ht="15.75" x14ac:dyDescent="0.25">
      <c r="A6" s="428"/>
      <c r="B6" s="58" t="s">
        <v>205</v>
      </c>
    </row>
  </sheetData>
  <mergeCells count="1">
    <mergeCell ref="A2:A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1"/>
  <sheetViews>
    <sheetView topLeftCell="A31" workbookViewId="0">
      <selection activeCell="D17" sqref="D17:E17"/>
    </sheetView>
  </sheetViews>
  <sheetFormatPr defaultColWidth="8.85546875" defaultRowHeight="15" x14ac:dyDescent="0.25"/>
  <cols>
    <col min="2" max="2" width="63.28515625" bestFit="1" customWidth="1"/>
  </cols>
  <sheetData>
    <row r="2" spans="1:7" ht="15.75" x14ac:dyDescent="0.25">
      <c r="A2" s="429" t="s">
        <v>225</v>
      </c>
      <c r="B2" s="60" t="s">
        <v>226</v>
      </c>
    </row>
    <row r="3" spans="1:7" ht="15.75" x14ac:dyDescent="0.25">
      <c r="A3" s="430"/>
      <c r="B3" s="61" t="s">
        <v>227</v>
      </c>
    </row>
    <row r="4" spans="1:7" ht="15.75" x14ac:dyDescent="0.25">
      <c r="A4" s="430"/>
      <c r="B4" s="61" t="s">
        <v>228</v>
      </c>
    </row>
    <row r="5" spans="1:7" ht="15.75" x14ac:dyDescent="0.25">
      <c r="A5" s="430"/>
      <c r="B5" s="61" t="s">
        <v>229</v>
      </c>
    </row>
    <row r="6" spans="1:7" ht="15.75" x14ac:dyDescent="0.25">
      <c r="A6" s="430"/>
      <c r="B6" s="61" t="s">
        <v>231</v>
      </c>
    </row>
    <row r="7" spans="1:7" ht="15.75" x14ac:dyDescent="0.25">
      <c r="A7" s="430"/>
      <c r="B7" s="61" t="s">
        <v>232</v>
      </c>
    </row>
    <row r="8" spans="1:7" ht="31.5" x14ac:dyDescent="0.25">
      <c r="A8" s="430"/>
      <c r="B8" s="62" t="s">
        <v>339</v>
      </c>
      <c r="G8">
        <f ca="1">+G8:G15</f>
        <v>0</v>
      </c>
    </row>
    <row r="9" spans="1:7" ht="15.75" x14ac:dyDescent="0.25">
      <c r="A9" s="430"/>
      <c r="B9" s="61" t="s">
        <v>233</v>
      </c>
    </row>
    <row r="10" spans="1:7" ht="15.75" x14ac:dyDescent="0.25">
      <c r="A10" s="430"/>
      <c r="B10" s="61" t="s">
        <v>234</v>
      </c>
    </row>
    <row r="11" spans="1:7" ht="15.75" x14ac:dyDescent="0.25">
      <c r="A11" s="430"/>
      <c r="B11" s="61" t="s">
        <v>235</v>
      </c>
    </row>
    <row r="12" spans="1:7" ht="15.75" x14ac:dyDescent="0.25">
      <c r="A12" s="430"/>
      <c r="B12" s="61" t="s">
        <v>236</v>
      </c>
    </row>
    <row r="13" spans="1:7" ht="15.75" x14ac:dyDescent="0.25">
      <c r="A13" s="430"/>
      <c r="B13" s="61" t="s">
        <v>237</v>
      </c>
    </row>
    <row r="14" spans="1:7" ht="15.75" x14ac:dyDescent="0.25">
      <c r="A14" s="430"/>
      <c r="B14" s="61" t="s">
        <v>238</v>
      </c>
    </row>
    <row r="15" spans="1:7" ht="15.75" x14ac:dyDescent="0.25">
      <c r="A15" s="430"/>
      <c r="B15" s="63" t="s">
        <v>239</v>
      </c>
    </row>
    <row r="16" spans="1:7" ht="15.75" x14ac:dyDescent="0.25">
      <c r="A16" s="430"/>
      <c r="B16" s="61" t="s">
        <v>185</v>
      </c>
    </row>
    <row r="17" spans="1:2" ht="15.75" x14ac:dyDescent="0.25">
      <c r="A17" s="430"/>
      <c r="B17" s="61" t="s">
        <v>186</v>
      </c>
    </row>
    <row r="18" spans="1:2" ht="15.75" x14ac:dyDescent="0.25">
      <c r="A18" s="430"/>
      <c r="B18" s="61" t="s">
        <v>187</v>
      </c>
    </row>
    <row r="19" spans="1:2" ht="15.75" x14ac:dyDescent="0.25">
      <c r="A19" s="430"/>
      <c r="B19" s="61" t="s">
        <v>188</v>
      </c>
    </row>
    <row r="20" spans="1:2" ht="15.75" x14ac:dyDescent="0.25">
      <c r="A20" s="430"/>
      <c r="B20" s="61" t="s">
        <v>189</v>
      </c>
    </row>
    <row r="21" spans="1:2" ht="15.75" x14ac:dyDescent="0.25">
      <c r="A21" s="430"/>
      <c r="B21" s="61" t="s">
        <v>190</v>
      </c>
    </row>
    <row r="22" spans="1:2" ht="15.75" x14ac:dyDescent="0.25">
      <c r="A22" s="430"/>
      <c r="B22" s="60" t="s">
        <v>240</v>
      </c>
    </row>
    <row r="23" spans="1:2" ht="15.75" x14ac:dyDescent="0.25">
      <c r="A23" s="430"/>
      <c r="B23" s="60" t="s">
        <v>245</v>
      </c>
    </row>
    <row r="24" spans="1:2" ht="15.75" x14ac:dyDescent="0.25">
      <c r="A24" s="430"/>
      <c r="B24" s="60" t="s">
        <v>246</v>
      </c>
    </row>
    <row r="26" spans="1:2" ht="15.75" x14ac:dyDescent="0.25">
      <c r="A26" s="431" t="s">
        <v>225</v>
      </c>
      <c r="B26" s="64" t="s">
        <v>247</v>
      </c>
    </row>
    <row r="27" spans="1:2" ht="31.5" x14ac:dyDescent="0.25">
      <c r="A27" s="432"/>
      <c r="B27" s="65" t="s">
        <v>248</v>
      </c>
    </row>
    <row r="28" spans="1:2" ht="15.75" x14ac:dyDescent="0.25">
      <c r="A28" s="432"/>
      <c r="B28" s="64" t="s">
        <v>249</v>
      </c>
    </row>
    <row r="29" spans="1:2" ht="31.5" x14ac:dyDescent="0.25">
      <c r="A29" s="432"/>
      <c r="B29" s="65" t="s">
        <v>248</v>
      </c>
    </row>
    <row r="30" spans="1:2" ht="15.75" x14ac:dyDescent="0.25">
      <c r="A30" s="432"/>
      <c r="B30" s="66" t="s">
        <v>250</v>
      </c>
    </row>
    <row r="31" spans="1:2" ht="15.75" x14ac:dyDescent="0.25">
      <c r="A31" s="432"/>
      <c r="B31" s="66" t="s">
        <v>251</v>
      </c>
    </row>
    <row r="32" spans="1:2" ht="15.75" x14ac:dyDescent="0.25">
      <c r="A32" s="432"/>
      <c r="B32" s="66" t="s">
        <v>252</v>
      </c>
    </row>
    <row r="33" spans="1:2" ht="15.75" x14ac:dyDescent="0.25">
      <c r="A33" s="432"/>
      <c r="B33" s="66" t="s">
        <v>253</v>
      </c>
    </row>
    <row r="34" spans="1:2" ht="15.75" x14ac:dyDescent="0.25">
      <c r="A34" s="432"/>
      <c r="B34" s="66" t="s">
        <v>254</v>
      </c>
    </row>
    <row r="35" spans="1:2" ht="15.75" x14ac:dyDescent="0.25">
      <c r="A35" s="432"/>
      <c r="B35" s="66" t="s">
        <v>255</v>
      </c>
    </row>
    <row r="36" spans="1:2" ht="15.75" x14ac:dyDescent="0.25">
      <c r="A36" s="432"/>
      <c r="B36" s="66" t="s">
        <v>256</v>
      </c>
    </row>
    <row r="37" spans="1:2" ht="15.75" x14ac:dyDescent="0.25">
      <c r="A37" s="432"/>
      <c r="B37" s="67" t="s">
        <v>288</v>
      </c>
    </row>
    <row r="38" spans="1:2" ht="15.75" x14ac:dyDescent="0.25">
      <c r="A38" s="432"/>
      <c r="B38" s="67" t="s">
        <v>289</v>
      </c>
    </row>
    <row r="39" spans="1:2" ht="15.75" x14ac:dyDescent="0.25">
      <c r="A39" s="432"/>
      <c r="B39" s="67" t="s">
        <v>290</v>
      </c>
    </row>
    <row r="40" spans="1:2" ht="15.75" x14ac:dyDescent="0.25">
      <c r="A40" s="432"/>
      <c r="B40" s="67" t="s">
        <v>291</v>
      </c>
    </row>
    <row r="41" spans="1:2" ht="15.75" x14ac:dyDescent="0.25">
      <c r="A41" s="432"/>
      <c r="B41" s="68" t="s">
        <v>328</v>
      </c>
    </row>
  </sheetData>
  <mergeCells count="2">
    <mergeCell ref="A2:A24"/>
    <mergeCell ref="A26:A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26</vt:i4>
      </vt:variant>
    </vt:vector>
  </HeadingPairs>
  <TitlesOfParts>
    <vt:vector size="36" baseType="lpstr">
      <vt:lpstr>Data Capture Sheet</vt:lpstr>
      <vt:lpstr>Logic Page+ Weightage</vt:lpstr>
      <vt:lpstr>Reasoning for Value_Full</vt:lpstr>
      <vt:lpstr>Set1</vt:lpstr>
      <vt:lpstr>Set 2</vt:lpstr>
      <vt:lpstr>Family Details </vt:lpstr>
      <vt:lpstr>Crop and Cultivation Data</vt:lpstr>
      <vt:lpstr>Asset Details</vt:lpstr>
      <vt:lpstr>Financial History</vt:lpstr>
      <vt:lpstr>Sheet10</vt:lpstr>
      <vt:lpstr>Crop_diseases</vt:lpstr>
      <vt:lpstr>Education</vt:lpstr>
      <vt:lpstr>Education1</vt:lpstr>
      <vt:lpstr>English</vt:lpstr>
      <vt:lpstr>Fertilizers</vt:lpstr>
      <vt:lpstr>Irrigation</vt:lpstr>
      <vt:lpstr>L_Fert</vt:lpstr>
      <vt:lpstr>Last_year_crop</vt:lpstr>
      <vt:lpstr>Loan</vt:lpstr>
      <vt:lpstr>Loan_Bank</vt:lpstr>
      <vt:lpstr>Loan_purpose</vt:lpstr>
      <vt:lpstr>Loan_Type</vt:lpstr>
      <vt:lpstr>Machinery</vt:lpstr>
      <vt:lpstr>Net</vt:lpstr>
      <vt:lpstr>Occupation</vt:lpstr>
      <vt:lpstr>Phone</vt:lpstr>
      <vt:lpstr>Potential_market</vt:lpstr>
      <vt:lpstr>Potential_market1</vt:lpstr>
      <vt:lpstr>Residence</vt:lpstr>
      <vt:lpstr>RICE</vt:lpstr>
      <vt:lpstr>Soil</vt:lpstr>
      <vt:lpstr>Stage_crop</vt:lpstr>
      <vt:lpstr>Type_land</vt:lpstr>
      <vt:lpstr>Types_rice</vt:lpstr>
      <vt:lpstr>Vehicle</vt:lpstr>
      <vt:lpstr>YN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Punit</cp:lastModifiedBy>
  <cp:lastPrinted>2017-04-25T12:22:21Z</cp:lastPrinted>
  <dcterms:created xsi:type="dcterms:W3CDTF">2017-04-13T07:27:49Z</dcterms:created>
  <dcterms:modified xsi:type="dcterms:W3CDTF">2017-05-09T11:45:11Z</dcterms:modified>
</cp:coreProperties>
</file>