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a\Downloads\"/>
    </mc:Choice>
  </mc:AlternateContent>
  <xr:revisionPtr revIDLastSave="0" documentId="8_{D21174A6-A52D-4148-B2FD-BFCDEBE2C3A9}" xr6:coauthVersionLast="45" xr6:coauthVersionMax="45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Resumo" sheetId="11" state="hidden" r:id="rId1"/>
    <sheet name="Retorno" sheetId="12" state="hidden" r:id="rId2"/>
    <sheet name="Análise Final" sheetId="22" r:id="rId3"/>
    <sheet name="Análise das Rotas" sheetId="27" r:id="rId4"/>
    <sheet name="Distância" sheetId="10" r:id="rId5"/>
    <sheet name="Combustível" sheetId="23" r:id="rId6"/>
    <sheet name="Alim e Hosp" sheetId="17" r:id="rId7"/>
    <sheet name="Trabalho Final (4)" sheetId="18" state="hidden" r:id="rId8"/>
    <sheet name="Trabalho Final (5)" sheetId="19" state="hidden" r:id="rId9"/>
    <sheet name="Trabalho Final (6)" sheetId="20" state="hidden" r:id="rId10"/>
    <sheet name="Trabalho Final (7)" sheetId="21" state="hidden" r:id="rId11"/>
  </sheets>
  <definedNames>
    <definedName name="solver_adj" localSheetId="6" hidden="1">'Alim e Hosp'!$D$4:$D$23</definedName>
    <definedName name="solver_adj" localSheetId="5" hidden="1">Combustível!$D$4:$D$23</definedName>
    <definedName name="solver_adj" localSheetId="4" hidden="1">Distância!$D$4:$D$23</definedName>
    <definedName name="solver_adj" localSheetId="1" hidden="1">Retorno!$D$4:$D$23</definedName>
    <definedName name="solver_adj" localSheetId="7" hidden="1">'Trabalho Final (4)'!$D$4:$D$23</definedName>
    <definedName name="solver_adj" localSheetId="8" hidden="1">'Trabalho Final (5)'!$D$4:$D$23</definedName>
    <definedName name="solver_adj" localSheetId="9" hidden="1">'Trabalho Final (6)'!$D$4:$D$23</definedName>
    <definedName name="solver_adj" localSheetId="10" hidden="1">'Trabalho Final (7)'!$D$4:$D$23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cvg" localSheetId="1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drv" localSheetId="1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eng" localSheetId="6" hidden="1">3</definedName>
    <definedName name="solver_eng" localSheetId="5" hidden="1">3</definedName>
    <definedName name="solver_eng" localSheetId="4" hidden="1">3</definedName>
    <definedName name="solver_eng" localSheetId="1" hidden="1">3</definedName>
    <definedName name="solver_eng" localSheetId="7" hidden="1">3</definedName>
    <definedName name="solver_eng" localSheetId="8" hidden="1">3</definedName>
    <definedName name="solver_eng" localSheetId="9" hidden="1">3</definedName>
    <definedName name="solver_eng" localSheetId="10" hidden="1">3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est" localSheetId="1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itr" localSheetId="1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lhs1" localSheetId="6" hidden="1">'Alim e Hosp'!$D$4:$D$23</definedName>
    <definedName name="solver_lhs1" localSheetId="5" hidden="1">Combustível!$D$4:$D$23</definedName>
    <definedName name="solver_lhs1" localSheetId="4" hidden="1">Distância!$D$4:$D$23</definedName>
    <definedName name="solver_lhs1" localSheetId="1" hidden="1">Retorno!$D$4:$D$23</definedName>
    <definedName name="solver_lhs1" localSheetId="7" hidden="1">'Trabalho Final (4)'!$D$4:$D$23</definedName>
    <definedName name="solver_lhs1" localSheetId="8" hidden="1">'Trabalho Final (5)'!$D$4:$D$23</definedName>
    <definedName name="solver_lhs1" localSheetId="9" hidden="1">'Trabalho Final (6)'!$D$4:$D$23</definedName>
    <definedName name="solver_lhs1" localSheetId="10" hidden="1">'Trabalho Final (7)'!$D$4:$D$23</definedName>
    <definedName name="solver_lhs2" localSheetId="6" hidden="1">'Alim e Hosp'!$D$4:$D$23</definedName>
    <definedName name="solver_lhs2" localSheetId="5" hidden="1">Combustível!$D$4:$D$23</definedName>
    <definedName name="solver_lhs2" localSheetId="4" hidden="1">Distância!$D$4:$D$23</definedName>
    <definedName name="solver_lhs2" localSheetId="1" hidden="1">Retorno!$D$4:$D$23</definedName>
    <definedName name="solver_lhs2" localSheetId="7" hidden="1">'Trabalho Final (4)'!$D$4:$D$23</definedName>
    <definedName name="solver_lhs2" localSheetId="8" hidden="1">'Trabalho Final (5)'!$D$4:$D$23</definedName>
    <definedName name="solver_lhs2" localSheetId="9" hidden="1">'Trabalho Final (6)'!$D$4:$D$23</definedName>
    <definedName name="solver_lhs2" localSheetId="10" hidden="1">'Trabalho Final (7)'!$D$4:$D$23</definedName>
    <definedName name="solver_lhs3" localSheetId="6" hidden="1">'Alim e Hosp'!$D$4:$D$23</definedName>
    <definedName name="solver_lhs3" localSheetId="5" hidden="1">Combustível!$D$4:$D$23</definedName>
    <definedName name="solver_lhs3" localSheetId="4" hidden="1">Distância!$D$4:$D$23</definedName>
    <definedName name="solver_lhs3" localSheetId="1" hidden="1">Retorno!$D$4:$D$23</definedName>
    <definedName name="solver_lhs3" localSheetId="7" hidden="1">'Trabalho Final (4)'!$D$4:$D$23</definedName>
    <definedName name="solver_lhs3" localSheetId="8" hidden="1">'Trabalho Final (5)'!$D$4:$D$23</definedName>
    <definedName name="solver_lhs3" localSheetId="9" hidden="1">'Trabalho Final (6)'!$D$4:$D$23</definedName>
    <definedName name="solver_lhs3" localSheetId="10" hidden="1">'Trabalho Final (7)'!$D$4:$D$23</definedName>
    <definedName name="solver_lhs4" localSheetId="6" hidden="1">'Alim e Hosp'!$D$4:$D$23</definedName>
    <definedName name="solver_lhs4" localSheetId="5" hidden="1">Combustível!$D$4:$D$23</definedName>
    <definedName name="solver_lhs4" localSheetId="4" hidden="1">Distância!$D$4:$D$23</definedName>
    <definedName name="solver_lhs4" localSheetId="1" hidden="1">Retorno!$D$4:$D$23</definedName>
    <definedName name="solver_lhs4" localSheetId="7" hidden="1">'Trabalho Final (4)'!$D$4:$D$23</definedName>
    <definedName name="solver_lhs4" localSheetId="8" hidden="1">'Trabalho Final (5)'!$D$4:$D$23</definedName>
    <definedName name="solver_lhs4" localSheetId="9" hidden="1">'Trabalho Final (6)'!$D$4:$D$23</definedName>
    <definedName name="solver_lhs4" localSheetId="10" hidden="1">'Trabalho Final (7)'!$D$4:$D$23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ip" localSheetId="1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ni" localSheetId="1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rt" localSheetId="1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msl" localSheetId="1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eg" localSheetId="1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od" localSheetId="1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um" localSheetId="6" hidden="1">4</definedName>
    <definedName name="solver_num" localSheetId="5" hidden="1">4</definedName>
    <definedName name="solver_num" localSheetId="4" hidden="1">4</definedName>
    <definedName name="solver_num" localSheetId="1" hidden="1">4</definedName>
    <definedName name="solver_num" localSheetId="7" hidden="1">4</definedName>
    <definedName name="solver_num" localSheetId="8" hidden="1">4</definedName>
    <definedName name="solver_num" localSheetId="9" hidden="1">4</definedName>
    <definedName name="solver_num" localSheetId="10" hidden="1">4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nwt" localSheetId="1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opt" localSheetId="6" hidden="1">'Alim e Hosp'!$E$24</definedName>
    <definedName name="solver_opt" localSheetId="5" hidden="1">Combustível!$O$5</definedName>
    <definedName name="solver_opt" localSheetId="4" hidden="1">Distância!$O$5</definedName>
    <definedName name="solver_opt" localSheetId="1" hidden="1">Retorno!$L$5</definedName>
    <definedName name="solver_opt" localSheetId="7" hidden="1">'Trabalho Final (4)'!$E$24</definedName>
    <definedName name="solver_opt" localSheetId="8" hidden="1">'Trabalho Final (5)'!$O$5</definedName>
    <definedName name="solver_opt" localSheetId="9" hidden="1">'Trabalho Final (6)'!$O$5</definedName>
    <definedName name="solver_opt" localSheetId="10" hidden="1">'Trabalho Final (7)'!$O$5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pre" localSheetId="1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bv" localSheetId="1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el1" localSheetId="6" hidden="1">1</definedName>
    <definedName name="solver_rel1" localSheetId="5" hidden="1">1</definedName>
    <definedName name="solver_rel1" localSheetId="4" hidden="1">1</definedName>
    <definedName name="solver_rel1" localSheetId="1" hidden="1">1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2" localSheetId="6" hidden="1">6</definedName>
    <definedName name="solver_rel2" localSheetId="5" hidden="1">6</definedName>
    <definedName name="solver_rel2" localSheetId="4" hidden="1">6</definedName>
    <definedName name="solver_rel2" localSheetId="1" hidden="1">6</definedName>
    <definedName name="solver_rel2" localSheetId="7" hidden="1">6</definedName>
    <definedName name="solver_rel2" localSheetId="8" hidden="1">6</definedName>
    <definedName name="solver_rel2" localSheetId="9" hidden="1">6</definedName>
    <definedName name="solver_rel2" localSheetId="10" hidden="1">6</definedName>
    <definedName name="solver_rel3" localSheetId="6" hidden="1">4</definedName>
    <definedName name="solver_rel3" localSheetId="5" hidden="1">4</definedName>
    <definedName name="solver_rel3" localSheetId="4" hidden="1">4</definedName>
    <definedName name="solver_rel3" localSheetId="1" hidden="1">4</definedName>
    <definedName name="solver_rel3" localSheetId="7" hidden="1">4</definedName>
    <definedName name="solver_rel3" localSheetId="8" hidden="1">4</definedName>
    <definedName name="solver_rel3" localSheetId="9" hidden="1">4</definedName>
    <definedName name="solver_rel3" localSheetId="10" hidden="1">4</definedName>
    <definedName name="solver_rel4" localSheetId="6" hidden="1">3</definedName>
    <definedName name="solver_rel4" localSheetId="5" hidden="1">3</definedName>
    <definedName name="solver_rel4" localSheetId="4" hidden="1">3</definedName>
    <definedName name="solver_rel4" localSheetId="1" hidden="1">3</definedName>
    <definedName name="solver_rel4" localSheetId="7" hidden="1">3</definedName>
    <definedName name="solver_rel4" localSheetId="8" hidden="1">3</definedName>
    <definedName name="solver_rel4" localSheetId="9" hidden="1">3</definedName>
    <definedName name="solver_rel4" localSheetId="10" hidden="1">3</definedName>
    <definedName name="solver_rhs1" localSheetId="6" hidden="1">20</definedName>
    <definedName name="solver_rhs1" localSheetId="5" hidden="1">20</definedName>
    <definedName name="solver_rhs1" localSheetId="4" hidden="1">20</definedName>
    <definedName name="solver_rhs1" localSheetId="1" hidden="1">20</definedName>
    <definedName name="solver_rhs1" localSheetId="7" hidden="1">20</definedName>
    <definedName name="solver_rhs1" localSheetId="8" hidden="1">20</definedName>
    <definedName name="solver_rhs1" localSheetId="9" hidden="1">20</definedName>
    <definedName name="solver_rhs1" localSheetId="10" hidden="1">20</definedName>
    <definedName name="solver_rhs2" localSheetId="6" hidden="1">"TudoDiferente"</definedName>
    <definedName name="solver_rhs2" localSheetId="5" hidden="1">"TudoDiferente"</definedName>
    <definedName name="solver_rhs2" localSheetId="4" hidden="1">"TudoDiferente"</definedName>
    <definedName name="solver_rhs2" localSheetId="1" hidden="1">"TudoDiferente"</definedName>
    <definedName name="solver_rhs2" localSheetId="7" hidden="1">"TudoDiferente"</definedName>
    <definedName name="solver_rhs2" localSheetId="8" hidden="1">"TudoDiferente"</definedName>
    <definedName name="solver_rhs2" localSheetId="9" hidden="1">"TudoDiferente"</definedName>
    <definedName name="solver_rhs2" localSheetId="10" hidden="1">"TudoDiferente"</definedName>
    <definedName name="solver_rhs3" localSheetId="6" hidden="1">"número inteiro"</definedName>
    <definedName name="solver_rhs3" localSheetId="5" hidden="1">"número inteiro"</definedName>
    <definedName name="solver_rhs3" localSheetId="4" hidden="1">"número inteiro"</definedName>
    <definedName name="solver_rhs3" localSheetId="1" hidden="1">"número inteiro"</definedName>
    <definedName name="solver_rhs3" localSheetId="7" hidden="1">"número inteiro"</definedName>
    <definedName name="solver_rhs3" localSheetId="8" hidden="1">"número inteiro"</definedName>
    <definedName name="solver_rhs3" localSheetId="9" hidden="1">"número inteiro"</definedName>
    <definedName name="solver_rhs3" localSheetId="10" hidden="1">"número inteiro"</definedName>
    <definedName name="solver_rhs4" localSheetId="6" hidden="1">1</definedName>
    <definedName name="solver_rhs4" localSheetId="5" hidden="1">1</definedName>
    <definedName name="solver_rhs4" localSheetId="4" hidden="1">1</definedName>
    <definedName name="solver_rhs4" localSheetId="1" hidden="1">1</definedName>
    <definedName name="solver_rhs4" localSheetId="7" hidden="1">1</definedName>
    <definedName name="solver_rhs4" localSheetId="8" hidden="1">1</definedName>
    <definedName name="solver_rhs4" localSheetId="9" hidden="1">1</definedName>
    <definedName name="solver_rhs4" localSheetId="10" hidden="1">1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lx" localSheetId="1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rsd" localSheetId="1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cl" localSheetId="1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ho" localSheetId="1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ssz" localSheetId="1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im" localSheetId="1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ol" localSheetId="1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typ" localSheetId="1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er" localSheetId="6" hidden="1">3</definedName>
    <definedName name="solver_ver" localSheetId="5" hidden="1">3</definedName>
    <definedName name="solver_ver" localSheetId="4" hidden="1">3</definedName>
    <definedName name="solver_ver" localSheetId="1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22" l="1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27" i="22"/>
  <c r="V47" i="23" l="1"/>
  <c r="U47" i="23"/>
  <c r="E12" i="23" s="1" a="1"/>
  <c r="E12" i="23" s="1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C47" i="23"/>
  <c r="V46" i="23"/>
  <c r="U46" i="23"/>
  <c r="T46" i="23"/>
  <c r="S46" i="23"/>
  <c r="R46" i="23"/>
  <c r="Q46" i="23"/>
  <c r="P46" i="23"/>
  <c r="O46" i="23"/>
  <c r="N46" i="23"/>
  <c r="M46" i="23"/>
  <c r="L46" i="23"/>
  <c r="K46" i="23"/>
  <c r="J46" i="23"/>
  <c r="I46" i="23"/>
  <c r="H46" i="23"/>
  <c r="G46" i="23"/>
  <c r="F46" i="23"/>
  <c r="E46" i="23"/>
  <c r="D46" i="23"/>
  <c r="C46" i="23"/>
  <c r="V45" i="23"/>
  <c r="U45" i="23"/>
  <c r="S20" i="23" s="1" a="1"/>
  <c r="S20" i="23" s="1"/>
  <c r="T45" i="23"/>
  <c r="S45" i="23"/>
  <c r="R45" i="23"/>
  <c r="Q45" i="23"/>
  <c r="P45" i="23"/>
  <c r="O45" i="23"/>
  <c r="N45" i="23"/>
  <c r="M45" i="23"/>
  <c r="L45" i="23"/>
  <c r="K45" i="23"/>
  <c r="J45" i="23"/>
  <c r="I45" i="23"/>
  <c r="H45" i="23"/>
  <c r="G45" i="23"/>
  <c r="E16" i="23" s="1" a="1"/>
  <c r="E16" i="23" s="1"/>
  <c r="F45" i="23"/>
  <c r="E45" i="23"/>
  <c r="D45" i="23"/>
  <c r="C45" i="23"/>
  <c r="V44" i="23"/>
  <c r="U44" i="23"/>
  <c r="T44" i="23"/>
  <c r="S44" i="23"/>
  <c r="R44" i="23"/>
  <c r="Q44" i="23"/>
  <c r="P44" i="23"/>
  <c r="O44" i="23"/>
  <c r="N44" i="23"/>
  <c r="M44" i="23"/>
  <c r="L44" i="23"/>
  <c r="K44" i="23"/>
  <c r="J44" i="23"/>
  <c r="I44" i="23"/>
  <c r="H44" i="23"/>
  <c r="G44" i="23"/>
  <c r="F44" i="23"/>
  <c r="E44" i="23"/>
  <c r="D44" i="23"/>
  <c r="C44" i="23"/>
  <c r="V43" i="23"/>
  <c r="U43" i="23"/>
  <c r="T43" i="23"/>
  <c r="S43" i="23"/>
  <c r="S18" i="23" s="1" a="1"/>
  <c r="S18" i="23" s="1"/>
  <c r="R43" i="23"/>
  <c r="Q43" i="23"/>
  <c r="P43" i="23"/>
  <c r="O43" i="23"/>
  <c r="N43" i="23"/>
  <c r="M43" i="23"/>
  <c r="L43" i="23"/>
  <c r="K43" i="23"/>
  <c r="J43" i="23"/>
  <c r="I43" i="23"/>
  <c r="H43" i="23"/>
  <c r="G43" i="23"/>
  <c r="F43" i="23"/>
  <c r="E43" i="23"/>
  <c r="D43" i="23"/>
  <c r="C43" i="23"/>
  <c r="V42" i="23"/>
  <c r="U42" i="23"/>
  <c r="T42" i="23"/>
  <c r="S42" i="23"/>
  <c r="R42" i="23"/>
  <c r="S17" i="23" s="1" a="1"/>
  <c r="S17" i="23" s="1"/>
  <c r="Q42" i="23"/>
  <c r="P42" i="23"/>
  <c r="E7" i="23" s="1" a="1"/>
  <c r="E7" i="23" s="1"/>
  <c r="O42" i="23"/>
  <c r="N42" i="23"/>
  <c r="M42" i="23"/>
  <c r="L42" i="23"/>
  <c r="K42" i="23"/>
  <c r="J42" i="23"/>
  <c r="I42" i="23"/>
  <c r="H42" i="23"/>
  <c r="G42" i="23"/>
  <c r="F42" i="23"/>
  <c r="E42" i="23"/>
  <c r="D42" i="23"/>
  <c r="C42" i="23"/>
  <c r="V41" i="23"/>
  <c r="U41" i="23"/>
  <c r="T41" i="23"/>
  <c r="S41" i="23"/>
  <c r="R41" i="23"/>
  <c r="Q41" i="23"/>
  <c r="P41" i="23"/>
  <c r="O41" i="23"/>
  <c r="E8" i="23" s="1" a="1"/>
  <c r="E8" i="23" s="1"/>
  <c r="N41" i="23"/>
  <c r="M41" i="23"/>
  <c r="L41" i="23"/>
  <c r="K41" i="23"/>
  <c r="J41" i="23"/>
  <c r="I41" i="23"/>
  <c r="H41" i="23"/>
  <c r="G41" i="23"/>
  <c r="F41" i="23"/>
  <c r="E41" i="23"/>
  <c r="D41" i="23"/>
  <c r="C41" i="23"/>
  <c r="V40" i="23"/>
  <c r="U40" i="23"/>
  <c r="T40" i="23"/>
  <c r="S40" i="23"/>
  <c r="R40" i="23"/>
  <c r="Q40" i="23"/>
  <c r="P40" i="23"/>
  <c r="O40" i="23"/>
  <c r="N40" i="23"/>
  <c r="M40" i="23"/>
  <c r="L40" i="23"/>
  <c r="K40" i="23"/>
  <c r="U8" i="23" s="1" a="1"/>
  <c r="U8" i="23" s="1"/>
  <c r="J40" i="23"/>
  <c r="I40" i="23"/>
  <c r="H40" i="23"/>
  <c r="G40" i="23"/>
  <c r="F40" i="23"/>
  <c r="E40" i="23"/>
  <c r="D40" i="23"/>
  <c r="C40" i="23"/>
  <c r="V39" i="23"/>
  <c r="U39" i="23"/>
  <c r="T39" i="23"/>
  <c r="S39" i="23"/>
  <c r="R39" i="23"/>
  <c r="Q39" i="23"/>
  <c r="P39" i="23"/>
  <c r="O39" i="23"/>
  <c r="N39" i="23"/>
  <c r="M39" i="23"/>
  <c r="L39" i="23"/>
  <c r="K39" i="23"/>
  <c r="J39" i="23"/>
  <c r="I39" i="23"/>
  <c r="H39" i="23"/>
  <c r="G39" i="23"/>
  <c r="F39" i="23"/>
  <c r="E39" i="23"/>
  <c r="D39" i="23"/>
  <c r="C39" i="23"/>
  <c r="V38" i="23"/>
  <c r="U38" i="23"/>
  <c r="T38" i="23"/>
  <c r="S38" i="23"/>
  <c r="R38" i="23"/>
  <c r="Q38" i="23"/>
  <c r="P38" i="23"/>
  <c r="O38" i="23"/>
  <c r="N38" i="23"/>
  <c r="M38" i="23"/>
  <c r="L38" i="23"/>
  <c r="K38" i="23"/>
  <c r="J38" i="23"/>
  <c r="I38" i="23"/>
  <c r="H38" i="23"/>
  <c r="G38" i="23"/>
  <c r="F38" i="23"/>
  <c r="E38" i="23"/>
  <c r="D38" i="23"/>
  <c r="C38" i="23"/>
  <c r="V37" i="23"/>
  <c r="U37" i="23"/>
  <c r="T37" i="23"/>
  <c r="S37" i="23"/>
  <c r="R37" i="23"/>
  <c r="Q37" i="23"/>
  <c r="P37" i="23"/>
  <c r="O37" i="23"/>
  <c r="N37" i="23"/>
  <c r="M37" i="23"/>
  <c r="S12" i="23" s="1" a="1"/>
  <c r="S12" i="23" s="1"/>
  <c r="L37" i="23"/>
  <c r="K37" i="23"/>
  <c r="J37" i="23"/>
  <c r="I37" i="23"/>
  <c r="H37" i="23"/>
  <c r="G37" i="23"/>
  <c r="F37" i="23"/>
  <c r="E37" i="23"/>
  <c r="D37" i="23"/>
  <c r="E14" i="23" s="1" a="1"/>
  <c r="E14" i="23" s="1"/>
  <c r="C37" i="23"/>
  <c r="V36" i="23"/>
  <c r="U36" i="23"/>
  <c r="T36" i="23"/>
  <c r="S36" i="23"/>
  <c r="R36" i="23"/>
  <c r="Q36" i="23"/>
  <c r="P36" i="23"/>
  <c r="O36" i="23"/>
  <c r="N36" i="23"/>
  <c r="M36" i="23"/>
  <c r="L36" i="23"/>
  <c r="K36" i="23"/>
  <c r="J36" i="23"/>
  <c r="I36" i="23"/>
  <c r="H36" i="23"/>
  <c r="G36" i="23"/>
  <c r="F36" i="23"/>
  <c r="E36" i="23"/>
  <c r="D36" i="23"/>
  <c r="C36" i="23"/>
  <c r="V35" i="23"/>
  <c r="U35" i="23"/>
  <c r="T35" i="23"/>
  <c r="S35" i="23"/>
  <c r="R35" i="23"/>
  <c r="Q35" i="23"/>
  <c r="P35" i="23"/>
  <c r="O35" i="23"/>
  <c r="N35" i="23"/>
  <c r="M35" i="23"/>
  <c r="L35" i="23"/>
  <c r="K35" i="23"/>
  <c r="S10" i="23" s="1" a="1"/>
  <c r="S10" i="23" s="1"/>
  <c r="J35" i="23"/>
  <c r="I35" i="23"/>
  <c r="H35" i="23"/>
  <c r="G35" i="23"/>
  <c r="F35" i="23"/>
  <c r="E35" i="23"/>
  <c r="D35" i="23"/>
  <c r="C35" i="23"/>
  <c r="V34" i="23"/>
  <c r="U34" i="23"/>
  <c r="T34" i="23"/>
  <c r="S34" i="23"/>
  <c r="R34" i="23"/>
  <c r="Q34" i="23"/>
  <c r="P34" i="23"/>
  <c r="O34" i="23"/>
  <c r="N34" i="23"/>
  <c r="M34" i="23"/>
  <c r="L34" i="23"/>
  <c r="K34" i="23"/>
  <c r="J34" i="23"/>
  <c r="S9" i="23" s="1" a="1"/>
  <c r="S9" i="23" s="1"/>
  <c r="I34" i="23"/>
  <c r="H34" i="23"/>
  <c r="G34" i="23"/>
  <c r="F34" i="23"/>
  <c r="E34" i="23"/>
  <c r="D34" i="23"/>
  <c r="C34" i="23"/>
  <c r="V33" i="23"/>
  <c r="U33" i="23"/>
  <c r="T33" i="23"/>
  <c r="S33" i="23"/>
  <c r="R33" i="23"/>
  <c r="Q33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C33" i="23"/>
  <c r="V32" i="23"/>
  <c r="U32" i="23"/>
  <c r="T32" i="23"/>
  <c r="S32" i="23"/>
  <c r="R32" i="23"/>
  <c r="Q32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U16" i="23" s="1" a="1"/>
  <c r="U16" i="23" s="1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E5" i="23" s="1" a="1"/>
  <c r="E5" i="23" s="1"/>
  <c r="D31" i="23"/>
  <c r="C31" i="23"/>
  <c r="V30" i="23"/>
  <c r="U30" i="23"/>
  <c r="T30" i="23"/>
  <c r="S30" i="23"/>
  <c r="R30" i="23"/>
  <c r="Q30" i="23"/>
  <c r="U5" i="23" s="1" a="1"/>
  <c r="U5" i="23" s="1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V29" i="23"/>
  <c r="U29" i="23"/>
  <c r="T29" i="23"/>
  <c r="E15" i="23" s="1" a="1"/>
  <c r="E15" i="23" s="1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S4" i="23" s="1" a="1"/>
  <c r="S4" i="23" s="1"/>
  <c r="D29" i="23"/>
  <c r="C29" i="23"/>
  <c r="V28" i="23"/>
  <c r="U28" i="23"/>
  <c r="T28" i="23"/>
  <c r="S28" i="23"/>
  <c r="R28" i="23"/>
  <c r="Q28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U21" i="23"/>
  <c r="U21" i="23" a="1"/>
  <c r="S21" i="23"/>
  <c r="S21" i="23" a="1"/>
  <c r="E21" i="23" a="1"/>
  <c r="E21" i="23" s="1"/>
  <c r="U20" i="23" a="1"/>
  <c r="U20" i="23" s="1"/>
  <c r="E20" i="23" a="1"/>
  <c r="E20" i="23" s="1"/>
  <c r="U19" i="23"/>
  <c r="U19" i="23" a="1"/>
  <c r="S19" i="23"/>
  <c r="S19" i="23" a="1"/>
  <c r="E19" i="23" a="1"/>
  <c r="E19" i="23" s="1"/>
  <c r="U18" i="23"/>
  <c r="U18" i="23" a="1"/>
  <c r="E18" i="23"/>
  <c r="E18" i="23" a="1"/>
  <c r="U17" i="23"/>
  <c r="U17" i="23" a="1"/>
  <c r="E17" i="23" a="1"/>
  <c r="E17" i="23" s="1"/>
  <c r="S16" i="23" a="1"/>
  <c r="S16" i="23" s="1"/>
  <c r="S15" i="23" a="1"/>
  <c r="S15" i="23" s="1"/>
  <c r="U14" i="23" a="1"/>
  <c r="U14" i="23" s="1"/>
  <c r="S14" i="23" a="1"/>
  <c r="S14" i="23" s="1"/>
  <c r="U13" i="23" a="1"/>
  <c r="U13" i="23" s="1"/>
  <c r="S13" i="23"/>
  <c r="S13" i="23" a="1"/>
  <c r="E13" i="23" a="1"/>
  <c r="E13" i="23" s="1"/>
  <c r="U12" i="23" a="1"/>
  <c r="U12" i="23" s="1"/>
  <c r="S11" i="23"/>
  <c r="S11" i="23" a="1"/>
  <c r="E11" i="23" a="1"/>
  <c r="E11" i="23" s="1"/>
  <c r="U10" i="23"/>
  <c r="U10" i="23" a="1"/>
  <c r="E10" i="23" a="1"/>
  <c r="E10" i="23" s="1"/>
  <c r="U9" i="23"/>
  <c r="U9" i="23" a="1"/>
  <c r="E9" i="23" a="1"/>
  <c r="E9" i="23" s="1"/>
  <c r="S8" i="23" a="1"/>
  <c r="S8" i="23" s="1"/>
  <c r="S7" i="23" a="1"/>
  <c r="S7" i="23" s="1"/>
  <c r="U6" i="23" a="1"/>
  <c r="U6" i="23" s="1"/>
  <c r="S6" i="23" a="1"/>
  <c r="S6" i="23" s="1"/>
  <c r="S5" i="23"/>
  <c r="S5" i="23" a="1"/>
  <c r="E4" i="23" a="1"/>
  <c r="E4" i="23" s="1"/>
  <c r="U3" i="23"/>
  <c r="U3" i="23" a="1"/>
  <c r="S3" i="23"/>
  <c r="S3" i="23" a="1"/>
  <c r="L3" i="23"/>
  <c r="I24" i="22"/>
  <c r="G24" i="22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C47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C46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W15" i="21" s="1" a="1"/>
  <c r="W15" i="21" s="1"/>
  <c r="F45" i="21"/>
  <c r="E45" i="21"/>
  <c r="D45" i="21"/>
  <c r="C45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C44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C43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C42" i="21"/>
  <c r="V41" i="21"/>
  <c r="U41" i="21"/>
  <c r="T41" i="21"/>
  <c r="S41" i="21"/>
  <c r="R41" i="21"/>
  <c r="Q41" i="21"/>
  <c r="F17" i="21" s="1" a="1"/>
  <c r="F17" i="21" s="1"/>
  <c r="E17" i="21" s="1"/>
  <c r="P41" i="21"/>
  <c r="O41" i="21"/>
  <c r="W17" i="21" s="1" a="1"/>
  <c r="W17" i="21" s="1"/>
  <c r="N41" i="21"/>
  <c r="M41" i="21"/>
  <c r="L41" i="21"/>
  <c r="K41" i="21"/>
  <c r="J41" i="21"/>
  <c r="I41" i="21"/>
  <c r="H41" i="21"/>
  <c r="G41" i="21"/>
  <c r="F41" i="21"/>
  <c r="E41" i="21"/>
  <c r="D41" i="21"/>
  <c r="C41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W18" i="21" s="1" a="1"/>
  <c r="W18" i="21" s="1"/>
  <c r="J40" i="21"/>
  <c r="I40" i="21"/>
  <c r="H40" i="21"/>
  <c r="G40" i="21"/>
  <c r="F40" i="21"/>
  <c r="E40" i="21"/>
  <c r="D40" i="21"/>
  <c r="C40" i="21"/>
  <c r="V39" i="21"/>
  <c r="U39" i="21"/>
  <c r="T39" i="21"/>
  <c r="S39" i="21"/>
  <c r="R39" i="21"/>
  <c r="Q39" i="21"/>
  <c r="P39" i="21"/>
  <c r="O39" i="21"/>
  <c r="F15" i="21" s="1" a="1"/>
  <c r="F15" i="21" s="1"/>
  <c r="E15" i="21" s="1"/>
  <c r="N39" i="21"/>
  <c r="M39" i="21"/>
  <c r="L39" i="21"/>
  <c r="K39" i="21"/>
  <c r="J39" i="21"/>
  <c r="I39" i="21"/>
  <c r="H39" i="21"/>
  <c r="G39" i="21"/>
  <c r="F39" i="21"/>
  <c r="E39" i="21"/>
  <c r="D39" i="21"/>
  <c r="C39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C38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C37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C36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C35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C34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F9" i="21" s="1" a="1"/>
  <c r="F9" i="21" s="1"/>
  <c r="E9" i="21" s="1"/>
  <c r="H33" i="21"/>
  <c r="G33" i="21"/>
  <c r="F33" i="21"/>
  <c r="E33" i="21"/>
  <c r="D33" i="21"/>
  <c r="C33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7" i="21" s="1" a="1"/>
  <c r="F7" i="21" s="1"/>
  <c r="E7" i="21" s="1"/>
  <c r="F31" i="21"/>
  <c r="E31" i="21"/>
  <c r="D31" i="21"/>
  <c r="C31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V28" i="21"/>
  <c r="U28" i="21"/>
  <c r="T28" i="21"/>
  <c r="S28" i="21"/>
  <c r="R28" i="21"/>
  <c r="Q28" i="21"/>
  <c r="P28" i="21"/>
  <c r="O28" i="21"/>
  <c r="N28" i="21"/>
  <c r="M28" i="21"/>
  <c r="W9" i="21" s="1" a="1"/>
  <c r="W9" i="21" s="1"/>
  <c r="L28" i="21"/>
  <c r="K28" i="21"/>
  <c r="J28" i="21"/>
  <c r="I28" i="21"/>
  <c r="H28" i="21"/>
  <c r="G28" i="21"/>
  <c r="F28" i="21"/>
  <c r="E28" i="21"/>
  <c r="D28" i="21"/>
  <c r="C28" i="21"/>
  <c r="AD23" i="21"/>
  <c r="AB23" i="21"/>
  <c r="Z23" i="21"/>
  <c r="U23" i="21"/>
  <c r="S23" i="21"/>
  <c r="F22" i="21" a="1"/>
  <c r="F22" i="21" s="1"/>
  <c r="E22" i="21" s="1"/>
  <c r="W21" i="21" a="1"/>
  <c r="W21" i="21" s="1"/>
  <c r="F21" i="21" a="1"/>
  <c r="F21" i="21" s="1"/>
  <c r="E21" i="21" s="1"/>
  <c r="W20" i="21" a="1"/>
  <c r="W20" i="21" s="1"/>
  <c r="F20" i="21" a="1"/>
  <c r="F20" i="21" s="1"/>
  <c r="E20" i="21" s="1"/>
  <c r="W19" i="21" a="1"/>
  <c r="W19" i="21" s="1"/>
  <c r="F19" i="21" a="1"/>
  <c r="F19" i="21" s="1"/>
  <c r="E19" i="21" s="1"/>
  <c r="F18" i="21"/>
  <c r="E18" i="21" s="1"/>
  <c r="F18" i="21" a="1"/>
  <c r="W16" i="21" a="1"/>
  <c r="W16" i="21" s="1"/>
  <c r="F16" i="21" a="1"/>
  <c r="F16" i="21" s="1"/>
  <c r="E16" i="21" s="1"/>
  <c r="W14" i="21" a="1"/>
  <c r="W14" i="21" s="1"/>
  <c r="F14" i="21" a="1"/>
  <c r="F14" i="21" s="1"/>
  <c r="E14" i="21" s="1"/>
  <c r="W13" i="21" a="1"/>
  <c r="W13" i="21" s="1"/>
  <c r="F13" i="21" a="1"/>
  <c r="F13" i="21" s="1"/>
  <c r="E13" i="21" s="1"/>
  <c r="W12" i="21" a="1"/>
  <c r="W12" i="21" s="1"/>
  <c r="F12" i="21" a="1"/>
  <c r="F12" i="21" s="1"/>
  <c r="E12" i="21" s="1"/>
  <c r="W11" i="21" a="1"/>
  <c r="W11" i="21" s="1"/>
  <c r="F11" i="21" a="1"/>
  <c r="F11" i="21" s="1"/>
  <c r="E11" i="21" s="1"/>
  <c r="W10" i="21" a="1"/>
  <c r="W10" i="21" s="1"/>
  <c r="F10" i="21" a="1"/>
  <c r="F10" i="21" s="1"/>
  <c r="E10" i="21" s="1"/>
  <c r="W8" i="21" a="1"/>
  <c r="W8" i="21" s="1"/>
  <c r="F8" i="21" a="1"/>
  <c r="F8" i="21" s="1"/>
  <c r="E8" i="21" s="1"/>
  <c r="W7" i="21"/>
  <c r="W7" i="21" a="1"/>
  <c r="W6" i="21" a="1"/>
  <c r="W6" i="21" s="1"/>
  <c r="F6" i="21" a="1"/>
  <c r="F6" i="21" s="1"/>
  <c r="E6" i="21" s="1"/>
  <c r="W5" i="21" a="1"/>
  <c r="W5" i="21" s="1"/>
  <c r="F5" i="21" a="1"/>
  <c r="F5" i="21" s="1"/>
  <c r="E5" i="21" s="1"/>
  <c r="W4" i="21" a="1"/>
  <c r="W4" i="21" s="1"/>
  <c r="F4" i="21"/>
  <c r="E4" i="21" s="1"/>
  <c r="F4" i="21" a="1"/>
  <c r="W3" i="21" a="1"/>
  <c r="W3" i="21" s="1"/>
  <c r="L3" i="21"/>
  <c r="S21" i="19" a="1"/>
  <c r="S21" i="19" s="1"/>
  <c r="S13" i="19" a="1"/>
  <c r="S13" i="19" s="1"/>
  <c r="S5" i="19" a="1"/>
  <c r="S5" i="19" s="1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C47" i="20"/>
  <c r="V46" i="20"/>
  <c r="F22" i="20" s="1" a="1"/>
  <c r="F22" i="20" s="1"/>
  <c r="E22" i="20" s="1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C46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W15" i="20" s="1" a="1"/>
  <c r="W15" i="20" s="1"/>
  <c r="F45" i="20"/>
  <c r="E45" i="20"/>
  <c r="D45" i="20"/>
  <c r="C45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C44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C43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C42" i="20"/>
  <c r="V41" i="20"/>
  <c r="U41" i="20"/>
  <c r="T41" i="20"/>
  <c r="S41" i="20"/>
  <c r="R41" i="20"/>
  <c r="Q41" i="20"/>
  <c r="P41" i="20"/>
  <c r="O41" i="20"/>
  <c r="W17" i="20" s="1" a="1"/>
  <c r="W17" i="20" s="1"/>
  <c r="N41" i="20"/>
  <c r="M41" i="20"/>
  <c r="L41" i="20"/>
  <c r="K41" i="20"/>
  <c r="J41" i="20"/>
  <c r="I41" i="20"/>
  <c r="H41" i="20"/>
  <c r="G41" i="20"/>
  <c r="F41" i="20"/>
  <c r="E41" i="20"/>
  <c r="D41" i="20"/>
  <c r="C41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W18" i="20" s="1" a="1"/>
  <c r="W18" i="20" s="1"/>
  <c r="J40" i="20"/>
  <c r="I40" i="20"/>
  <c r="H40" i="20"/>
  <c r="G40" i="20"/>
  <c r="F40" i="20"/>
  <c r="E40" i="20"/>
  <c r="D40" i="20"/>
  <c r="C40" i="20"/>
  <c r="V39" i="20"/>
  <c r="U39" i="20"/>
  <c r="T39" i="20"/>
  <c r="S39" i="20"/>
  <c r="R39" i="20"/>
  <c r="Q39" i="20"/>
  <c r="P39" i="20"/>
  <c r="O39" i="20"/>
  <c r="F15" i="20" s="1" a="1"/>
  <c r="F15" i="20" s="1"/>
  <c r="E15" i="20" s="1"/>
  <c r="N39" i="20"/>
  <c r="M39" i="20"/>
  <c r="L39" i="20"/>
  <c r="K39" i="20"/>
  <c r="J39" i="20"/>
  <c r="I39" i="20"/>
  <c r="H39" i="20"/>
  <c r="G39" i="20"/>
  <c r="F39" i="20"/>
  <c r="E39" i="20"/>
  <c r="D39" i="20"/>
  <c r="C39" i="20"/>
  <c r="V38" i="20"/>
  <c r="U38" i="20"/>
  <c r="T38" i="20"/>
  <c r="S38" i="20"/>
  <c r="R38" i="20"/>
  <c r="Q38" i="20"/>
  <c r="P38" i="20"/>
  <c r="O38" i="20"/>
  <c r="N38" i="20"/>
  <c r="F14" i="20" s="1" a="1"/>
  <c r="F14" i="20" s="1"/>
  <c r="E14" i="20" s="1"/>
  <c r="M38" i="20"/>
  <c r="L38" i="20"/>
  <c r="K38" i="20"/>
  <c r="J38" i="20"/>
  <c r="I38" i="20"/>
  <c r="H38" i="20"/>
  <c r="G38" i="20"/>
  <c r="F38" i="20"/>
  <c r="E38" i="20"/>
  <c r="D38" i="20"/>
  <c r="C38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C37" i="20"/>
  <c r="V36" i="20"/>
  <c r="U36" i="20"/>
  <c r="T36" i="20"/>
  <c r="S36" i="20"/>
  <c r="R36" i="20"/>
  <c r="Q36" i="20"/>
  <c r="P36" i="20"/>
  <c r="O36" i="20"/>
  <c r="N36" i="20"/>
  <c r="W19" i="20" s="1" a="1"/>
  <c r="W19" i="20" s="1"/>
  <c r="M36" i="20"/>
  <c r="L36" i="20"/>
  <c r="K36" i="20"/>
  <c r="J36" i="20"/>
  <c r="I36" i="20"/>
  <c r="H36" i="20"/>
  <c r="G36" i="20"/>
  <c r="F36" i="20"/>
  <c r="E36" i="20"/>
  <c r="D36" i="20"/>
  <c r="C36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C35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C34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C33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C32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7" i="20" s="1" a="1"/>
  <c r="F7" i="20" s="1"/>
  <c r="E7" i="20" s="1"/>
  <c r="F31" i="20"/>
  <c r="E31" i="20"/>
  <c r="D31" i="20"/>
  <c r="C31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F6" i="20" s="1" a="1"/>
  <c r="F6" i="20" s="1"/>
  <c r="E6" i="20" s="1"/>
  <c r="E30" i="20"/>
  <c r="D30" i="20"/>
  <c r="C30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F5" i="20" s="1" a="1"/>
  <c r="F5" i="20" s="1"/>
  <c r="E5" i="20" s="1"/>
  <c r="D29" i="20"/>
  <c r="C29" i="20"/>
  <c r="V28" i="20"/>
  <c r="U28" i="20"/>
  <c r="T28" i="20"/>
  <c r="S28" i="20"/>
  <c r="R28" i="20"/>
  <c r="Q28" i="20"/>
  <c r="P28" i="20"/>
  <c r="O28" i="20"/>
  <c r="N28" i="20"/>
  <c r="M28" i="20"/>
  <c r="W9" i="20" s="1" a="1"/>
  <c r="W9" i="20" s="1"/>
  <c r="L28" i="20"/>
  <c r="K28" i="20"/>
  <c r="J28" i="20"/>
  <c r="I28" i="20"/>
  <c r="H28" i="20"/>
  <c r="G28" i="20"/>
  <c r="F28" i="20"/>
  <c r="E28" i="20"/>
  <c r="D28" i="20"/>
  <c r="C28" i="20"/>
  <c r="AD23" i="20"/>
  <c r="AB23" i="20"/>
  <c r="Z23" i="20"/>
  <c r="U23" i="20"/>
  <c r="S23" i="20"/>
  <c r="W21" i="20" a="1"/>
  <c r="W21" i="20" s="1"/>
  <c r="F21" i="20" a="1"/>
  <c r="F21" i="20" s="1"/>
  <c r="E21" i="20" s="1"/>
  <c r="W20" i="20" a="1"/>
  <c r="W20" i="20" s="1"/>
  <c r="F20" i="20" a="1"/>
  <c r="F20" i="20" s="1"/>
  <c r="E20" i="20" s="1"/>
  <c r="F19" i="20" a="1"/>
  <c r="F19" i="20" s="1"/>
  <c r="E19" i="20" s="1"/>
  <c r="F18" i="20" a="1"/>
  <c r="F18" i="20" s="1"/>
  <c r="E18" i="20" s="1"/>
  <c r="F17" i="20" a="1"/>
  <c r="F17" i="20" s="1"/>
  <c r="E17" i="20" s="1"/>
  <c r="W16" i="20" a="1"/>
  <c r="W16" i="20" s="1"/>
  <c r="F16" i="20" a="1"/>
  <c r="F16" i="20" s="1"/>
  <c r="E16" i="20" s="1"/>
  <c r="W14" i="20" a="1"/>
  <c r="W14" i="20" s="1"/>
  <c r="W13" i="20" a="1"/>
  <c r="W13" i="20" s="1"/>
  <c r="F13" i="20" a="1"/>
  <c r="F13" i="20" s="1"/>
  <c r="E13" i="20" s="1"/>
  <c r="W12" i="20" a="1"/>
  <c r="W12" i="20" s="1"/>
  <c r="F12" i="20" a="1"/>
  <c r="F12" i="20" s="1"/>
  <c r="E12" i="20" s="1"/>
  <c r="W11" i="20" a="1"/>
  <c r="W11" i="20" s="1"/>
  <c r="F11" i="20" a="1"/>
  <c r="F11" i="20" s="1"/>
  <c r="E11" i="20" s="1"/>
  <c r="W10" i="20" a="1"/>
  <c r="W10" i="20" s="1"/>
  <c r="F10" i="20" a="1"/>
  <c r="F10" i="20" s="1"/>
  <c r="E10" i="20" s="1"/>
  <c r="F9" i="20" a="1"/>
  <c r="F9" i="20" s="1"/>
  <c r="E9" i="20" s="1"/>
  <c r="W8" i="20" a="1"/>
  <c r="W8" i="20" s="1"/>
  <c r="F8" i="20" a="1"/>
  <c r="F8" i="20" s="1"/>
  <c r="E8" i="20" s="1"/>
  <c r="W7" i="20" a="1"/>
  <c r="W7" i="20" s="1"/>
  <c r="W6" i="20"/>
  <c r="W6" i="20" a="1"/>
  <c r="W5" i="20" a="1"/>
  <c r="W5" i="20" s="1"/>
  <c r="W4" i="20" a="1"/>
  <c r="W4" i="20" s="1"/>
  <c r="F4" i="20" a="1"/>
  <c r="F4" i="20" s="1"/>
  <c r="E4" i="20" s="1"/>
  <c r="W3" i="20" a="1"/>
  <c r="W3" i="20" s="1"/>
  <c r="L3" i="20"/>
  <c r="V47" i="19"/>
  <c r="U47" i="19"/>
  <c r="U11" i="19" s="1" a="1"/>
  <c r="U11" i="19" s="1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C47" i="19"/>
  <c r="V46" i="19"/>
  <c r="U46" i="19"/>
  <c r="T46" i="19"/>
  <c r="S46" i="19"/>
  <c r="R46" i="19"/>
  <c r="Q46" i="19"/>
  <c r="P46" i="19"/>
  <c r="O46" i="19"/>
  <c r="N46" i="19"/>
  <c r="M46" i="19"/>
  <c r="L46" i="19"/>
  <c r="U12" i="19" s="1" a="1"/>
  <c r="U12" i="19" s="1"/>
  <c r="K46" i="19"/>
  <c r="J46" i="19"/>
  <c r="I46" i="19"/>
  <c r="H46" i="19"/>
  <c r="G46" i="19"/>
  <c r="F46" i="19"/>
  <c r="E46" i="19"/>
  <c r="D46" i="19"/>
  <c r="C46" i="19"/>
  <c r="V45" i="19"/>
  <c r="U45" i="19"/>
  <c r="S20" i="19" s="1" a="1"/>
  <c r="S20" i="19" s="1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E16" i="19" s="1" a="1"/>
  <c r="E16" i="19" s="1"/>
  <c r="J16" i="19" s="1"/>
  <c r="G16" i="19" s="1"/>
  <c r="F45" i="19"/>
  <c r="E45" i="19"/>
  <c r="D45" i="19"/>
  <c r="C45" i="19"/>
  <c r="V44" i="19"/>
  <c r="U44" i="19"/>
  <c r="T44" i="19"/>
  <c r="S19" i="19" s="1" a="1"/>
  <c r="S19" i="19" s="1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C44" i="19"/>
  <c r="V43" i="19"/>
  <c r="U43" i="19"/>
  <c r="T43" i="19"/>
  <c r="S43" i="19"/>
  <c r="S18" i="19" s="1" a="1"/>
  <c r="S18" i="19" s="1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V42" i="19"/>
  <c r="U42" i="19"/>
  <c r="T42" i="19"/>
  <c r="S42" i="19"/>
  <c r="R42" i="19"/>
  <c r="Q42" i="19"/>
  <c r="P42" i="19"/>
  <c r="U6" i="19" s="1" a="1"/>
  <c r="U6" i="19" s="1"/>
  <c r="O42" i="19"/>
  <c r="N42" i="19"/>
  <c r="M42" i="19"/>
  <c r="L42" i="19"/>
  <c r="K42" i="19"/>
  <c r="J42" i="19"/>
  <c r="I42" i="19"/>
  <c r="H42" i="19"/>
  <c r="G42" i="19"/>
  <c r="F42" i="19"/>
  <c r="E42" i="19"/>
  <c r="D42" i="19"/>
  <c r="C42" i="19"/>
  <c r="V41" i="19"/>
  <c r="U41" i="19"/>
  <c r="T41" i="19"/>
  <c r="S41" i="19"/>
  <c r="R41" i="19"/>
  <c r="Q41" i="19"/>
  <c r="S16" i="19" s="1" a="1"/>
  <c r="S16" i="19" s="1"/>
  <c r="P41" i="19"/>
  <c r="O41" i="19"/>
  <c r="U7" i="19" s="1" a="1"/>
  <c r="U7" i="19" s="1"/>
  <c r="N41" i="19"/>
  <c r="M41" i="19"/>
  <c r="L41" i="19"/>
  <c r="K41" i="19"/>
  <c r="J41" i="19"/>
  <c r="I41" i="19"/>
  <c r="H41" i="19"/>
  <c r="G41" i="19"/>
  <c r="F41" i="19"/>
  <c r="E41" i="19"/>
  <c r="D41" i="19"/>
  <c r="C41" i="19"/>
  <c r="V40" i="19"/>
  <c r="U40" i="19"/>
  <c r="T40" i="19"/>
  <c r="S40" i="19"/>
  <c r="R40" i="19"/>
  <c r="Q40" i="19"/>
  <c r="P40" i="19"/>
  <c r="S15" i="19" s="1" a="1"/>
  <c r="S15" i="19" s="1"/>
  <c r="O40" i="19"/>
  <c r="N40" i="19"/>
  <c r="M40" i="19"/>
  <c r="L40" i="19"/>
  <c r="K40" i="19"/>
  <c r="U8" i="19" s="1" a="1"/>
  <c r="U8" i="19" s="1"/>
  <c r="J40" i="19"/>
  <c r="I40" i="19"/>
  <c r="H40" i="19"/>
  <c r="G40" i="19"/>
  <c r="F40" i="19"/>
  <c r="E40" i="19"/>
  <c r="D40" i="19"/>
  <c r="C40" i="19"/>
  <c r="V39" i="19"/>
  <c r="U10" i="19" s="1" a="1"/>
  <c r="U10" i="19" s="1"/>
  <c r="U39" i="19"/>
  <c r="T39" i="19"/>
  <c r="S39" i="19"/>
  <c r="R39" i="19"/>
  <c r="Q39" i="19"/>
  <c r="P39" i="19"/>
  <c r="O39" i="19"/>
  <c r="E15" i="19" s="1" a="1"/>
  <c r="E15" i="19" s="1"/>
  <c r="J15" i="19" s="1"/>
  <c r="G15" i="19" s="1"/>
  <c r="N39" i="19"/>
  <c r="M39" i="19"/>
  <c r="L39" i="19"/>
  <c r="K39" i="19"/>
  <c r="J39" i="19"/>
  <c r="I39" i="19"/>
  <c r="H39" i="19"/>
  <c r="G39" i="19"/>
  <c r="F39" i="19"/>
  <c r="E39" i="19"/>
  <c r="D39" i="19"/>
  <c r="C39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U18" i="19" s="1" a="1"/>
  <c r="U18" i="19" s="1"/>
  <c r="I38" i="19"/>
  <c r="H38" i="19"/>
  <c r="G38" i="19"/>
  <c r="F38" i="19"/>
  <c r="E38" i="19"/>
  <c r="D38" i="19"/>
  <c r="C38" i="19"/>
  <c r="V37" i="19"/>
  <c r="U37" i="19"/>
  <c r="T37" i="19"/>
  <c r="S37" i="19"/>
  <c r="R37" i="19"/>
  <c r="Q37" i="19"/>
  <c r="P37" i="19"/>
  <c r="O37" i="19"/>
  <c r="N37" i="19"/>
  <c r="M37" i="19"/>
  <c r="S12" i="19" s="1" a="1"/>
  <c r="S12" i="19" s="1"/>
  <c r="L37" i="19"/>
  <c r="K37" i="19"/>
  <c r="J37" i="19"/>
  <c r="I37" i="19"/>
  <c r="H37" i="19"/>
  <c r="G37" i="19"/>
  <c r="F37" i="19"/>
  <c r="E37" i="19"/>
  <c r="D37" i="19"/>
  <c r="U13" i="19" s="1" a="1"/>
  <c r="U13" i="19" s="1"/>
  <c r="C37" i="19"/>
  <c r="V36" i="19"/>
  <c r="U36" i="19"/>
  <c r="T36" i="19"/>
  <c r="S36" i="19"/>
  <c r="R36" i="19"/>
  <c r="Q36" i="19"/>
  <c r="P36" i="19"/>
  <c r="O36" i="19"/>
  <c r="N36" i="19"/>
  <c r="U9" i="19" s="1" a="1"/>
  <c r="U9" i="19" s="1"/>
  <c r="M36" i="19"/>
  <c r="L36" i="19"/>
  <c r="S11" i="19" s="1" a="1"/>
  <c r="S11" i="19" s="1"/>
  <c r="K36" i="19"/>
  <c r="J36" i="19"/>
  <c r="I36" i="19"/>
  <c r="H36" i="19"/>
  <c r="G36" i="19"/>
  <c r="F36" i="19"/>
  <c r="E36" i="19"/>
  <c r="D36" i="19"/>
  <c r="C36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S10" i="19" s="1" a="1"/>
  <c r="S10" i="19" s="1"/>
  <c r="J35" i="19"/>
  <c r="I35" i="19"/>
  <c r="U19" i="19" s="1" a="1"/>
  <c r="U19" i="19" s="1"/>
  <c r="H35" i="19"/>
  <c r="G35" i="19"/>
  <c r="F35" i="19"/>
  <c r="E35" i="19"/>
  <c r="D35" i="19"/>
  <c r="C35" i="19"/>
  <c r="V34" i="19"/>
  <c r="U34" i="19"/>
  <c r="T34" i="19"/>
  <c r="S34" i="19"/>
  <c r="R34" i="19"/>
  <c r="U20" i="19" s="1" a="1"/>
  <c r="U20" i="19" s="1"/>
  <c r="Q34" i="19"/>
  <c r="P34" i="19"/>
  <c r="O34" i="19"/>
  <c r="N34" i="19"/>
  <c r="M34" i="19"/>
  <c r="L34" i="19"/>
  <c r="K34" i="19"/>
  <c r="J34" i="19"/>
  <c r="E10" i="19" s="1" a="1"/>
  <c r="E10" i="19" s="1"/>
  <c r="I34" i="19"/>
  <c r="H34" i="19"/>
  <c r="G34" i="19"/>
  <c r="F34" i="19"/>
  <c r="E34" i="19"/>
  <c r="D34" i="19"/>
  <c r="C34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S8" i="19" s="1" a="1"/>
  <c r="S8" i="19" s="1"/>
  <c r="H33" i="19"/>
  <c r="G33" i="19"/>
  <c r="F33" i="19"/>
  <c r="U3" i="19" s="1" a="1"/>
  <c r="U3" i="19" s="1"/>
  <c r="E33" i="19"/>
  <c r="D33" i="19"/>
  <c r="C33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S7" i="19" s="1" a="1"/>
  <c r="S7" i="19" s="1"/>
  <c r="G32" i="19"/>
  <c r="F32" i="19"/>
  <c r="E32" i="19"/>
  <c r="D32" i="19"/>
  <c r="C32" i="19"/>
  <c r="E17" i="19" s="1" a="1"/>
  <c r="E17" i="19" s="1"/>
  <c r="J17" i="19" s="1"/>
  <c r="G17" i="19" s="1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S6" i="19" s="1" a="1"/>
  <c r="S6" i="19" s="1"/>
  <c r="F31" i="19"/>
  <c r="E31" i="19"/>
  <c r="U4" i="19" s="1" a="1"/>
  <c r="U4" i="19" s="1"/>
  <c r="D31" i="19"/>
  <c r="C31" i="19"/>
  <c r="V30" i="19"/>
  <c r="U30" i="19"/>
  <c r="T30" i="19"/>
  <c r="S30" i="19"/>
  <c r="R30" i="19"/>
  <c r="Q30" i="19"/>
  <c r="U5" i="19" s="1" a="1"/>
  <c r="U5" i="19" s="1"/>
  <c r="P30" i="19"/>
  <c r="O30" i="19"/>
  <c r="N30" i="19"/>
  <c r="M30" i="19"/>
  <c r="L30" i="19"/>
  <c r="K30" i="19"/>
  <c r="J30" i="19"/>
  <c r="I30" i="19"/>
  <c r="H30" i="19"/>
  <c r="G30" i="19"/>
  <c r="F30" i="19"/>
  <c r="E6" i="19" s="1" a="1"/>
  <c r="E6" i="19" s="1"/>
  <c r="E30" i="19"/>
  <c r="D30" i="19"/>
  <c r="C30" i="19"/>
  <c r="V29" i="19"/>
  <c r="U29" i="19"/>
  <c r="T29" i="19"/>
  <c r="U14" i="19" s="1" a="1"/>
  <c r="U14" i="19" s="1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S4" i="19" s="1" a="1"/>
  <c r="S4" i="19" s="1"/>
  <c r="D29" i="19"/>
  <c r="C29" i="19"/>
  <c r="V28" i="19"/>
  <c r="U28" i="19"/>
  <c r="T28" i="19"/>
  <c r="S28" i="19"/>
  <c r="R28" i="19"/>
  <c r="Q28" i="19"/>
  <c r="P28" i="19"/>
  <c r="O28" i="19"/>
  <c r="N28" i="19"/>
  <c r="M28" i="19"/>
  <c r="U17" i="19" s="1" a="1"/>
  <c r="U17" i="19" s="1"/>
  <c r="L28" i="19"/>
  <c r="K28" i="19"/>
  <c r="J28" i="19"/>
  <c r="I28" i="19"/>
  <c r="H28" i="19"/>
  <c r="G28" i="19"/>
  <c r="F28" i="19"/>
  <c r="E28" i="19"/>
  <c r="D28" i="19"/>
  <c r="S3" i="19" s="1" a="1"/>
  <c r="S3" i="19" s="1"/>
  <c r="C28" i="19"/>
  <c r="F22" i="19"/>
  <c r="F21" i="19"/>
  <c r="E21" i="19" a="1"/>
  <c r="E21" i="19" s="1"/>
  <c r="F20" i="19"/>
  <c r="E20" i="19" a="1"/>
  <c r="E20" i="19" s="1"/>
  <c r="F19" i="19"/>
  <c r="E19" i="19" a="1"/>
  <c r="E19" i="19" s="1"/>
  <c r="F18" i="19"/>
  <c r="F17" i="19"/>
  <c r="F16" i="19"/>
  <c r="F15" i="19"/>
  <c r="F14" i="19"/>
  <c r="E14" i="19" a="1"/>
  <c r="E14" i="19" s="1"/>
  <c r="J14" i="19" s="1"/>
  <c r="G14" i="19" s="1"/>
  <c r="F13" i="19"/>
  <c r="E13" i="19" a="1"/>
  <c r="E13" i="19" s="1"/>
  <c r="J13" i="19" s="1"/>
  <c r="G13" i="19" s="1"/>
  <c r="F12" i="19"/>
  <c r="E12" i="19" a="1"/>
  <c r="E12" i="19" s="1"/>
  <c r="F11" i="19"/>
  <c r="E11" i="19" a="1"/>
  <c r="E11" i="19" s="1"/>
  <c r="F10" i="19"/>
  <c r="F9" i="19"/>
  <c r="E9" i="19" a="1"/>
  <c r="E9" i="19" s="1"/>
  <c r="J9" i="19" s="1"/>
  <c r="G9" i="19" s="1"/>
  <c r="F8" i="19"/>
  <c r="F7" i="19"/>
  <c r="E7" i="19" a="1"/>
  <c r="E7" i="19" s="1"/>
  <c r="F6" i="19"/>
  <c r="F5" i="19"/>
  <c r="E5" i="19" a="1"/>
  <c r="E5" i="19" s="1"/>
  <c r="J5" i="19" s="1"/>
  <c r="G5" i="19" s="1"/>
  <c r="F4" i="19"/>
  <c r="E4" i="19" a="1"/>
  <c r="E4" i="19" s="1"/>
  <c r="L3" i="19"/>
  <c r="O24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E24" i="18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4" i="17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4" i="10"/>
  <c r="L3" i="10"/>
  <c r="W3" i="10" a="1"/>
  <c r="W3" i="10" s="1"/>
  <c r="W4" i="10" a="1"/>
  <c r="W4" i="10" s="1"/>
  <c r="W5" i="10" a="1"/>
  <c r="W5" i="10"/>
  <c r="W6" i="10" a="1"/>
  <c r="W6" i="10" s="1"/>
  <c r="W7" i="10" a="1"/>
  <c r="W7" i="10" s="1"/>
  <c r="W8" i="10" a="1"/>
  <c r="W8" i="10" s="1"/>
  <c r="W9" i="10" a="1"/>
  <c r="W9" i="10" s="1"/>
  <c r="W10" i="10" a="1"/>
  <c r="W10" i="10" s="1"/>
  <c r="W11" i="10" a="1"/>
  <c r="W11" i="10" s="1"/>
  <c r="W12" i="10" a="1"/>
  <c r="W12" i="10" s="1"/>
  <c r="W13" i="10" a="1"/>
  <c r="W13" i="10" s="1"/>
  <c r="W14" i="10" a="1"/>
  <c r="W14" i="10"/>
  <c r="W15" i="10" a="1"/>
  <c r="W15" i="10" s="1"/>
  <c r="W16" i="10" a="1"/>
  <c r="W16" i="10" s="1"/>
  <c r="W17" i="10" a="1"/>
  <c r="W17" i="10"/>
  <c r="W18" i="10" a="1"/>
  <c r="W18" i="10" s="1"/>
  <c r="W19" i="10" a="1"/>
  <c r="W19" i="10" s="1"/>
  <c r="W20" i="10" a="1"/>
  <c r="W20" i="10" s="1"/>
  <c r="W21" i="10" a="1"/>
  <c r="W21" i="10" s="1"/>
  <c r="S23" i="10"/>
  <c r="U23" i="10"/>
  <c r="Z23" i="10"/>
  <c r="AB23" i="10"/>
  <c r="AD23" i="10"/>
  <c r="AA23" i="12"/>
  <c r="Y23" i="12"/>
  <c r="W23" i="12"/>
  <c r="R23" i="12"/>
  <c r="P23" i="12"/>
  <c r="E22" i="12" a="1"/>
  <c r="E22" i="12" s="1"/>
  <c r="T21" i="12" a="1"/>
  <c r="T21" i="12" s="1"/>
  <c r="K22" i="22" s="1"/>
  <c r="E21" i="12" a="1"/>
  <c r="E21" i="12" s="1"/>
  <c r="H21" i="12" s="1"/>
  <c r="T20" i="12" a="1"/>
  <c r="T20" i="12" s="1"/>
  <c r="K21" i="22" s="1"/>
  <c r="E20" i="12" a="1"/>
  <c r="E20" i="12" s="1"/>
  <c r="H20" i="12" s="1"/>
  <c r="T19" i="12" a="1"/>
  <c r="T19" i="12" s="1"/>
  <c r="K20" i="22" s="1"/>
  <c r="E19" i="12" a="1"/>
  <c r="E19" i="12" s="1"/>
  <c r="H19" i="12" s="1"/>
  <c r="T18" i="12" a="1"/>
  <c r="T18" i="12" s="1"/>
  <c r="K19" i="22" s="1"/>
  <c r="E18" i="12" a="1"/>
  <c r="E18" i="12" s="1"/>
  <c r="T17" i="12"/>
  <c r="K18" i="22" s="1"/>
  <c r="T17" i="12" a="1"/>
  <c r="E17" i="12" a="1"/>
  <c r="E17" i="12" s="1"/>
  <c r="H17" i="12" s="1"/>
  <c r="T16" i="12" a="1"/>
  <c r="T16" i="12" s="1"/>
  <c r="K17" i="22" s="1"/>
  <c r="E16" i="12" a="1"/>
  <c r="E16" i="12" s="1"/>
  <c r="H16" i="12" s="1"/>
  <c r="T15" i="12" a="1"/>
  <c r="T15" i="12" s="1"/>
  <c r="K16" i="22" s="1"/>
  <c r="E15" i="12" a="1"/>
  <c r="E15" i="12" s="1"/>
  <c r="H15" i="12" s="1"/>
  <c r="T14" i="12"/>
  <c r="K15" i="22" s="1"/>
  <c r="T14" i="12" a="1"/>
  <c r="E14" i="12" a="1"/>
  <c r="E14" i="12" s="1"/>
  <c r="T13" i="12" a="1"/>
  <c r="T13" i="12" s="1"/>
  <c r="K14" i="22" s="1"/>
  <c r="E13" i="12" a="1"/>
  <c r="E13" i="12" s="1"/>
  <c r="H13" i="12" s="1"/>
  <c r="T12" i="12" a="1"/>
  <c r="T12" i="12" s="1"/>
  <c r="K13" i="22" s="1"/>
  <c r="E12" i="12" a="1"/>
  <c r="E12" i="12" s="1"/>
  <c r="H12" i="12" s="1"/>
  <c r="T11" i="12" a="1"/>
  <c r="T11" i="12" s="1"/>
  <c r="K12" i="22" s="1"/>
  <c r="E11" i="12" a="1"/>
  <c r="E11" i="12" s="1"/>
  <c r="H11" i="12" s="1"/>
  <c r="T10" i="12" a="1"/>
  <c r="T10" i="12" s="1"/>
  <c r="K11" i="22" s="1"/>
  <c r="E10" i="12" a="1"/>
  <c r="E10" i="12" s="1"/>
  <c r="T9" i="12" a="1"/>
  <c r="T9" i="12" s="1"/>
  <c r="K10" i="22" s="1"/>
  <c r="E9" i="12" a="1"/>
  <c r="E9" i="12" s="1"/>
  <c r="H9" i="12" s="1"/>
  <c r="T8" i="12" a="1"/>
  <c r="T8" i="12" s="1"/>
  <c r="K9" i="22" s="1"/>
  <c r="E8" i="12" a="1"/>
  <c r="E8" i="12" s="1"/>
  <c r="H8" i="12" s="1"/>
  <c r="T7" i="12" a="1"/>
  <c r="T7" i="12" s="1"/>
  <c r="K8" i="22" s="1"/>
  <c r="E7" i="12" a="1"/>
  <c r="E7" i="12" s="1"/>
  <c r="H7" i="12" s="1"/>
  <c r="T6" i="12" a="1"/>
  <c r="T6" i="12" s="1"/>
  <c r="K7" i="22" s="1"/>
  <c r="E6" i="12" a="1"/>
  <c r="E6" i="12" s="1"/>
  <c r="T5" i="12" a="1"/>
  <c r="T5" i="12" s="1"/>
  <c r="K6" i="22" s="1"/>
  <c r="E5" i="12"/>
  <c r="H5" i="12" s="1"/>
  <c r="E5" i="12" a="1"/>
  <c r="T4" i="12" a="1"/>
  <c r="T4" i="12" s="1"/>
  <c r="K5" i="22" s="1"/>
  <c r="E4" i="12" a="1"/>
  <c r="E4" i="12" s="1"/>
  <c r="T3" i="12"/>
  <c r="K4" i="22" s="1"/>
  <c r="T3" i="12" a="1"/>
  <c r="I3" i="12"/>
  <c r="S23" i="23" l="1"/>
  <c r="E6" i="23" a="1"/>
  <c r="E6" i="23" s="1"/>
  <c r="U7" i="23" a="1"/>
  <c r="U7" i="23" s="1"/>
  <c r="U15" i="23" a="1"/>
  <c r="U15" i="23" s="1"/>
  <c r="E22" i="23" a="1"/>
  <c r="E22" i="23" s="1"/>
  <c r="U4" i="23" a="1"/>
  <c r="U4" i="23" s="1"/>
  <c r="U23" i="23" s="1"/>
  <c r="U11" i="23" a="1"/>
  <c r="U11" i="23" s="1"/>
  <c r="K24" i="22"/>
  <c r="O24" i="17"/>
  <c r="H6" i="12"/>
  <c r="H14" i="12"/>
  <c r="H22" i="12"/>
  <c r="J10" i="19"/>
  <c r="G10" i="19" s="1"/>
  <c r="E18" i="19" a="1"/>
  <c r="E18" i="19" s="1"/>
  <c r="J18" i="19" s="1"/>
  <c r="G18" i="19" s="1"/>
  <c r="U15" i="19" a="1"/>
  <c r="U15" i="19" s="1"/>
  <c r="U23" i="19" s="1"/>
  <c r="U21" i="19" a="1"/>
  <c r="U21" i="19" s="1"/>
  <c r="L24" i="18"/>
  <c r="S14" i="19" a="1"/>
  <c r="S14" i="19" s="1"/>
  <c r="U16" i="19" a="1"/>
  <c r="U16" i="19" s="1"/>
  <c r="L24" i="17"/>
  <c r="H10" i="12"/>
  <c r="H18" i="12"/>
  <c r="J6" i="19"/>
  <c r="G6" i="19" s="1"/>
  <c r="E22" i="19" a="1"/>
  <c r="E22" i="19" s="1"/>
  <c r="J22" i="19" s="1"/>
  <c r="G22" i="19" s="1"/>
  <c r="J7" i="19"/>
  <c r="G7" i="19" s="1"/>
  <c r="S9" i="19" a="1"/>
  <c r="S9" i="19" s="1"/>
  <c r="S23" i="19" s="1"/>
  <c r="S17" i="19" a="1"/>
  <c r="S17" i="19" s="1"/>
  <c r="J21" i="19"/>
  <c r="G21" i="19" s="1"/>
  <c r="E8" i="19" a="1"/>
  <c r="E8" i="19" s="1"/>
  <c r="J8" i="19" s="1"/>
  <c r="G8" i="19" s="1"/>
  <c r="O5" i="21"/>
  <c r="W23" i="21"/>
  <c r="J12" i="19"/>
  <c r="G12" i="19" s="1"/>
  <c r="W23" i="20"/>
  <c r="O5" i="20"/>
  <c r="J4" i="19"/>
  <c r="G4" i="19" s="1"/>
  <c r="J19" i="19"/>
  <c r="G19" i="19" s="1"/>
  <c r="J20" i="19"/>
  <c r="G20" i="19" s="1"/>
  <c r="J11" i="19"/>
  <c r="G11" i="19" s="1"/>
  <c r="E24" i="17"/>
  <c r="W23" i="10"/>
  <c r="T23" i="12"/>
  <c r="H4" i="12"/>
  <c r="L5" i="12"/>
  <c r="E22" i="10" a="1"/>
  <c r="E22" i="10" s="1"/>
  <c r="E21" i="10" a="1"/>
  <c r="E21" i="10" s="1"/>
  <c r="E20" i="10" a="1"/>
  <c r="E20" i="10" s="1"/>
  <c r="E19" i="10" a="1"/>
  <c r="E19" i="10" s="1"/>
  <c r="E18" i="10" a="1"/>
  <c r="E18" i="10" s="1"/>
  <c r="E17" i="10" a="1"/>
  <c r="E17" i="10" s="1"/>
  <c r="E16" i="10" a="1"/>
  <c r="E16" i="10" s="1"/>
  <c r="E15" i="10" a="1"/>
  <c r="E15" i="10" s="1"/>
  <c r="E14" i="10" a="1"/>
  <c r="E14" i="10" s="1"/>
  <c r="E13" i="10" a="1"/>
  <c r="E13" i="10" s="1"/>
  <c r="E12" i="10" a="1"/>
  <c r="E12" i="10" s="1"/>
  <c r="E11" i="10" a="1"/>
  <c r="E11" i="10" s="1"/>
  <c r="E10" i="10" a="1"/>
  <c r="E10" i="10" s="1"/>
  <c r="E9" i="10" a="1"/>
  <c r="E9" i="10" s="1"/>
  <c r="E8" i="10" a="1"/>
  <c r="E8" i="10" s="1"/>
  <c r="E7" i="10" a="1"/>
  <c r="E7" i="10" s="1"/>
  <c r="E6" i="10" a="1"/>
  <c r="E6" i="10" s="1"/>
  <c r="E5" i="10" a="1"/>
  <c r="E5" i="10" s="1"/>
  <c r="E4" i="10" a="1"/>
  <c r="E4" i="10" s="1"/>
  <c r="O5" i="23" l="1"/>
  <c r="G4" i="10"/>
  <c r="J4" i="10"/>
  <c r="O5" i="10"/>
  <c r="E4" i="22"/>
  <c r="J5" i="10"/>
  <c r="G5" i="10" s="1"/>
  <c r="E5" i="22"/>
  <c r="J21" i="10"/>
  <c r="G21" i="10" s="1"/>
  <c r="E21" i="22"/>
  <c r="J22" i="10"/>
  <c r="G22" i="10" s="1"/>
  <c r="E22" i="22"/>
  <c r="J12" i="10"/>
  <c r="G12" i="10" s="1"/>
  <c r="E12" i="22"/>
  <c r="J13" i="10"/>
  <c r="G13" i="10" s="1"/>
  <c r="E13" i="22"/>
  <c r="J6" i="10"/>
  <c r="G6" i="10" s="1"/>
  <c r="E6" i="22"/>
  <c r="J14" i="10"/>
  <c r="G14" i="10" s="1"/>
  <c r="E14" i="22"/>
  <c r="J7" i="10"/>
  <c r="G7" i="10" s="1"/>
  <c r="E7" i="22"/>
  <c r="J15" i="10"/>
  <c r="G15" i="10" s="1"/>
  <c r="E15" i="22"/>
  <c r="J9" i="10"/>
  <c r="G9" i="10" s="1"/>
  <c r="E9" i="22"/>
  <c r="J20" i="10"/>
  <c r="G20" i="10" s="1"/>
  <c r="E20" i="22"/>
  <c r="J8" i="10"/>
  <c r="G8" i="10" s="1"/>
  <c r="E8" i="22"/>
  <c r="J16" i="10"/>
  <c r="G16" i="10" s="1"/>
  <c r="E16" i="22"/>
  <c r="J17" i="10"/>
  <c r="G17" i="10" s="1"/>
  <c r="E17" i="22"/>
  <c r="J10" i="10"/>
  <c r="G10" i="10" s="1"/>
  <c r="E10" i="22"/>
  <c r="J18" i="10"/>
  <c r="G18" i="10" s="1"/>
  <c r="E18" i="22"/>
  <c r="J11" i="10"/>
  <c r="G11" i="10" s="1"/>
  <c r="E11" i="22"/>
  <c r="J19" i="10"/>
  <c r="G19" i="10" s="1"/>
  <c r="E19" i="22"/>
  <c r="O5" i="19"/>
  <c r="E24" i="22" l="1"/>
</calcChain>
</file>

<file path=xl/sharedStrings.xml><?xml version="1.0" encoding="utf-8"?>
<sst xmlns="http://schemas.openxmlformats.org/spreadsheetml/2006/main" count="1043" uniqueCount="81">
  <si>
    <t>Acopiara</t>
  </si>
  <si>
    <t>Baraúna</t>
  </si>
  <si>
    <t>Icó</t>
  </si>
  <si>
    <t>Cedro</t>
  </si>
  <si>
    <t>Senador Pompeu</t>
  </si>
  <si>
    <t>Brejo Santo</t>
  </si>
  <si>
    <t>Crateús</t>
  </si>
  <si>
    <t>Tauá</t>
  </si>
  <si>
    <t>Pereiro</t>
  </si>
  <si>
    <t>Mossoró</t>
  </si>
  <si>
    <t>Mombaça</t>
  </si>
  <si>
    <t>Pau dos Ferros</t>
  </si>
  <si>
    <t>Jaguaribe</t>
  </si>
  <si>
    <t>Jaguaretama</t>
  </si>
  <si>
    <t>Orós</t>
  </si>
  <si>
    <t>Itapagé</t>
  </si>
  <si>
    <t>Itapipoca</t>
  </si>
  <si>
    <t>Quixadá</t>
  </si>
  <si>
    <t>Patos</t>
  </si>
  <si>
    <t>Pombal</t>
  </si>
  <si>
    <t>F.O.</t>
  </si>
  <si>
    <t>ID</t>
  </si>
  <si>
    <t>Cidades</t>
  </si>
  <si>
    <t>Ordem</t>
  </si>
  <si>
    <t>Distância Percorrida</t>
  </si>
  <si>
    <t>Original</t>
  </si>
  <si>
    <t>1GRG</t>
  </si>
  <si>
    <t>1°GRG = 2° GRG</t>
  </si>
  <si>
    <t>1° GA</t>
  </si>
  <si>
    <t>2° GA</t>
  </si>
  <si>
    <t>Não Circular</t>
  </si>
  <si>
    <t>Circular</t>
  </si>
  <si>
    <t>Problema Não Circular</t>
  </si>
  <si>
    <t>Melhor rota para entrega de chips de celular nos municípios selecionados do RN e CE</t>
  </si>
  <si>
    <t>Problema Circular</t>
  </si>
  <si>
    <t>Escolher um Ponto de partida para fixar um Agente Comercial que visite as 20 lojas dos Municípios selecionados</t>
  </si>
  <si>
    <t>Nesse caso, melhoramos muito com o GA. Tentei rodar de novo, mas não tive alteração de resultado.</t>
  </si>
  <si>
    <t>Nesse contexto, tentei minimizar os problemas com o GRG. Contudo, ao analisar o 1°GA vimos um resultado muito melhor. Ainda tentei um 2° GA a partir do resultado do 1° GA, mas o valor final não melhorou</t>
  </si>
  <si>
    <t>Custo hospedagem</t>
  </si>
  <si>
    <t>Dia da semana</t>
  </si>
  <si>
    <t>Segunda-feira</t>
  </si>
  <si>
    <t>Terça-feira</t>
  </si>
  <si>
    <t>Quarta-feira</t>
  </si>
  <si>
    <t>Quinta-feira</t>
  </si>
  <si>
    <t>Sexta-feira</t>
  </si>
  <si>
    <t>Sabado</t>
  </si>
  <si>
    <t>Domingo</t>
  </si>
  <si>
    <t>=Sabado+Domingo</t>
  </si>
  <si>
    <t>F.O. Custo</t>
  </si>
  <si>
    <t>Custo Alimentação</t>
  </si>
  <si>
    <t>=soma(CustoHospedagem+CustoAlimentacao)</t>
  </si>
  <si>
    <t>Respostas</t>
  </si>
  <si>
    <t>Foco na FO de distancia</t>
  </si>
  <si>
    <t>Anotar a FO de Custo</t>
  </si>
  <si>
    <t>Anotar a FO de distancia</t>
  </si>
  <si>
    <t>Foco na FO de Custo</t>
  </si>
  <si>
    <t>Custo de Deslocamento</t>
  </si>
  <si>
    <t>Preço da gasolina</t>
  </si>
  <si>
    <t>Otimizar o custo completo</t>
  </si>
  <si>
    <t>Custos(Alimentação+Hospedagem+Deslocamento)</t>
  </si>
  <si>
    <t>Custo Total</t>
  </si>
  <si>
    <t>Custo Hospedagem</t>
  </si>
  <si>
    <t>Gasolina</t>
  </si>
  <si>
    <t>Análise Pela distância</t>
  </si>
  <si>
    <t>Custo Hospedagem + Alimentação</t>
  </si>
  <si>
    <t>Análise pela Hospedagem</t>
  </si>
  <si>
    <t>Custo Alim. + Hospedagem</t>
  </si>
  <si>
    <t>Análise pelo Combustível</t>
  </si>
  <si>
    <t>Distância</t>
  </si>
  <si>
    <t>Al. + Hosp</t>
  </si>
  <si>
    <t>Combustível</t>
  </si>
  <si>
    <t>Rota 1</t>
  </si>
  <si>
    <t>Rota 2</t>
  </si>
  <si>
    <t>Rota 3</t>
  </si>
  <si>
    <t>Rota 1:</t>
  </si>
  <si>
    <t>A rota 1 visou traçar o melhor trajeto com base nas distâncias</t>
  </si>
  <si>
    <t>A rota 2 visou traçar o melhor trajeto com base no menor custo de Alimentação e Hospedagem</t>
  </si>
  <si>
    <t>A rota 3 visou traçar o melhor trajeto com base nos custos de combustíveis.</t>
  </si>
  <si>
    <t>Visualmente e entendendo que o Agente Comercial tem que maximizar o seu tempo, a Rota 2 é descartada, pois demandaria mais tempo e um "zig-zague"  desnecessário</t>
  </si>
  <si>
    <t>Em tempos de alta dos preços dos combustíveis, a Rota 3 se mostra bem atratativa e não se mostra "tão" distinta da Rota 1.</t>
  </si>
  <si>
    <t>A Rota 1 seria a opção correta se o fator combustível não fosse tão essencial, pois claramente como vemos na figura mostra uma rota limpa e com poucos desvios do caminho.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</si>
</sst>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NumberFormat="1" applyFont="1" applyFill="1" applyBorder="1" applyAlignment="1" applyProtection="1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3" fillId="3" borderId="0" xfId="0" applyFont="1" applyFill="1" applyAlignment="1">
      <alignment horizontal="center"/>
    </xf>
    <xf numFmtId="164" fontId="3" fillId="0" borderId="0" xfId="1" applyNumberFormat="1" applyFont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4" borderId="0" xfId="0" quotePrefix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1" fillId="0" borderId="0" xfId="0" applyNumberFormat="1" applyFont="1" applyFill="1" applyBorder="1" applyAlignment="1" applyProtection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47625</xdr:rowOff>
    </xdr:from>
    <xdr:to>
      <xdr:col>6</xdr:col>
      <xdr:colOff>486353</xdr:colOff>
      <xdr:row>21</xdr:row>
      <xdr:rowOff>162260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60ABAC7-A4D5-4AF4-989F-5DDB966E8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62125"/>
          <a:ext cx="4143953" cy="2400635"/>
        </a:xfrm>
        <a:prstGeom prst="rect">
          <a:avLst/>
        </a:prstGeom>
      </xdr:spPr>
    </xdr:pic>
    <xdr:clientData/>
  </xdr:twoCellAnchor>
  <xdr:twoCellAnchor editAs="oneCell">
    <xdr:from>
      <xdr:col>6</xdr:col>
      <xdr:colOff>466725</xdr:colOff>
      <xdr:row>9</xdr:row>
      <xdr:rowOff>66675</xdr:rowOff>
    </xdr:from>
    <xdr:to>
      <xdr:col>14</xdr:col>
      <xdr:colOff>314984</xdr:colOff>
      <xdr:row>22</xdr:row>
      <xdr:rowOff>9863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6A19B1-6352-4568-86B1-C587C9133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4325" y="1781175"/>
          <a:ext cx="4725059" cy="2419688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9</xdr:row>
      <xdr:rowOff>66675</xdr:rowOff>
    </xdr:from>
    <xdr:to>
      <xdr:col>22</xdr:col>
      <xdr:colOff>86376</xdr:colOff>
      <xdr:row>22</xdr:row>
      <xdr:rowOff>9863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B8FCF81-9D9A-4D3E-B7FE-30EC163B3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29675" y="1781175"/>
          <a:ext cx="4667901" cy="241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37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4D95-0568-45DE-B64C-DC02816EA421}">
  <dimension ref="A1:CU89"/>
  <sheetViews>
    <sheetView workbookViewId="0">
      <selection activeCell="Q14" sqref="Q14"/>
    </sheetView>
  </sheetViews>
  <sheetFormatPr defaultRowHeight="15" x14ac:dyDescent="0.25"/>
  <cols>
    <col min="2" max="2" width="23.28515625" bestFit="1" customWidth="1"/>
    <col min="3" max="3" width="12.85546875" bestFit="1" customWidth="1"/>
    <col min="4" max="4" width="9.28515625" bestFit="1" customWidth="1"/>
    <col min="5" max="5" width="10.28515625" customWidth="1"/>
    <col min="6" max="6" width="12" customWidth="1"/>
    <col min="7" max="7" width="11.7109375" customWidth="1"/>
    <col min="8" max="8" width="11.28515625" bestFit="1" customWidth="1"/>
    <col min="9" max="9" width="20.42578125" bestFit="1" customWidth="1"/>
    <col min="10" max="10" width="21" bestFit="1" customWidth="1"/>
    <col min="11" max="15" width="9.28515625" bestFit="1" customWidth="1"/>
    <col min="16" max="16" width="14.140625" bestFit="1" customWidth="1"/>
    <col min="17" max="17" width="9.5703125" bestFit="1" customWidth="1"/>
    <col min="18" max="18" width="12.28515625" bestFit="1" customWidth="1"/>
    <col min="19" max="20" width="8" bestFit="1" customWidth="1"/>
    <col min="21" max="21" width="9.28515625" bestFit="1" customWidth="1"/>
    <col min="22" max="22" width="8.42578125" bestFit="1" customWidth="1"/>
    <col min="23" max="24" width="8" bestFit="1" customWidth="1"/>
    <col min="25" max="25" width="14.5703125" bestFit="1" customWidth="1"/>
    <col min="26" max="26" width="10.85546875" bestFit="1" customWidth="1"/>
    <col min="27" max="30" width="8" bestFit="1" customWidth="1"/>
    <col min="31" max="31" width="15.140625" bestFit="1" customWidth="1"/>
    <col min="32" max="33" width="8" bestFit="1" customWidth="1"/>
    <col min="34" max="34" width="8.28515625" bestFit="1" customWidth="1"/>
    <col min="35" max="35" width="12.85546875" bestFit="1" customWidth="1"/>
    <col min="36" max="36" width="19.42578125" bestFit="1" customWidth="1"/>
    <col min="37" max="37" width="13.5703125" bestFit="1" customWidth="1"/>
    <col min="38" max="38" width="10" bestFit="1" customWidth="1"/>
    <col min="39" max="40" width="8.85546875" bestFit="1" customWidth="1"/>
    <col min="41" max="41" width="20.28515625" bestFit="1" customWidth="1"/>
    <col min="42" max="42" width="8" bestFit="1" customWidth="1"/>
    <col min="43" max="43" width="13" bestFit="1" customWidth="1"/>
    <col min="44" max="44" width="8" bestFit="1" customWidth="1"/>
    <col min="45" max="45" width="9.42578125" bestFit="1" customWidth="1"/>
    <col min="46" max="46" width="8.42578125" bestFit="1" customWidth="1"/>
    <col min="47" max="47" width="12.85546875" bestFit="1" customWidth="1"/>
    <col min="48" max="48" width="8.7109375" bestFit="1" customWidth="1"/>
    <col min="49" max="49" width="8" bestFit="1" customWidth="1"/>
    <col min="50" max="51" width="11.7109375" bestFit="1" customWidth="1"/>
    <col min="52" max="53" width="8" bestFit="1" customWidth="1"/>
    <col min="54" max="55" width="8.42578125" bestFit="1" customWidth="1"/>
    <col min="56" max="56" width="11.42578125" bestFit="1" customWidth="1"/>
    <col min="57" max="57" width="10" bestFit="1" customWidth="1"/>
    <col min="58" max="58" width="10.28515625" bestFit="1" customWidth="1"/>
    <col min="59" max="59" width="11.42578125" bestFit="1" customWidth="1"/>
    <col min="60" max="60" width="9.28515625" bestFit="1" customWidth="1"/>
    <col min="61" max="61" width="8" bestFit="1" customWidth="1"/>
    <col min="62" max="62" width="9.42578125" bestFit="1" customWidth="1"/>
    <col min="63" max="63" width="12.85546875" bestFit="1" customWidth="1"/>
    <col min="64" max="64" width="9.5703125" bestFit="1" customWidth="1"/>
    <col min="65" max="65" width="8" bestFit="1" customWidth="1"/>
    <col min="66" max="66" width="15.85546875" bestFit="1" customWidth="1"/>
    <col min="67" max="67" width="8" bestFit="1" customWidth="1"/>
    <col min="68" max="68" width="15.42578125" bestFit="1" customWidth="1"/>
    <col min="69" max="69" width="19.42578125" bestFit="1" customWidth="1"/>
    <col min="70" max="70" width="12.42578125" bestFit="1" customWidth="1"/>
    <col min="71" max="71" width="8.140625" bestFit="1" customWidth="1"/>
    <col min="72" max="72" width="15.85546875" bestFit="1" customWidth="1"/>
    <col min="73" max="73" width="9.85546875" bestFit="1" customWidth="1"/>
    <col min="74" max="74" width="8" bestFit="1" customWidth="1"/>
    <col min="75" max="75" width="8.140625" bestFit="1" customWidth="1"/>
    <col min="76" max="76" width="11.140625" bestFit="1" customWidth="1"/>
    <col min="77" max="77" width="13.7109375" bestFit="1" customWidth="1"/>
    <col min="78" max="78" width="17.5703125" bestFit="1" customWidth="1"/>
    <col min="79" max="79" width="11.140625" bestFit="1" customWidth="1"/>
    <col min="80" max="80" width="8" bestFit="1" customWidth="1"/>
    <col min="81" max="81" width="12.85546875" bestFit="1" customWidth="1"/>
    <col min="82" max="82" width="8" bestFit="1" customWidth="1"/>
    <col min="83" max="83" width="12.5703125" bestFit="1" customWidth="1"/>
    <col min="84" max="84" width="10.42578125" bestFit="1" customWidth="1"/>
    <col min="85" max="85" width="8.28515625" bestFit="1" customWidth="1"/>
    <col min="86" max="86" width="16.5703125" bestFit="1" customWidth="1"/>
    <col min="87" max="87" width="21.28515625" bestFit="1" customWidth="1"/>
    <col min="88" max="88" width="23.28515625" bestFit="1" customWidth="1"/>
    <col min="89" max="89" width="10.7109375" bestFit="1" customWidth="1"/>
    <col min="90" max="90" width="9.85546875" bestFit="1" customWidth="1"/>
    <col min="91" max="91" width="18" bestFit="1" customWidth="1"/>
    <col min="92" max="92" width="8.85546875" bestFit="1" customWidth="1"/>
    <col min="93" max="93" width="7.85546875" bestFit="1" customWidth="1"/>
  </cols>
  <sheetData>
    <row r="1" spans="1:99" x14ac:dyDescent="0.25">
      <c r="O1" t="s">
        <v>30</v>
      </c>
      <c r="X1" t="s">
        <v>31</v>
      </c>
    </row>
    <row r="2" spans="1:99" x14ac:dyDescent="0.25">
      <c r="A2" s="20" t="s">
        <v>21</v>
      </c>
      <c r="B2" s="20" t="s">
        <v>22</v>
      </c>
      <c r="D2" s="20" t="s">
        <v>23</v>
      </c>
      <c r="E2" s="21" t="s">
        <v>24</v>
      </c>
      <c r="F2" s="18" t="s">
        <v>38</v>
      </c>
      <c r="G2" s="18" t="s">
        <v>49</v>
      </c>
      <c r="H2" s="18" t="s">
        <v>56</v>
      </c>
      <c r="I2" s="10" t="s">
        <v>57</v>
      </c>
      <c r="O2" t="s">
        <v>27</v>
      </c>
      <c r="Q2" t="s">
        <v>28</v>
      </c>
      <c r="S2" t="s">
        <v>29</v>
      </c>
      <c r="V2" t="s">
        <v>25</v>
      </c>
      <c r="X2" t="s">
        <v>28</v>
      </c>
      <c r="Z2" t="s">
        <v>29</v>
      </c>
    </row>
    <row r="3" spans="1:99" x14ac:dyDescent="0.25">
      <c r="A3" s="20"/>
      <c r="B3" s="20"/>
      <c r="C3" t="s">
        <v>39</v>
      </c>
      <c r="D3" s="20"/>
      <c r="E3" s="21"/>
      <c r="F3" s="18"/>
      <c r="G3" s="18"/>
      <c r="H3" s="18"/>
      <c r="I3">
        <f>7.43</f>
        <v>7.43</v>
      </c>
      <c r="L3" t="s">
        <v>25</v>
      </c>
      <c r="M3" t="s">
        <v>26</v>
      </c>
      <c r="O3" s="3">
        <v>20</v>
      </c>
      <c r="P3">
        <v>71</v>
      </c>
      <c r="Q3" s="3">
        <v>17</v>
      </c>
      <c r="R3" s="7">
        <v>38</v>
      </c>
      <c r="S3" s="3">
        <v>19</v>
      </c>
      <c r="T3">
        <f t="array" ref="T3">INDEX($C$28:$V$47,S3,S4)</f>
        <v>71</v>
      </c>
      <c r="V3" s="4">
        <v>1</v>
      </c>
      <c r="W3">
        <v>324</v>
      </c>
      <c r="X3" s="3">
        <v>1</v>
      </c>
      <c r="Y3">
        <v>93</v>
      </c>
      <c r="Z3" s="3">
        <v>1</v>
      </c>
      <c r="AA3">
        <v>93</v>
      </c>
    </row>
    <row r="4" spans="1:99" x14ac:dyDescent="0.25">
      <c r="A4">
        <v>1</v>
      </c>
      <c r="B4" s="1" t="s">
        <v>0</v>
      </c>
      <c r="C4" t="s">
        <v>40</v>
      </c>
      <c r="D4" s="3">
        <v>1</v>
      </c>
      <c r="E4">
        <f t="array" ref="E4">INDEX($C$28:$V$47,D4,D5)</f>
        <v>324</v>
      </c>
      <c r="F4">
        <v>120</v>
      </c>
      <c r="H4">
        <f>E4*$I$3</f>
        <v>2407.3199999999997</v>
      </c>
      <c r="L4" s="5" t="s">
        <v>20</v>
      </c>
      <c r="O4" s="3">
        <v>19</v>
      </c>
      <c r="P4">
        <v>333</v>
      </c>
      <c r="Q4" s="3">
        <v>16</v>
      </c>
      <c r="R4" s="7">
        <v>257</v>
      </c>
      <c r="S4" s="3">
        <v>20</v>
      </c>
      <c r="T4">
        <f t="array" ref="T4">INDEX($C$28:$V$47,S4,S5)</f>
        <v>198</v>
      </c>
      <c r="V4" s="4">
        <v>2</v>
      </c>
      <c r="W4">
        <v>263</v>
      </c>
      <c r="X4" s="3">
        <v>4</v>
      </c>
      <c r="Y4">
        <v>53</v>
      </c>
      <c r="Z4" s="3">
        <v>4</v>
      </c>
      <c r="AA4">
        <v>53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>
        <v>2</v>
      </c>
      <c r="B5" s="1" t="s">
        <v>1</v>
      </c>
      <c r="C5" t="s">
        <v>41</v>
      </c>
      <c r="D5" s="3">
        <v>2</v>
      </c>
      <c r="E5">
        <f t="array" ref="E5">INDEX($C$28:$V$47,D5,D6)</f>
        <v>263</v>
      </c>
      <c r="F5">
        <v>110</v>
      </c>
      <c r="H5">
        <f t="shared" ref="H5:H22" si="0">E5*$I$3</f>
        <v>1954.09</v>
      </c>
      <c r="L5" s="6">
        <f>SUM(E4:E23)</f>
        <v>4201</v>
      </c>
      <c r="O5" s="3">
        <v>1</v>
      </c>
      <c r="P5">
        <v>324</v>
      </c>
      <c r="Q5" s="3">
        <v>7</v>
      </c>
      <c r="R5" s="7">
        <v>135</v>
      </c>
      <c r="S5" s="3">
        <v>6</v>
      </c>
      <c r="T5">
        <f t="array" ref="T5">INDEX($C$28:$V$47,S5,S6)</f>
        <v>142</v>
      </c>
      <c r="V5" s="4">
        <v>3</v>
      </c>
      <c r="W5">
        <v>45</v>
      </c>
      <c r="X5" s="3">
        <v>15</v>
      </c>
      <c r="Y5">
        <v>32</v>
      </c>
      <c r="Z5" s="3">
        <v>15</v>
      </c>
      <c r="AA5">
        <v>32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9" x14ac:dyDescent="0.25">
      <c r="A6">
        <v>3</v>
      </c>
      <c r="B6" s="1" t="s">
        <v>2</v>
      </c>
      <c r="C6" t="s">
        <v>42</v>
      </c>
      <c r="D6" s="3">
        <v>3</v>
      </c>
      <c r="E6">
        <f t="array" ref="E6">INDEX($C$28:$V$47,D6,D7)</f>
        <v>45</v>
      </c>
      <c r="H6">
        <f t="shared" si="0"/>
        <v>334.34999999999997</v>
      </c>
      <c r="O6" s="3">
        <v>2</v>
      </c>
      <c r="P6">
        <v>263</v>
      </c>
      <c r="Q6" s="3">
        <v>8</v>
      </c>
      <c r="R6" s="7">
        <v>89</v>
      </c>
      <c r="S6" s="3">
        <v>3</v>
      </c>
      <c r="T6">
        <f t="array" ref="T6">INDEX($C$28:$V$47,S6,S7)</f>
        <v>32</v>
      </c>
      <c r="V6" s="4">
        <v>4</v>
      </c>
      <c r="W6">
        <v>172</v>
      </c>
      <c r="X6" s="3">
        <v>3</v>
      </c>
      <c r="Y6">
        <v>142</v>
      </c>
      <c r="Z6" s="3">
        <v>3</v>
      </c>
      <c r="AA6">
        <v>142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9" x14ac:dyDescent="0.25">
      <c r="A7">
        <v>4</v>
      </c>
      <c r="B7" s="1" t="s">
        <v>3</v>
      </c>
      <c r="C7" t="s">
        <v>43</v>
      </c>
      <c r="D7" s="3">
        <v>4</v>
      </c>
      <c r="E7">
        <f t="array" ref="E7">INDEX($C$28:$V$47,D7,D8)</f>
        <v>172</v>
      </c>
      <c r="H7">
        <f t="shared" si="0"/>
        <v>1277.96</v>
      </c>
      <c r="O7" s="3">
        <v>3</v>
      </c>
      <c r="P7">
        <v>45</v>
      </c>
      <c r="Q7" s="3">
        <v>11</v>
      </c>
      <c r="R7" s="7">
        <v>50</v>
      </c>
      <c r="S7" s="3">
        <v>15</v>
      </c>
      <c r="T7">
        <f t="array" ref="T7">INDEX($C$28:$V$47,S7,S8)</f>
        <v>53</v>
      </c>
      <c r="V7" s="4">
        <v>5</v>
      </c>
      <c r="W7">
        <v>288</v>
      </c>
      <c r="X7" s="3">
        <v>6</v>
      </c>
      <c r="Y7">
        <v>254</v>
      </c>
      <c r="Z7" s="3">
        <v>6</v>
      </c>
      <c r="AA7">
        <v>254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9" x14ac:dyDescent="0.25">
      <c r="A8">
        <v>5</v>
      </c>
      <c r="B8" s="1" t="s">
        <v>4</v>
      </c>
      <c r="C8" t="s">
        <v>44</v>
      </c>
      <c r="D8" s="3">
        <v>5</v>
      </c>
      <c r="E8">
        <f t="array" ref="E8">INDEX($C$28:$V$47,D8,D9)</f>
        <v>288</v>
      </c>
      <c r="H8">
        <f t="shared" si="0"/>
        <v>2139.84</v>
      </c>
      <c r="L8" t="s">
        <v>48</v>
      </c>
      <c r="O8" s="3">
        <v>4</v>
      </c>
      <c r="P8">
        <v>172</v>
      </c>
      <c r="Q8" s="3">
        <v>1</v>
      </c>
      <c r="R8" s="7">
        <v>80</v>
      </c>
      <c r="S8" s="3">
        <v>4</v>
      </c>
      <c r="T8">
        <f t="array" ref="T8">INDEX($C$28:$V$47,S8,S9)</f>
        <v>93</v>
      </c>
      <c r="V8" s="4">
        <v>6</v>
      </c>
      <c r="W8">
        <v>421</v>
      </c>
      <c r="X8" s="3">
        <v>19</v>
      </c>
      <c r="Y8">
        <v>71</v>
      </c>
      <c r="Z8" s="3">
        <v>19</v>
      </c>
      <c r="AA8">
        <v>71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9" x14ac:dyDescent="0.25">
      <c r="A9">
        <v>6</v>
      </c>
      <c r="B9" s="1" t="s">
        <v>5</v>
      </c>
      <c r="C9" t="s">
        <v>45</v>
      </c>
      <c r="D9" s="3">
        <v>6</v>
      </c>
      <c r="E9">
        <f t="array" ref="E9">INDEX($C$28:$V$47,D9,D10)</f>
        <v>421</v>
      </c>
      <c r="F9" s="9" t="s">
        <v>47</v>
      </c>
      <c r="H9">
        <f t="shared" si="0"/>
        <v>3128.0299999999997</v>
      </c>
      <c r="L9" s="12" t="s">
        <v>50</v>
      </c>
      <c r="O9" s="3">
        <v>5</v>
      </c>
      <c r="P9">
        <v>288</v>
      </c>
      <c r="Q9" s="3">
        <v>5</v>
      </c>
      <c r="R9" s="7">
        <v>97</v>
      </c>
      <c r="S9" s="3">
        <v>1</v>
      </c>
      <c r="T9">
        <f t="array" ref="T9">INDEX($C$28:$V$47,S9,S10)</f>
        <v>50</v>
      </c>
      <c r="V9" s="4">
        <v>7</v>
      </c>
      <c r="W9">
        <v>135</v>
      </c>
      <c r="X9" s="3">
        <v>20</v>
      </c>
      <c r="Y9">
        <v>111</v>
      </c>
      <c r="Z9" s="3">
        <v>20</v>
      </c>
      <c r="AA9">
        <v>111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9" x14ac:dyDescent="0.25">
      <c r="A10">
        <v>7</v>
      </c>
      <c r="B10" s="1" t="s">
        <v>6</v>
      </c>
      <c r="C10" t="s">
        <v>40</v>
      </c>
      <c r="D10" s="3">
        <v>7</v>
      </c>
      <c r="E10">
        <f t="array" ref="E10">INDEX($C$28:$V$47,D10,D11)</f>
        <v>135</v>
      </c>
      <c r="H10">
        <f t="shared" si="0"/>
        <v>1003.05</v>
      </c>
      <c r="O10" s="3">
        <v>6</v>
      </c>
      <c r="P10">
        <v>421</v>
      </c>
      <c r="Q10" s="3">
        <v>18</v>
      </c>
      <c r="R10" s="7">
        <v>98</v>
      </c>
      <c r="S10" s="3">
        <v>11</v>
      </c>
      <c r="T10">
        <f t="array" ref="T10">INDEX($C$28:$V$47,S10,S11)</f>
        <v>89</v>
      </c>
      <c r="V10" s="4">
        <v>8</v>
      </c>
      <c r="W10">
        <v>305</v>
      </c>
      <c r="X10" s="3">
        <v>12</v>
      </c>
      <c r="Y10">
        <v>39</v>
      </c>
      <c r="Z10" s="3">
        <v>12</v>
      </c>
      <c r="AA10">
        <v>39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9" x14ac:dyDescent="0.25">
      <c r="A11">
        <v>8</v>
      </c>
      <c r="B11" s="1" t="s">
        <v>7</v>
      </c>
      <c r="C11" t="s">
        <v>41</v>
      </c>
      <c r="D11" s="3">
        <v>8</v>
      </c>
      <c r="E11">
        <f t="array" ref="E11">INDEX($C$28:$V$47,D11,D12)</f>
        <v>305</v>
      </c>
      <c r="H11">
        <f t="shared" si="0"/>
        <v>2266.15</v>
      </c>
      <c r="O11" s="3">
        <v>7</v>
      </c>
      <c r="P11">
        <v>135</v>
      </c>
      <c r="Q11" s="3">
        <v>14</v>
      </c>
      <c r="R11" s="7">
        <v>48</v>
      </c>
      <c r="S11" s="3">
        <v>8</v>
      </c>
      <c r="T11">
        <f t="array" ref="T11">INDEX($C$28:$V$47,S11,S12)</f>
        <v>135</v>
      </c>
      <c r="V11" s="4">
        <v>9</v>
      </c>
      <c r="W11">
        <v>189</v>
      </c>
      <c r="X11" s="3">
        <v>9</v>
      </c>
      <c r="Y11">
        <v>38</v>
      </c>
      <c r="Z11" s="3">
        <v>9</v>
      </c>
      <c r="AA11">
        <v>38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9" x14ac:dyDescent="0.25">
      <c r="A12">
        <v>9</v>
      </c>
      <c r="B12" s="1" t="s">
        <v>8</v>
      </c>
      <c r="C12" t="s">
        <v>42</v>
      </c>
      <c r="D12" s="3">
        <v>9</v>
      </c>
      <c r="E12">
        <f t="array" ref="E12">INDEX($C$28:$V$47,D12,D13)</f>
        <v>189</v>
      </c>
      <c r="H12">
        <f t="shared" si="0"/>
        <v>1404.27</v>
      </c>
      <c r="O12" s="3">
        <v>8</v>
      </c>
      <c r="P12">
        <v>305</v>
      </c>
      <c r="Q12" s="3">
        <v>13</v>
      </c>
      <c r="R12" s="7">
        <v>38</v>
      </c>
      <c r="S12" s="3">
        <v>7</v>
      </c>
      <c r="T12">
        <f t="array" ref="T12">INDEX($C$28:$V$47,S12,S13)</f>
        <v>257</v>
      </c>
      <c r="V12" s="4">
        <v>10</v>
      </c>
      <c r="W12">
        <v>350</v>
      </c>
      <c r="X12" s="3">
        <v>13</v>
      </c>
      <c r="Y12">
        <v>48</v>
      </c>
      <c r="Z12" s="3">
        <v>13</v>
      </c>
      <c r="AA12">
        <v>48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9" x14ac:dyDescent="0.25">
      <c r="A13">
        <v>10</v>
      </c>
      <c r="B13" s="1" t="s">
        <v>9</v>
      </c>
      <c r="C13" t="s">
        <v>43</v>
      </c>
      <c r="D13" s="3">
        <v>10</v>
      </c>
      <c r="E13">
        <f t="array" ref="E13">INDEX($C$28:$V$47,D13,D14)</f>
        <v>350</v>
      </c>
      <c r="H13">
        <f t="shared" si="0"/>
        <v>2600.5</v>
      </c>
      <c r="I13" s="19" t="s">
        <v>51</v>
      </c>
      <c r="J13" s="19"/>
      <c r="K13" s="19"/>
      <c r="O13" s="3">
        <v>9</v>
      </c>
      <c r="P13">
        <v>189</v>
      </c>
      <c r="Q13" s="3">
        <v>9</v>
      </c>
      <c r="R13" s="7">
        <v>39</v>
      </c>
      <c r="S13" s="3">
        <v>16</v>
      </c>
      <c r="T13">
        <f t="array" ref="T13">INDEX($C$28:$V$47,S13,S14)</f>
        <v>38</v>
      </c>
      <c r="V13" s="4">
        <v>11</v>
      </c>
      <c r="W13">
        <v>255</v>
      </c>
      <c r="X13" s="3">
        <v>14</v>
      </c>
      <c r="Y13">
        <v>89</v>
      </c>
      <c r="Z13" s="3">
        <v>14</v>
      </c>
      <c r="AA13">
        <v>89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9" x14ac:dyDescent="0.25">
      <c r="A14">
        <v>11</v>
      </c>
      <c r="B14" s="1" t="s">
        <v>10</v>
      </c>
      <c r="C14" t="s">
        <v>44</v>
      </c>
      <c r="D14" s="3">
        <v>11</v>
      </c>
      <c r="E14">
        <f t="array" ref="E14">INDEX($C$28:$V$47,D14,D15)</f>
        <v>255</v>
      </c>
      <c r="H14">
        <f t="shared" si="0"/>
        <v>1894.6499999999999</v>
      </c>
      <c r="I14" s="10">
        <v>1</v>
      </c>
      <c r="J14" s="10">
        <v>2</v>
      </c>
      <c r="K14" s="10">
        <v>3</v>
      </c>
      <c r="O14" s="3">
        <v>10</v>
      </c>
      <c r="P14">
        <v>153</v>
      </c>
      <c r="Q14" s="3">
        <v>12</v>
      </c>
      <c r="R14" s="7">
        <v>153</v>
      </c>
      <c r="S14" s="3">
        <v>17</v>
      </c>
      <c r="T14">
        <f t="array" ref="T14">INDEX($C$28:$V$47,S14,S15)</f>
        <v>268</v>
      </c>
      <c r="V14" s="4">
        <v>12</v>
      </c>
      <c r="W14">
        <v>77</v>
      </c>
      <c r="X14" s="3">
        <v>5</v>
      </c>
      <c r="Y14">
        <v>97</v>
      </c>
      <c r="Z14" s="3">
        <v>5</v>
      </c>
      <c r="AA14">
        <v>97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9" x14ac:dyDescent="0.25">
      <c r="A15">
        <v>12</v>
      </c>
      <c r="B15" s="1" t="s">
        <v>11</v>
      </c>
      <c r="C15" t="s">
        <v>45</v>
      </c>
      <c r="D15" s="3">
        <v>12</v>
      </c>
      <c r="E15">
        <f t="array" ref="E15">INDEX($C$28:$V$47,D15,D16)</f>
        <v>77</v>
      </c>
      <c r="F15" s="9" t="s">
        <v>47</v>
      </c>
      <c r="H15">
        <f t="shared" si="0"/>
        <v>572.11</v>
      </c>
      <c r="I15" t="s">
        <v>52</v>
      </c>
      <c r="J15" t="s">
        <v>54</v>
      </c>
      <c r="K15" t="s">
        <v>58</v>
      </c>
      <c r="O15" s="3">
        <v>12</v>
      </c>
      <c r="P15">
        <v>77</v>
      </c>
      <c r="Q15" s="3">
        <v>10</v>
      </c>
      <c r="R15" s="7">
        <v>36</v>
      </c>
      <c r="S15" s="3">
        <v>18</v>
      </c>
      <c r="T15">
        <f t="array" ref="T15">INDEX($C$28:$V$47,S15,S16)</f>
        <v>97</v>
      </c>
      <c r="V15" s="4">
        <v>13</v>
      </c>
      <c r="W15">
        <v>48</v>
      </c>
      <c r="X15" s="3">
        <v>18</v>
      </c>
      <c r="Y15">
        <v>180</v>
      </c>
      <c r="Z15" s="3">
        <v>18</v>
      </c>
      <c r="AA15">
        <v>180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9" x14ac:dyDescent="0.25">
      <c r="A16">
        <v>13</v>
      </c>
      <c r="B16" s="1" t="s">
        <v>12</v>
      </c>
      <c r="C16" t="s">
        <v>40</v>
      </c>
      <c r="D16" s="3">
        <v>13</v>
      </c>
      <c r="E16">
        <f t="array" ref="E16">INDEX($C$28:$V$47,D16,D17)</f>
        <v>48</v>
      </c>
      <c r="H16">
        <f t="shared" si="0"/>
        <v>356.64</v>
      </c>
      <c r="I16" t="s">
        <v>53</v>
      </c>
      <c r="J16" t="s">
        <v>55</v>
      </c>
      <c r="K16" t="s">
        <v>59</v>
      </c>
      <c r="O16" s="3">
        <v>13</v>
      </c>
      <c r="P16">
        <v>180</v>
      </c>
      <c r="Q16" s="3">
        <v>2</v>
      </c>
      <c r="R16" s="7">
        <v>186</v>
      </c>
      <c r="S16" s="3">
        <v>5</v>
      </c>
      <c r="T16">
        <f t="array" ref="T16">INDEX($C$28:$V$47,S16,S17)</f>
        <v>89</v>
      </c>
      <c r="V16" s="4">
        <v>14</v>
      </c>
      <c r="W16">
        <v>101</v>
      </c>
      <c r="X16" s="3">
        <v>2</v>
      </c>
      <c r="Y16">
        <v>36</v>
      </c>
      <c r="Z16" s="3">
        <v>2</v>
      </c>
      <c r="AA16">
        <v>36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A17">
        <v>14</v>
      </c>
      <c r="B17" s="1" t="s">
        <v>13</v>
      </c>
      <c r="C17" t="s">
        <v>41</v>
      </c>
      <c r="D17" s="3">
        <v>14</v>
      </c>
      <c r="E17">
        <f t="array" ref="E17">INDEX($C$28:$V$47,D17,D18)</f>
        <v>101</v>
      </c>
      <c r="H17">
        <f t="shared" si="0"/>
        <v>750.43</v>
      </c>
      <c r="O17" s="3">
        <v>11</v>
      </c>
      <c r="P17">
        <v>147</v>
      </c>
      <c r="Q17" s="3">
        <v>4</v>
      </c>
      <c r="R17" s="7">
        <v>53</v>
      </c>
      <c r="S17" s="3">
        <v>14</v>
      </c>
      <c r="T17">
        <f t="array" ref="T17">INDEX($C$28:$V$47,S17,S18)</f>
        <v>48</v>
      </c>
      <c r="V17" s="4">
        <v>15</v>
      </c>
      <c r="W17">
        <v>406</v>
      </c>
      <c r="X17" s="3">
        <v>10</v>
      </c>
      <c r="Y17">
        <v>367</v>
      </c>
      <c r="Z17" s="3">
        <v>10</v>
      </c>
      <c r="AA17">
        <v>367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A18">
        <v>15</v>
      </c>
      <c r="B18" s="1" t="s">
        <v>14</v>
      </c>
      <c r="C18" t="s">
        <v>42</v>
      </c>
      <c r="D18" s="3">
        <v>15</v>
      </c>
      <c r="E18">
        <f t="array" ref="E18">INDEX($C$28:$V$47,D18,D19)</f>
        <v>406</v>
      </c>
      <c r="H18">
        <f t="shared" si="0"/>
        <v>3016.58</v>
      </c>
      <c r="O18" s="3">
        <v>14</v>
      </c>
      <c r="P18">
        <v>98</v>
      </c>
      <c r="Q18" s="3">
        <v>15</v>
      </c>
      <c r="R18" s="7">
        <v>32</v>
      </c>
      <c r="S18" s="3">
        <v>13</v>
      </c>
      <c r="T18">
        <f t="array" ref="T18">INDEX($C$28:$V$47,S18,S19)</f>
        <v>38</v>
      </c>
      <c r="V18" s="4">
        <v>16</v>
      </c>
      <c r="W18">
        <v>38</v>
      </c>
      <c r="X18" s="3">
        <v>17</v>
      </c>
      <c r="Y18">
        <v>38</v>
      </c>
      <c r="Z18" s="3">
        <v>17</v>
      </c>
      <c r="AA18">
        <v>38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A19">
        <v>16</v>
      </c>
      <c r="B19" s="1" t="s">
        <v>15</v>
      </c>
      <c r="C19" t="s">
        <v>43</v>
      </c>
      <c r="D19" s="3">
        <v>16</v>
      </c>
      <c r="E19">
        <f t="array" ref="E19">INDEX($C$28:$V$47,D19,D20)</f>
        <v>38</v>
      </c>
      <c r="H19">
        <f t="shared" si="0"/>
        <v>282.33999999999997</v>
      </c>
      <c r="O19" s="3">
        <v>18</v>
      </c>
      <c r="P19">
        <v>226</v>
      </c>
      <c r="Q19" s="3">
        <v>3</v>
      </c>
      <c r="R19" s="7">
        <v>142</v>
      </c>
      <c r="S19" s="3">
        <v>9</v>
      </c>
      <c r="T19">
        <f t="array" ref="T19">INDEX($C$28:$V$47,S19,S20)</f>
        <v>39</v>
      </c>
      <c r="V19" s="4">
        <v>17</v>
      </c>
      <c r="W19">
        <v>268</v>
      </c>
      <c r="X19" s="3">
        <v>16</v>
      </c>
      <c r="Y19">
        <v>257</v>
      </c>
      <c r="Z19" s="3">
        <v>16</v>
      </c>
      <c r="AA19">
        <v>257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x14ac:dyDescent="0.25">
      <c r="A20">
        <v>17</v>
      </c>
      <c r="B20" s="1" t="s">
        <v>16</v>
      </c>
      <c r="C20" t="s">
        <v>44</v>
      </c>
      <c r="D20" s="3">
        <v>17</v>
      </c>
      <c r="E20">
        <f t="array" ref="E20">INDEX($C$28:$V$47,D20,D21)</f>
        <v>268</v>
      </c>
      <c r="H20">
        <f t="shared" si="0"/>
        <v>1991.24</v>
      </c>
      <c r="O20" s="3">
        <v>16</v>
      </c>
      <c r="P20">
        <v>38</v>
      </c>
      <c r="Q20" s="3">
        <v>6</v>
      </c>
      <c r="R20" s="7">
        <v>198</v>
      </c>
      <c r="S20" s="3">
        <v>12</v>
      </c>
      <c r="T20">
        <f t="array" ref="T20">INDEX($C$28:$V$47,S20,S21)</f>
        <v>153</v>
      </c>
      <c r="V20" s="4">
        <v>18</v>
      </c>
      <c r="W20">
        <v>445</v>
      </c>
      <c r="X20" s="3">
        <v>7</v>
      </c>
      <c r="Y20">
        <v>135</v>
      </c>
      <c r="Z20" s="3">
        <v>7</v>
      </c>
      <c r="AA20">
        <v>135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x14ac:dyDescent="0.25">
      <c r="A21">
        <v>18</v>
      </c>
      <c r="B21" s="1" t="s">
        <v>17</v>
      </c>
      <c r="C21" t="s">
        <v>45</v>
      </c>
      <c r="D21" s="3">
        <v>18</v>
      </c>
      <c r="E21">
        <f t="array" ref="E21">INDEX($C$28:$V$47,D21,D22)</f>
        <v>445</v>
      </c>
      <c r="F21" s="9" t="s">
        <v>47</v>
      </c>
      <c r="H21">
        <f t="shared" si="0"/>
        <v>3306.35</v>
      </c>
      <c r="O21" s="3">
        <v>17</v>
      </c>
      <c r="P21">
        <v>440</v>
      </c>
      <c r="Q21" s="3">
        <v>20</v>
      </c>
      <c r="R21" s="7">
        <v>71</v>
      </c>
      <c r="S21" s="3">
        <v>10</v>
      </c>
      <c r="T21">
        <f t="array" ref="T21">INDEX($C$28:$V$47,S21,S22)</f>
        <v>36</v>
      </c>
      <c r="V21" s="4">
        <v>19</v>
      </c>
      <c r="W21">
        <v>71</v>
      </c>
      <c r="X21" s="3">
        <v>8</v>
      </c>
      <c r="Y21">
        <v>89</v>
      </c>
      <c r="Z21" s="3">
        <v>8</v>
      </c>
      <c r="AA21">
        <v>89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>
        <v>19</v>
      </c>
      <c r="B22" s="1" t="s">
        <v>18</v>
      </c>
      <c r="C22" t="s">
        <v>40</v>
      </c>
      <c r="D22" s="3">
        <v>19</v>
      </c>
      <c r="E22">
        <f t="array" ref="E22">INDEX($C$28:$V$47,D22,D23)</f>
        <v>71</v>
      </c>
      <c r="H22">
        <f t="shared" si="0"/>
        <v>527.53</v>
      </c>
      <c r="O22" s="3">
        <v>15</v>
      </c>
      <c r="Q22" s="3">
        <v>19</v>
      </c>
      <c r="R22" s="7"/>
      <c r="S22" s="3">
        <v>2</v>
      </c>
      <c r="V22" s="4">
        <v>20</v>
      </c>
      <c r="W22">
        <v>262</v>
      </c>
      <c r="X22" s="3">
        <v>11</v>
      </c>
      <c r="Y22">
        <v>50</v>
      </c>
      <c r="Z22" s="3">
        <v>11</v>
      </c>
      <c r="AA22">
        <v>50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A23">
        <v>20</v>
      </c>
      <c r="B23" s="1" t="s">
        <v>19</v>
      </c>
      <c r="C23" t="s">
        <v>41</v>
      </c>
      <c r="D23" s="3">
        <v>20</v>
      </c>
      <c r="O23" s="6"/>
      <c r="P23" s="6">
        <f>SUM(P3:P22)</f>
        <v>3905</v>
      </c>
      <c r="Q23" s="6"/>
      <c r="R23" s="6">
        <f>SUM(R3:R22)</f>
        <v>1840</v>
      </c>
      <c r="T23" s="6">
        <f>SUM(T3:T22)</f>
        <v>1926</v>
      </c>
      <c r="V23" s="4">
        <v>1</v>
      </c>
      <c r="W23" s="6">
        <f>SUM(W3:W22)</f>
        <v>4463</v>
      </c>
      <c r="X23" s="3">
        <v>1</v>
      </c>
      <c r="Y23" s="6">
        <f>SUM(Y3:Y22)</f>
        <v>2219</v>
      </c>
      <c r="Z23" s="3">
        <v>1</v>
      </c>
      <c r="AA23" s="6">
        <f>SUM(AA3:AA22)</f>
        <v>2219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</row>
    <row r="26" spans="1:91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</row>
    <row r="27" spans="1:91" x14ac:dyDescent="0.25"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15</v>
      </c>
      <c r="S27" s="1" t="s">
        <v>16</v>
      </c>
      <c r="T27" s="1" t="s">
        <v>17</v>
      </c>
      <c r="U27" s="1" t="s">
        <v>18</v>
      </c>
      <c r="V27" s="1" t="s">
        <v>19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91" x14ac:dyDescent="0.25">
      <c r="B28" s="1" t="s">
        <v>0</v>
      </c>
      <c r="C28" s="2">
        <v>0</v>
      </c>
      <c r="D28" s="2">
        <v>324</v>
      </c>
      <c r="E28" s="2">
        <v>91</v>
      </c>
      <c r="F28" s="2">
        <v>93</v>
      </c>
      <c r="G28" s="2">
        <v>80</v>
      </c>
      <c r="H28" s="2">
        <v>230</v>
      </c>
      <c r="I28" s="2">
        <v>214</v>
      </c>
      <c r="J28" s="2">
        <v>136</v>
      </c>
      <c r="K28" s="2">
        <v>177</v>
      </c>
      <c r="L28" s="2">
        <v>360</v>
      </c>
      <c r="M28" s="2">
        <v>50</v>
      </c>
      <c r="N28" s="2">
        <v>216</v>
      </c>
      <c r="O28" s="2">
        <v>174</v>
      </c>
      <c r="P28" s="2">
        <v>148</v>
      </c>
      <c r="Q28" s="2">
        <v>100</v>
      </c>
      <c r="R28" s="2">
        <v>375</v>
      </c>
      <c r="S28" s="2">
        <v>409</v>
      </c>
      <c r="T28" s="2">
        <v>218</v>
      </c>
      <c r="U28" s="2">
        <v>333</v>
      </c>
      <c r="V28" s="2">
        <v>262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91" x14ac:dyDescent="0.25">
      <c r="B29" s="1" t="s">
        <v>1</v>
      </c>
      <c r="C29" s="2">
        <v>324</v>
      </c>
      <c r="D29" s="2">
        <v>0</v>
      </c>
      <c r="E29" s="2">
        <v>263</v>
      </c>
      <c r="F29" s="2">
        <v>186</v>
      </c>
      <c r="G29" s="2">
        <v>266</v>
      </c>
      <c r="H29" s="2">
        <v>403</v>
      </c>
      <c r="I29" s="2">
        <v>427</v>
      </c>
      <c r="J29" s="2">
        <v>413</v>
      </c>
      <c r="K29" s="2">
        <v>214</v>
      </c>
      <c r="L29" s="2">
        <v>36</v>
      </c>
      <c r="M29" s="2">
        <v>314</v>
      </c>
      <c r="N29" s="2">
        <v>178</v>
      </c>
      <c r="O29" s="2">
        <v>196</v>
      </c>
      <c r="P29" s="2">
        <v>177</v>
      </c>
      <c r="Q29" s="2">
        <v>265</v>
      </c>
      <c r="R29" s="2">
        <v>336</v>
      </c>
      <c r="S29" s="2">
        <v>342</v>
      </c>
      <c r="T29" s="2">
        <v>180</v>
      </c>
      <c r="U29" s="2">
        <v>312</v>
      </c>
      <c r="V29" s="2">
        <v>239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91" x14ac:dyDescent="0.25">
      <c r="B30" s="1" t="s">
        <v>2</v>
      </c>
      <c r="C30" s="2">
        <v>91</v>
      </c>
      <c r="D30" s="2">
        <v>263</v>
      </c>
      <c r="E30" s="2">
        <v>0</v>
      </c>
      <c r="F30" s="2">
        <v>45</v>
      </c>
      <c r="G30" s="2">
        <v>150</v>
      </c>
      <c r="H30" s="2">
        <v>142</v>
      </c>
      <c r="I30" s="2">
        <v>305</v>
      </c>
      <c r="J30" s="2">
        <v>227</v>
      </c>
      <c r="K30" s="2">
        <v>86</v>
      </c>
      <c r="L30" s="2">
        <v>274</v>
      </c>
      <c r="M30" s="2">
        <v>139</v>
      </c>
      <c r="N30" s="2">
        <v>125</v>
      </c>
      <c r="O30" s="2">
        <v>69</v>
      </c>
      <c r="P30" s="2">
        <v>115</v>
      </c>
      <c r="Q30" s="2">
        <v>32</v>
      </c>
      <c r="R30" s="2">
        <v>437</v>
      </c>
      <c r="S30" s="2">
        <v>472</v>
      </c>
      <c r="T30" s="2">
        <v>203</v>
      </c>
      <c r="U30" s="2">
        <v>244</v>
      </c>
      <c r="V30" s="2">
        <v>174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91" x14ac:dyDescent="0.25">
      <c r="B31" s="1" t="s">
        <v>3</v>
      </c>
      <c r="C31" s="2">
        <v>93</v>
      </c>
      <c r="D31" s="2">
        <v>186</v>
      </c>
      <c r="E31" s="2">
        <v>45</v>
      </c>
      <c r="F31" s="2">
        <v>0</v>
      </c>
      <c r="G31" s="2">
        <v>172</v>
      </c>
      <c r="H31" s="2">
        <v>159</v>
      </c>
      <c r="I31" s="2">
        <v>307</v>
      </c>
      <c r="J31" s="2">
        <v>208</v>
      </c>
      <c r="K31" s="2">
        <v>130</v>
      </c>
      <c r="L31" s="2">
        <v>319</v>
      </c>
      <c r="M31" s="2">
        <v>141</v>
      </c>
      <c r="N31" s="2">
        <v>196</v>
      </c>
      <c r="O31" s="2">
        <v>114</v>
      </c>
      <c r="P31" s="2">
        <v>154</v>
      </c>
      <c r="Q31" s="2">
        <v>53</v>
      </c>
      <c r="R31" s="2">
        <v>460</v>
      </c>
      <c r="S31" s="2">
        <v>494</v>
      </c>
      <c r="T31" s="2">
        <v>225</v>
      </c>
      <c r="U31" s="2">
        <v>261</v>
      </c>
      <c r="V31" s="2">
        <v>191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1:91" x14ac:dyDescent="0.25">
      <c r="B32" s="1" t="s">
        <v>4</v>
      </c>
      <c r="C32" s="2">
        <v>80</v>
      </c>
      <c r="D32" s="2">
        <v>266</v>
      </c>
      <c r="E32" s="2">
        <v>150</v>
      </c>
      <c r="F32" s="2">
        <v>172</v>
      </c>
      <c r="G32" s="2">
        <v>0</v>
      </c>
      <c r="H32" s="2">
        <v>288</v>
      </c>
      <c r="I32" s="2">
        <v>173</v>
      </c>
      <c r="J32" s="2">
        <v>150</v>
      </c>
      <c r="K32" s="2">
        <v>157</v>
      </c>
      <c r="L32" s="2">
        <v>301</v>
      </c>
      <c r="M32" s="2">
        <v>61</v>
      </c>
      <c r="N32" s="2">
        <v>197</v>
      </c>
      <c r="O32" s="2">
        <v>122</v>
      </c>
      <c r="P32" s="2">
        <v>89</v>
      </c>
      <c r="Q32" s="2">
        <v>118</v>
      </c>
      <c r="R32" s="2">
        <v>322</v>
      </c>
      <c r="S32" s="2">
        <v>356</v>
      </c>
      <c r="T32" s="2">
        <v>97</v>
      </c>
      <c r="U32" s="2">
        <v>391</v>
      </c>
      <c r="V32" s="2">
        <v>320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2:87" x14ac:dyDescent="0.25">
      <c r="B33" s="1" t="s">
        <v>5</v>
      </c>
      <c r="C33" s="2">
        <v>230</v>
      </c>
      <c r="D33" s="2">
        <v>403</v>
      </c>
      <c r="E33" s="2">
        <v>142</v>
      </c>
      <c r="F33" s="2">
        <v>159</v>
      </c>
      <c r="G33" s="2">
        <v>288</v>
      </c>
      <c r="H33" s="2">
        <v>0</v>
      </c>
      <c r="I33" s="2">
        <v>421</v>
      </c>
      <c r="J33" s="2">
        <v>287</v>
      </c>
      <c r="K33" s="2">
        <v>225</v>
      </c>
      <c r="L33" s="2">
        <v>355</v>
      </c>
      <c r="M33" s="2">
        <v>279</v>
      </c>
      <c r="N33" s="2">
        <v>203</v>
      </c>
      <c r="O33" s="2">
        <v>209</v>
      </c>
      <c r="P33" s="2">
        <v>255</v>
      </c>
      <c r="Q33" s="2">
        <v>171</v>
      </c>
      <c r="R33" s="2">
        <v>577</v>
      </c>
      <c r="S33" s="2">
        <v>611</v>
      </c>
      <c r="T33" s="2">
        <v>343</v>
      </c>
      <c r="U33" s="2">
        <v>254</v>
      </c>
      <c r="V33" s="2">
        <v>198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2:87" x14ac:dyDescent="0.25">
      <c r="B34" s="1" t="s">
        <v>6</v>
      </c>
      <c r="C34" s="2">
        <v>214</v>
      </c>
      <c r="D34" s="2">
        <v>427</v>
      </c>
      <c r="E34" s="2">
        <v>305</v>
      </c>
      <c r="F34" s="2">
        <v>307</v>
      </c>
      <c r="G34" s="2">
        <v>173</v>
      </c>
      <c r="H34" s="2">
        <v>421</v>
      </c>
      <c r="I34" s="2">
        <v>0</v>
      </c>
      <c r="J34" s="2">
        <v>135</v>
      </c>
      <c r="K34" s="2">
        <v>328</v>
      </c>
      <c r="L34" s="2">
        <v>472</v>
      </c>
      <c r="M34" s="2">
        <v>166</v>
      </c>
      <c r="N34" s="2">
        <v>367</v>
      </c>
      <c r="O34" s="2">
        <v>292</v>
      </c>
      <c r="P34" s="2">
        <v>260</v>
      </c>
      <c r="Q34" s="2">
        <v>288</v>
      </c>
      <c r="R34" s="2">
        <v>257</v>
      </c>
      <c r="S34" s="2">
        <v>305</v>
      </c>
      <c r="T34" s="2">
        <v>281</v>
      </c>
      <c r="U34" s="2">
        <v>547</v>
      </c>
      <c r="V34" s="2">
        <v>476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2:87" x14ac:dyDescent="0.25">
      <c r="B35" s="1" t="s">
        <v>7</v>
      </c>
      <c r="C35" s="2">
        <v>136</v>
      </c>
      <c r="D35" s="2">
        <v>413</v>
      </c>
      <c r="E35" s="2">
        <v>227</v>
      </c>
      <c r="F35" s="2">
        <v>208</v>
      </c>
      <c r="G35" s="2">
        <v>150</v>
      </c>
      <c r="H35" s="2">
        <v>287</v>
      </c>
      <c r="I35" s="2">
        <v>135</v>
      </c>
      <c r="J35" s="2">
        <v>0</v>
      </c>
      <c r="K35" s="2">
        <v>305</v>
      </c>
      <c r="L35" s="2">
        <v>449</v>
      </c>
      <c r="M35" s="2">
        <v>89</v>
      </c>
      <c r="N35" s="2">
        <v>344</v>
      </c>
      <c r="O35" s="2">
        <v>269</v>
      </c>
      <c r="P35" s="2">
        <v>237</v>
      </c>
      <c r="Q35" s="2">
        <v>265</v>
      </c>
      <c r="R35" s="2">
        <v>362</v>
      </c>
      <c r="S35" s="2">
        <v>396</v>
      </c>
      <c r="T35" s="2">
        <v>270</v>
      </c>
      <c r="U35" s="2">
        <v>469</v>
      </c>
      <c r="V35" s="2">
        <v>399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2:87" x14ac:dyDescent="0.25">
      <c r="B36" s="1" t="s">
        <v>8</v>
      </c>
      <c r="C36" s="2">
        <v>177</v>
      </c>
      <c r="D36" s="2">
        <v>214</v>
      </c>
      <c r="E36" s="2">
        <v>86</v>
      </c>
      <c r="F36" s="2">
        <v>130</v>
      </c>
      <c r="G36" s="2">
        <v>157</v>
      </c>
      <c r="H36" s="2">
        <v>225</v>
      </c>
      <c r="I36" s="2">
        <v>328</v>
      </c>
      <c r="J36" s="2">
        <v>305</v>
      </c>
      <c r="K36" s="2">
        <v>0</v>
      </c>
      <c r="L36" s="2">
        <v>189</v>
      </c>
      <c r="M36" s="2">
        <v>215</v>
      </c>
      <c r="N36" s="2">
        <v>39</v>
      </c>
      <c r="O36" s="2">
        <v>38</v>
      </c>
      <c r="P36" s="2">
        <v>84</v>
      </c>
      <c r="Q36" s="2">
        <v>107</v>
      </c>
      <c r="R36" s="2">
        <v>447</v>
      </c>
      <c r="S36" s="2">
        <v>452</v>
      </c>
      <c r="T36" s="2">
        <v>211</v>
      </c>
      <c r="U36" s="2">
        <v>221</v>
      </c>
      <c r="V36" s="2">
        <v>150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2:87" x14ac:dyDescent="0.25">
      <c r="B37" s="1" t="s">
        <v>9</v>
      </c>
      <c r="C37" s="2">
        <v>360</v>
      </c>
      <c r="D37" s="2">
        <v>36</v>
      </c>
      <c r="E37" s="2">
        <v>274</v>
      </c>
      <c r="F37" s="2">
        <v>319</v>
      </c>
      <c r="G37" s="2">
        <v>301</v>
      </c>
      <c r="H37" s="2">
        <v>355</v>
      </c>
      <c r="I37" s="2">
        <v>472</v>
      </c>
      <c r="J37" s="2">
        <v>449</v>
      </c>
      <c r="K37" s="2">
        <v>189</v>
      </c>
      <c r="L37" s="2">
        <v>0</v>
      </c>
      <c r="M37" s="2">
        <v>350</v>
      </c>
      <c r="N37" s="2">
        <v>153</v>
      </c>
      <c r="O37" s="2">
        <v>232</v>
      </c>
      <c r="P37" s="2">
        <v>213</v>
      </c>
      <c r="Q37" s="2">
        <v>302</v>
      </c>
      <c r="R37" s="2">
        <v>361</v>
      </c>
      <c r="S37" s="2">
        <v>367</v>
      </c>
      <c r="T37" s="2">
        <v>216</v>
      </c>
      <c r="U37" s="2">
        <v>286</v>
      </c>
      <c r="V37" s="2">
        <v>223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</row>
    <row r="38" spans="2:87" x14ac:dyDescent="0.25">
      <c r="B38" s="1" t="s">
        <v>10</v>
      </c>
      <c r="C38" s="2">
        <v>50</v>
      </c>
      <c r="D38" s="2">
        <v>314</v>
      </c>
      <c r="E38" s="2">
        <v>139</v>
      </c>
      <c r="F38" s="2">
        <v>141</v>
      </c>
      <c r="G38" s="2">
        <v>61</v>
      </c>
      <c r="H38" s="2">
        <v>279</v>
      </c>
      <c r="I38" s="2">
        <v>166</v>
      </c>
      <c r="J38" s="2">
        <v>89</v>
      </c>
      <c r="K38" s="2">
        <v>215</v>
      </c>
      <c r="L38" s="2">
        <v>350</v>
      </c>
      <c r="M38" s="2">
        <v>0</v>
      </c>
      <c r="N38" s="2">
        <v>255</v>
      </c>
      <c r="O38" s="2">
        <v>180</v>
      </c>
      <c r="P38" s="2">
        <v>147</v>
      </c>
      <c r="Q38" s="2">
        <v>176</v>
      </c>
      <c r="R38" s="2">
        <v>327</v>
      </c>
      <c r="S38" s="2">
        <v>362</v>
      </c>
      <c r="T38" s="2">
        <v>135</v>
      </c>
      <c r="U38" s="2">
        <v>381</v>
      </c>
      <c r="V38" s="2">
        <v>310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</row>
    <row r="39" spans="2:87" x14ac:dyDescent="0.25">
      <c r="B39" s="1" t="s">
        <v>11</v>
      </c>
      <c r="C39" s="2">
        <v>216</v>
      </c>
      <c r="D39" s="2">
        <v>178</v>
      </c>
      <c r="E39" s="2">
        <v>125</v>
      </c>
      <c r="F39" s="2">
        <v>196</v>
      </c>
      <c r="G39" s="2">
        <v>197</v>
      </c>
      <c r="H39" s="2">
        <v>203</v>
      </c>
      <c r="I39" s="2">
        <v>367</v>
      </c>
      <c r="J39" s="2">
        <v>344</v>
      </c>
      <c r="K39" s="2">
        <v>39</v>
      </c>
      <c r="L39" s="2">
        <v>153</v>
      </c>
      <c r="M39" s="2">
        <v>255</v>
      </c>
      <c r="N39" s="2">
        <v>0</v>
      </c>
      <c r="O39" s="2">
        <v>77</v>
      </c>
      <c r="P39" s="2">
        <v>123</v>
      </c>
      <c r="Q39" s="2">
        <v>146</v>
      </c>
      <c r="R39" s="2">
        <v>452</v>
      </c>
      <c r="S39" s="2">
        <v>458</v>
      </c>
      <c r="T39" s="2">
        <v>247</v>
      </c>
      <c r="U39" s="2">
        <v>182</v>
      </c>
      <c r="V39" s="2">
        <v>111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2:87" x14ac:dyDescent="0.25">
      <c r="B40" s="1" t="s">
        <v>12</v>
      </c>
      <c r="C40" s="2">
        <v>174</v>
      </c>
      <c r="D40" s="2">
        <v>196</v>
      </c>
      <c r="E40" s="2">
        <v>69</v>
      </c>
      <c r="F40" s="2">
        <v>114</v>
      </c>
      <c r="G40" s="2">
        <v>122</v>
      </c>
      <c r="H40" s="2">
        <v>209</v>
      </c>
      <c r="I40" s="2">
        <v>292</v>
      </c>
      <c r="J40" s="2">
        <v>269</v>
      </c>
      <c r="K40" s="2">
        <v>38</v>
      </c>
      <c r="L40" s="2">
        <v>232</v>
      </c>
      <c r="M40" s="2">
        <v>180</v>
      </c>
      <c r="N40" s="2">
        <v>77</v>
      </c>
      <c r="O40" s="2">
        <v>0</v>
      </c>
      <c r="P40" s="2">
        <v>48</v>
      </c>
      <c r="Q40" s="2">
        <v>72</v>
      </c>
      <c r="R40" s="2">
        <v>412</v>
      </c>
      <c r="S40" s="2">
        <v>417</v>
      </c>
      <c r="T40" s="2">
        <v>176</v>
      </c>
      <c r="U40" s="2">
        <v>311</v>
      </c>
      <c r="V40" s="2">
        <v>240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</row>
    <row r="41" spans="2:87" x14ac:dyDescent="0.25">
      <c r="B41" s="1" t="s">
        <v>13</v>
      </c>
      <c r="C41" s="2">
        <v>148</v>
      </c>
      <c r="D41" s="2">
        <v>177</v>
      </c>
      <c r="E41" s="2">
        <v>115</v>
      </c>
      <c r="F41" s="2">
        <v>154</v>
      </c>
      <c r="G41" s="2">
        <v>89</v>
      </c>
      <c r="H41" s="2">
        <v>255</v>
      </c>
      <c r="I41" s="2">
        <v>260</v>
      </c>
      <c r="J41" s="2">
        <v>237</v>
      </c>
      <c r="K41" s="2">
        <v>84</v>
      </c>
      <c r="L41" s="2">
        <v>213</v>
      </c>
      <c r="M41" s="2">
        <v>147</v>
      </c>
      <c r="N41" s="2">
        <v>123</v>
      </c>
      <c r="O41" s="2">
        <v>48</v>
      </c>
      <c r="P41" s="2">
        <v>0</v>
      </c>
      <c r="Q41" s="2">
        <v>101</v>
      </c>
      <c r="R41" s="2">
        <v>363</v>
      </c>
      <c r="S41" s="2">
        <v>369</v>
      </c>
      <c r="T41" s="2">
        <v>98</v>
      </c>
      <c r="U41" s="2">
        <v>305</v>
      </c>
      <c r="V41" s="2">
        <v>234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</row>
    <row r="42" spans="2:87" x14ac:dyDescent="0.25">
      <c r="B42" s="1" t="s">
        <v>14</v>
      </c>
      <c r="C42" s="2">
        <v>100</v>
      </c>
      <c r="D42" s="2">
        <v>265</v>
      </c>
      <c r="E42" s="2">
        <v>32</v>
      </c>
      <c r="F42" s="2">
        <v>53</v>
      </c>
      <c r="G42" s="2">
        <v>118</v>
      </c>
      <c r="H42" s="2">
        <v>171</v>
      </c>
      <c r="I42" s="2">
        <v>288</v>
      </c>
      <c r="J42" s="2">
        <v>265</v>
      </c>
      <c r="K42" s="2">
        <v>107</v>
      </c>
      <c r="L42" s="2">
        <v>302</v>
      </c>
      <c r="M42" s="2">
        <v>176</v>
      </c>
      <c r="N42" s="2">
        <v>146</v>
      </c>
      <c r="O42" s="2">
        <v>72</v>
      </c>
      <c r="P42" s="2">
        <v>101</v>
      </c>
      <c r="Q42" s="2">
        <v>0</v>
      </c>
      <c r="R42" s="2">
        <v>406</v>
      </c>
      <c r="S42" s="2">
        <v>440</v>
      </c>
      <c r="T42" s="2">
        <v>171</v>
      </c>
      <c r="U42" s="2">
        <v>273</v>
      </c>
      <c r="V42" s="2">
        <v>202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</row>
    <row r="43" spans="2:87" x14ac:dyDescent="0.25">
      <c r="B43" s="1" t="s">
        <v>15</v>
      </c>
      <c r="C43" s="2">
        <v>375</v>
      </c>
      <c r="D43" s="2">
        <v>336</v>
      </c>
      <c r="E43" s="2">
        <v>437</v>
      </c>
      <c r="F43" s="2">
        <v>460</v>
      </c>
      <c r="G43" s="2">
        <v>322</v>
      </c>
      <c r="H43" s="2">
        <v>577</v>
      </c>
      <c r="I43" s="2">
        <v>257</v>
      </c>
      <c r="J43" s="2">
        <v>362</v>
      </c>
      <c r="K43" s="2">
        <v>447</v>
      </c>
      <c r="L43" s="2">
        <v>361</v>
      </c>
      <c r="M43" s="2">
        <v>327</v>
      </c>
      <c r="N43" s="2">
        <v>452</v>
      </c>
      <c r="O43" s="2">
        <v>412</v>
      </c>
      <c r="P43" s="2">
        <v>363</v>
      </c>
      <c r="Q43" s="2">
        <v>406</v>
      </c>
      <c r="R43" s="2">
        <v>0</v>
      </c>
      <c r="S43" s="2">
        <v>38</v>
      </c>
      <c r="T43" s="2">
        <v>226</v>
      </c>
      <c r="U43" s="2">
        <v>663</v>
      </c>
      <c r="V43" s="2">
        <v>590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</row>
    <row r="44" spans="2:87" x14ac:dyDescent="0.25">
      <c r="B44" s="1" t="s">
        <v>16</v>
      </c>
      <c r="C44" s="2">
        <v>409</v>
      </c>
      <c r="D44" s="2">
        <v>342</v>
      </c>
      <c r="E44" s="2">
        <v>472</v>
      </c>
      <c r="F44" s="2">
        <v>494</v>
      </c>
      <c r="G44" s="2">
        <v>356</v>
      </c>
      <c r="H44" s="2">
        <v>611</v>
      </c>
      <c r="I44" s="2">
        <v>305</v>
      </c>
      <c r="J44" s="2">
        <v>396</v>
      </c>
      <c r="K44" s="2">
        <v>452</v>
      </c>
      <c r="L44" s="2">
        <v>367</v>
      </c>
      <c r="M44" s="2">
        <v>362</v>
      </c>
      <c r="N44" s="2">
        <v>458</v>
      </c>
      <c r="O44" s="2">
        <v>417</v>
      </c>
      <c r="P44" s="2">
        <v>369</v>
      </c>
      <c r="Q44" s="2">
        <v>440</v>
      </c>
      <c r="R44" s="2">
        <v>38</v>
      </c>
      <c r="S44" s="2">
        <v>0</v>
      </c>
      <c r="T44" s="2">
        <v>268</v>
      </c>
      <c r="U44" s="2">
        <v>668</v>
      </c>
      <c r="V44" s="2">
        <v>595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</row>
    <row r="45" spans="2:87" x14ac:dyDescent="0.25">
      <c r="B45" s="1" t="s">
        <v>17</v>
      </c>
      <c r="C45" s="2">
        <v>218</v>
      </c>
      <c r="D45" s="2">
        <v>180</v>
      </c>
      <c r="E45" s="2">
        <v>203</v>
      </c>
      <c r="F45" s="2">
        <v>225</v>
      </c>
      <c r="G45" s="2">
        <v>97</v>
      </c>
      <c r="H45" s="2">
        <v>343</v>
      </c>
      <c r="I45" s="2">
        <v>281</v>
      </c>
      <c r="J45" s="2">
        <v>270</v>
      </c>
      <c r="K45" s="2">
        <v>211</v>
      </c>
      <c r="L45" s="2">
        <v>216</v>
      </c>
      <c r="M45" s="2">
        <v>135</v>
      </c>
      <c r="N45" s="2">
        <v>247</v>
      </c>
      <c r="O45" s="2">
        <v>176</v>
      </c>
      <c r="P45" s="2">
        <v>98</v>
      </c>
      <c r="Q45" s="2">
        <v>171</v>
      </c>
      <c r="R45" s="2">
        <v>226</v>
      </c>
      <c r="S45" s="2">
        <v>268</v>
      </c>
      <c r="T45" s="2">
        <v>0</v>
      </c>
      <c r="U45" s="2">
        <v>445</v>
      </c>
      <c r="V45" s="2">
        <v>374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2:87" x14ac:dyDescent="0.25">
      <c r="B46" s="1" t="s">
        <v>18</v>
      </c>
      <c r="C46" s="2">
        <v>333</v>
      </c>
      <c r="D46" s="2">
        <v>312</v>
      </c>
      <c r="E46" s="2">
        <v>244</v>
      </c>
      <c r="F46" s="2">
        <v>261</v>
      </c>
      <c r="G46" s="2">
        <v>391</v>
      </c>
      <c r="H46" s="2">
        <v>254</v>
      </c>
      <c r="I46" s="2">
        <v>547</v>
      </c>
      <c r="J46" s="2">
        <v>469</v>
      </c>
      <c r="K46" s="2">
        <v>221</v>
      </c>
      <c r="L46" s="2">
        <v>286</v>
      </c>
      <c r="M46" s="2">
        <v>381</v>
      </c>
      <c r="N46" s="2">
        <v>182</v>
      </c>
      <c r="O46" s="2">
        <v>311</v>
      </c>
      <c r="P46" s="2">
        <v>305</v>
      </c>
      <c r="Q46" s="2">
        <v>273</v>
      </c>
      <c r="R46" s="2">
        <v>663</v>
      </c>
      <c r="S46" s="2">
        <v>668</v>
      </c>
      <c r="T46" s="2">
        <v>445</v>
      </c>
      <c r="U46" s="2">
        <v>0</v>
      </c>
      <c r="V46" s="2">
        <v>71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2:87" x14ac:dyDescent="0.25">
      <c r="B47" s="1" t="s">
        <v>19</v>
      </c>
      <c r="C47" s="2">
        <v>262</v>
      </c>
      <c r="D47" s="2">
        <v>239</v>
      </c>
      <c r="E47" s="2">
        <v>174</v>
      </c>
      <c r="F47" s="2">
        <v>191</v>
      </c>
      <c r="G47" s="2">
        <v>320</v>
      </c>
      <c r="H47" s="2">
        <v>198</v>
      </c>
      <c r="I47" s="2">
        <v>476</v>
      </c>
      <c r="J47" s="2">
        <v>399</v>
      </c>
      <c r="K47" s="2">
        <v>150</v>
      </c>
      <c r="L47" s="2">
        <v>223</v>
      </c>
      <c r="M47" s="2">
        <v>310</v>
      </c>
      <c r="N47" s="2">
        <v>111</v>
      </c>
      <c r="O47" s="2">
        <v>240</v>
      </c>
      <c r="P47" s="2">
        <v>234</v>
      </c>
      <c r="Q47" s="2">
        <v>202</v>
      </c>
      <c r="R47" s="2">
        <v>590</v>
      </c>
      <c r="S47" s="2">
        <v>595</v>
      </c>
      <c r="T47" s="2">
        <v>374</v>
      </c>
      <c r="U47" s="2">
        <v>71</v>
      </c>
      <c r="V47" s="2">
        <v>0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2:87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2:87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</row>
    <row r="50" spans="2:87" x14ac:dyDescent="0.2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</row>
    <row r="51" spans="2:87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</row>
    <row r="52" spans="2:87" x14ac:dyDescent="0.2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</row>
    <row r="53" spans="2:87" x14ac:dyDescent="0.25">
      <c r="B53" s="1"/>
      <c r="C53" s="1" t="s">
        <v>0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7</v>
      </c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  <c r="P53" s="1" t="s">
        <v>13</v>
      </c>
      <c r="Q53" s="1" t="s">
        <v>14</v>
      </c>
      <c r="R53" s="1" t="s">
        <v>15</v>
      </c>
      <c r="S53" s="1" t="s">
        <v>16</v>
      </c>
      <c r="T53" s="1" t="s">
        <v>17</v>
      </c>
      <c r="U53" s="1" t="s">
        <v>18</v>
      </c>
      <c r="V53" s="1" t="s">
        <v>19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</row>
    <row r="54" spans="2:87" x14ac:dyDescent="0.25">
      <c r="B54" t="s">
        <v>40</v>
      </c>
      <c r="C54" s="2">
        <v>80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</row>
    <row r="55" spans="2:87" x14ac:dyDescent="0.25">
      <c r="B55" t="s">
        <v>41</v>
      </c>
      <c r="C55" s="2">
        <v>190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</row>
    <row r="56" spans="2:87" x14ac:dyDescent="0.25">
      <c r="B56" t="s">
        <v>42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</row>
    <row r="57" spans="2:87" x14ac:dyDescent="0.25">
      <c r="B57" t="s">
        <v>43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</row>
    <row r="58" spans="2:87" x14ac:dyDescent="0.25">
      <c r="B58" t="s">
        <v>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</row>
    <row r="59" spans="2:87" x14ac:dyDescent="0.25">
      <c r="B59" t="s">
        <v>45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</row>
    <row r="60" spans="2:87" x14ac:dyDescent="0.25">
      <c r="B60" s="1" t="s">
        <v>46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</row>
    <row r="61" spans="2:87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</row>
    <row r="62" spans="2:87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</row>
    <row r="63" spans="2:87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</row>
    <row r="64" spans="2:87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</row>
    <row r="65" spans="2:87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</row>
    <row r="66" spans="2:87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</row>
    <row r="67" spans="2:87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</row>
    <row r="68" spans="2:87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</row>
    <row r="69" spans="2:87" x14ac:dyDescent="0.2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</row>
    <row r="70" spans="2:87" x14ac:dyDescent="0.2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</row>
    <row r="71" spans="2:87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</row>
    <row r="72" spans="2:87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</row>
    <row r="73" spans="2:87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</row>
    <row r="74" spans="2:87" x14ac:dyDescent="0.2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</row>
    <row r="75" spans="2:87" x14ac:dyDescent="0.2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</row>
    <row r="76" spans="2:87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</row>
    <row r="77" spans="2:87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</row>
    <row r="78" spans="2:87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</row>
    <row r="79" spans="2:87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</row>
    <row r="80" spans="2:87" x14ac:dyDescent="0.2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</row>
    <row r="81" spans="2:87" x14ac:dyDescent="0.2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</row>
    <row r="82" spans="2:87" x14ac:dyDescent="0.2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</row>
    <row r="83" spans="2:87" x14ac:dyDescent="0.2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</row>
    <row r="84" spans="2:87" x14ac:dyDescent="0.2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</row>
    <row r="85" spans="2:87" x14ac:dyDescent="0.2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</row>
    <row r="86" spans="2:87" x14ac:dyDescent="0.2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</row>
    <row r="87" spans="2:87" x14ac:dyDescent="0.2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</row>
    <row r="88" spans="2:87" x14ac:dyDescent="0.2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</row>
    <row r="89" spans="2:87" x14ac:dyDescent="0.2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</row>
  </sheetData>
  <mergeCells count="8">
    <mergeCell ref="H2:H3"/>
    <mergeCell ref="I13:K13"/>
    <mergeCell ref="A2:A3"/>
    <mergeCell ref="B2:B3"/>
    <mergeCell ref="D2:D3"/>
    <mergeCell ref="E2:E3"/>
    <mergeCell ref="F2:F3"/>
    <mergeCell ref="G2:G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EB58-27D5-4254-BB34-E88CA0F32C16}">
  <dimension ref="A1:U46"/>
  <sheetViews>
    <sheetView workbookViewId="0">
      <selection activeCell="A2" sqref="A2:A3"/>
    </sheetView>
  </sheetViews>
  <sheetFormatPr defaultRowHeight="15" x14ac:dyDescent="0.25"/>
  <cols>
    <col min="2" max="4" width="16.28515625" bestFit="1" customWidth="1"/>
    <col min="5" max="5" width="18.85546875" bestFit="1" customWidth="1"/>
    <col min="14" max="14" width="13.28515625" customWidth="1"/>
  </cols>
  <sheetData>
    <row r="1" spans="1:21" x14ac:dyDescent="0.25">
      <c r="E1" s="19" t="s">
        <v>63</v>
      </c>
      <c r="F1" s="19"/>
      <c r="G1" s="19"/>
      <c r="H1" s="19"/>
      <c r="I1" s="19"/>
      <c r="J1" s="19"/>
      <c r="K1" s="19"/>
      <c r="M1" s="19" t="s">
        <v>65</v>
      </c>
      <c r="N1" s="19"/>
      <c r="O1" s="19"/>
      <c r="P1" s="19"/>
      <c r="R1" s="19" t="s">
        <v>67</v>
      </c>
      <c r="S1" s="19"/>
      <c r="T1" s="19"/>
      <c r="U1" s="19"/>
    </row>
    <row r="2" spans="1:21" x14ac:dyDescent="0.25">
      <c r="A2" s="20" t="s">
        <v>21</v>
      </c>
      <c r="B2" s="20" t="s">
        <v>22</v>
      </c>
      <c r="D2" s="20" t="s">
        <v>23</v>
      </c>
      <c r="E2" s="21" t="s">
        <v>24</v>
      </c>
      <c r="N2" s="18" t="s">
        <v>66</v>
      </c>
    </row>
    <row r="3" spans="1:21" x14ac:dyDescent="0.25">
      <c r="A3" s="20"/>
      <c r="B3" s="20"/>
      <c r="C3" t="s">
        <v>39</v>
      </c>
      <c r="D3" s="20"/>
      <c r="E3" s="21"/>
      <c r="F3" t="s">
        <v>27</v>
      </c>
      <c r="H3" t="s">
        <v>28</v>
      </c>
      <c r="J3" t="s">
        <v>29</v>
      </c>
      <c r="N3" s="18"/>
      <c r="O3" t="s">
        <v>28</v>
      </c>
      <c r="T3" t="s">
        <v>28</v>
      </c>
    </row>
    <row r="4" spans="1:21" x14ac:dyDescent="0.25">
      <c r="A4">
        <v>1</v>
      </c>
      <c r="B4" s="1" t="s">
        <v>0</v>
      </c>
      <c r="C4" t="s">
        <v>40</v>
      </c>
      <c r="D4" s="3">
        <v>1</v>
      </c>
      <c r="E4">
        <f>Distância!E4</f>
        <v>324</v>
      </c>
      <c r="F4" s="3">
        <v>20</v>
      </c>
      <c r="G4">
        <v>71</v>
      </c>
      <c r="H4" s="3">
        <v>17</v>
      </c>
      <c r="I4" s="7">
        <v>38</v>
      </c>
      <c r="J4" s="3">
        <v>19</v>
      </c>
      <c r="K4">
        <f>Retorno!T3</f>
        <v>71</v>
      </c>
      <c r="M4" s="3">
        <v>1</v>
      </c>
      <c r="N4">
        <v>200</v>
      </c>
      <c r="O4" s="3">
        <v>11</v>
      </c>
      <c r="P4">
        <v>140</v>
      </c>
      <c r="R4" s="3">
        <v>1</v>
      </c>
      <c r="S4" s="2">
        <v>2407.3199999999997</v>
      </c>
      <c r="T4" s="3">
        <v>6</v>
      </c>
      <c r="U4" s="2">
        <v>1181.3699999999999</v>
      </c>
    </row>
    <row r="5" spans="1:21" x14ac:dyDescent="0.25">
      <c r="A5">
        <v>2</v>
      </c>
      <c r="B5" s="1" t="s">
        <v>1</v>
      </c>
      <c r="C5" t="s">
        <v>41</v>
      </c>
      <c r="D5" s="3">
        <v>2</v>
      </c>
      <c r="E5">
        <f>Distância!E5</f>
        <v>263</v>
      </c>
      <c r="F5" s="3">
        <v>19</v>
      </c>
      <c r="G5">
        <v>333</v>
      </c>
      <c r="H5" s="3">
        <v>16</v>
      </c>
      <c r="I5" s="7">
        <v>257</v>
      </c>
      <c r="J5" s="3">
        <v>20</v>
      </c>
      <c r="K5">
        <f>Retorno!T4</f>
        <v>198</v>
      </c>
      <c r="M5" s="3">
        <v>2</v>
      </c>
      <c r="N5">
        <v>180</v>
      </c>
      <c r="O5" s="3">
        <v>19</v>
      </c>
      <c r="P5">
        <v>120</v>
      </c>
      <c r="R5" s="3">
        <v>2</v>
      </c>
      <c r="S5" s="2">
        <v>1954.09</v>
      </c>
      <c r="T5" s="3">
        <v>4</v>
      </c>
      <c r="U5" s="2">
        <v>334.34999999999997</v>
      </c>
    </row>
    <row r="6" spans="1:21" x14ac:dyDescent="0.25">
      <c r="A6">
        <v>3</v>
      </c>
      <c r="B6" s="1" t="s">
        <v>2</v>
      </c>
      <c r="C6" t="s">
        <v>42</v>
      </c>
      <c r="D6" s="3">
        <v>3</v>
      </c>
      <c r="E6">
        <f>Distância!E6</f>
        <v>45</v>
      </c>
      <c r="F6" s="3">
        <v>1</v>
      </c>
      <c r="G6">
        <v>324</v>
      </c>
      <c r="H6" s="3">
        <v>7</v>
      </c>
      <c r="I6" s="7">
        <v>135</v>
      </c>
      <c r="J6" s="3">
        <v>6</v>
      </c>
      <c r="K6">
        <f>Retorno!T5</f>
        <v>142</v>
      </c>
      <c r="M6" s="3">
        <v>3</v>
      </c>
      <c r="N6">
        <v>160</v>
      </c>
      <c r="O6" s="3">
        <v>16</v>
      </c>
      <c r="P6">
        <v>180</v>
      </c>
      <c r="R6" s="3">
        <v>3</v>
      </c>
      <c r="S6" s="2">
        <v>334.34999999999997</v>
      </c>
      <c r="T6" s="3">
        <v>3</v>
      </c>
      <c r="U6" s="2">
        <v>237.76</v>
      </c>
    </row>
    <row r="7" spans="1:21" x14ac:dyDescent="0.25">
      <c r="A7">
        <v>4</v>
      </c>
      <c r="B7" s="1" t="s">
        <v>3</v>
      </c>
      <c r="C7" t="s">
        <v>43</v>
      </c>
      <c r="D7" s="3">
        <v>4</v>
      </c>
      <c r="E7">
        <f>Distância!E7</f>
        <v>172</v>
      </c>
      <c r="F7" s="3">
        <v>2</v>
      </c>
      <c r="G7">
        <v>263</v>
      </c>
      <c r="H7" s="3">
        <v>8</v>
      </c>
      <c r="I7" s="7">
        <v>89</v>
      </c>
      <c r="J7" s="3">
        <v>3</v>
      </c>
      <c r="K7">
        <f>Retorno!T6</f>
        <v>32</v>
      </c>
      <c r="M7" s="3">
        <v>4</v>
      </c>
      <c r="N7">
        <v>140</v>
      </c>
      <c r="O7" s="3">
        <v>17</v>
      </c>
      <c r="P7">
        <v>160</v>
      </c>
      <c r="R7" s="3">
        <v>4</v>
      </c>
      <c r="S7" s="2">
        <v>1277.96</v>
      </c>
      <c r="T7" s="3">
        <v>15</v>
      </c>
      <c r="U7" s="2">
        <v>750.43</v>
      </c>
    </row>
    <row r="8" spans="1:21" x14ac:dyDescent="0.25">
      <c r="A8">
        <v>5</v>
      </c>
      <c r="B8" s="1" t="s">
        <v>4</v>
      </c>
      <c r="C8" t="s">
        <v>44</v>
      </c>
      <c r="D8" s="3">
        <v>5</v>
      </c>
      <c r="E8">
        <f>Distância!E8</f>
        <v>288</v>
      </c>
      <c r="F8" s="3">
        <v>3</v>
      </c>
      <c r="G8">
        <v>45</v>
      </c>
      <c r="H8" s="3">
        <v>11</v>
      </c>
      <c r="I8" s="7">
        <v>50</v>
      </c>
      <c r="J8" s="3">
        <v>15</v>
      </c>
      <c r="K8">
        <f>Retorno!T7</f>
        <v>53</v>
      </c>
      <c r="M8" s="3">
        <v>5</v>
      </c>
      <c r="N8">
        <v>120</v>
      </c>
      <c r="O8" s="3">
        <v>10</v>
      </c>
      <c r="P8">
        <v>160</v>
      </c>
      <c r="R8" s="3">
        <v>5</v>
      </c>
      <c r="S8" s="2">
        <v>2139.84</v>
      </c>
      <c r="T8" s="3">
        <v>14</v>
      </c>
      <c r="U8" s="2">
        <v>356.64</v>
      </c>
    </row>
    <row r="9" spans="1:21" x14ac:dyDescent="0.25">
      <c r="A9">
        <v>6</v>
      </c>
      <c r="B9" s="1" t="s">
        <v>5</v>
      </c>
      <c r="C9" t="s">
        <v>45</v>
      </c>
      <c r="D9" s="3">
        <v>6</v>
      </c>
      <c r="E9">
        <f>Distância!E9</f>
        <v>421</v>
      </c>
      <c r="F9" s="3">
        <v>4</v>
      </c>
      <c r="G9">
        <v>172</v>
      </c>
      <c r="H9" s="3">
        <v>1</v>
      </c>
      <c r="I9" s="7">
        <v>80</v>
      </c>
      <c r="J9" s="3">
        <v>4</v>
      </c>
      <c r="K9">
        <f>Retorno!T8</f>
        <v>93</v>
      </c>
      <c r="M9" s="3">
        <v>6</v>
      </c>
      <c r="N9">
        <v>110</v>
      </c>
      <c r="O9" s="3">
        <v>15</v>
      </c>
      <c r="P9">
        <v>200</v>
      </c>
      <c r="R9" s="3">
        <v>6</v>
      </c>
      <c r="S9" s="2">
        <v>3128.0299999999997</v>
      </c>
      <c r="T9" s="3">
        <v>13</v>
      </c>
      <c r="U9" s="2">
        <v>282.33999999999997</v>
      </c>
    </row>
    <row r="10" spans="1:21" x14ac:dyDescent="0.25">
      <c r="A10">
        <v>7</v>
      </c>
      <c r="B10" s="1" t="s">
        <v>6</v>
      </c>
      <c r="C10" t="s">
        <v>40</v>
      </c>
      <c r="D10" s="3">
        <v>7</v>
      </c>
      <c r="E10">
        <f>Distância!E10</f>
        <v>135</v>
      </c>
      <c r="F10" s="3">
        <v>5</v>
      </c>
      <c r="G10">
        <v>288</v>
      </c>
      <c r="H10" s="3">
        <v>5</v>
      </c>
      <c r="I10" s="7">
        <v>97</v>
      </c>
      <c r="J10" s="3">
        <v>1</v>
      </c>
      <c r="K10">
        <f>Retorno!T9</f>
        <v>50</v>
      </c>
      <c r="M10" s="3">
        <v>7</v>
      </c>
      <c r="N10">
        <v>100</v>
      </c>
      <c r="O10" s="3">
        <v>14</v>
      </c>
      <c r="P10">
        <v>100</v>
      </c>
      <c r="R10" s="3">
        <v>7</v>
      </c>
      <c r="S10" s="2">
        <v>1003.05</v>
      </c>
      <c r="T10" s="3">
        <v>9</v>
      </c>
      <c r="U10" s="2">
        <v>289.77</v>
      </c>
    </row>
    <row r="11" spans="1:21" x14ac:dyDescent="0.25">
      <c r="A11">
        <v>8</v>
      </c>
      <c r="B11" s="1" t="s">
        <v>7</v>
      </c>
      <c r="C11" t="s">
        <v>41</v>
      </c>
      <c r="D11" s="3">
        <v>8</v>
      </c>
      <c r="E11">
        <f>Distância!E11</f>
        <v>305</v>
      </c>
      <c r="F11" s="3">
        <v>6</v>
      </c>
      <c r="G11">
        <v>421</v>
      </c>
      <c r="H11" s="3">
        <v>18</v>
      </c>
      <c r="I11" s="7">
        <v>98</v>
      </c>
      <c r="J11" s="3">
        <v>11</v>
      </c>
      <c r="K11">
        <f>Retorno!T10</f>
        <v>89</v>
      </c>
      <c r="M11" s="3">
        <v>8</v>
      </c>
      <c r="N11">
        <v>200</v>
      </c>
      <c r="O11" s="3">
        <v>4</v>
      </c>
      <c r="P11">
        <v>140</v>
      </c>
      <c r="R11" s="3">
        <v>8</v>
      </c>
      <c r="S11" s="2">
        <v>2266.15</v>
      </c>
      <c r="T11" s="3">
        <v>12</v>
      </c>
      <c r="U11" s="2">
        <v>824.73</v>
      </c>
    </row>
    <row r="12" spans="1:21" x14ac:dyDescent="0.25">
      <c r="A12">
        <v>9</v>
      </c>
      <c r="B12" s="1" t="s">
        <v>8</v>
      </c>
      <c r="C12" t="s">
        <v>42</v>
      </c>
      <c r="D12" s="3">
        <v>9</v>
      </c>
      <c r="E12">
        <f>Distância!E12</f>
        <v>189</v>
      </c>
      <c r="F12" s="3">
        <v>7</v>
      </c>
      <c r="G12">
        <v>135</v>
      </c>
      <c r="H12" s="3">
        <v>14</v>
      </c>
      <c r="I12" s="7">
        <v>48</v>
      </c>
      <c r="J12" s="3">
        <v>8</v>
      </c>
      <c r="K12">
        <f>Retorno!T11</f>
        <v>135</v>
      </c>
      <c r="M12" s="3">
        <v>9</v>
      </c>
      <c r="N12">
        <v>180</v>
      </c>
      <c r="O12" s="3">
        <v>18</v>
      </c>
      <c r="P12">
        <v>140</v>
      </c>
      <c r="R12" s="3">
        <v>9</v>
      </c>
      <c r="S12" s="2">
        <v>1404.27</v>
      </c>
      <c r="T12" s="3">
        <v>20</v>
      </c>
      <c r="U12" s="2">
        <v>527.53</v>
      </c>
    </row>
    <row r="13" spans="1:21" x14ac:dyDescent="0.25">
      <c r="A13">
        <v>10</v>
      </c>
      <c r="B13" s="1" t="s">
        <v>9</v>
      </c>
      <c r="C13" t="s">
        <v>43</v>
      </c>
      <c r="D13" s="3">
        <v>10</v>
      </c>
      <c r="E13">
        <f>Distância!E13</f>
        <v>350</v>
      </c>
      <c r="F13" s="3">
        <v>8</v>
      </c>
      <c r="G13">
        <v>305</v>
      </c>
      <c r="H13" s="3">
        <v>13</v>
      </c>
      <c r="I13" s="7">
        <v>38</v>
      </c>
      <c r="J13" s="3">
        <v>7</v>
      </c>
      <c r="K13">
        <f>Retorno!T12</f>
        <v>257</v>
      </c>
      <c r="M13" s="3">
        <v>10</v>
      </c>
      <c r="N13">
        <v>160</v>
      </c>
      <c r="O13" s="3">
        <v>7</v>
      </c>
      <c r="P13">
        <v>100</v>
      </c>
      <c r="R13" s="3">
        <v>10</v>
      </c>
      <c r="S13" s="2">
        <v>2600.5</v>
      </c>
      <c r="T13" s="3">
        <v>19</v>
      </c>
      <c r="U13" s="2">
        <v>2124.98</v>
      </c>
    </row>
    <row r="14" spans="1:21" x14ac:dyDescent="0.25">
      <c r="A14">
        <v>11</v>
      </c>
      <c r="B14" s="1" t="s">
        <v>10</v>
      </c>
      <c r="C14" t="s">
        <v>44</v>
      </c>
      <c r="D14" s="3">
        <v>11</v>
      </c>
      <c r="E14">
        <f>Distância!E14</f>
        <v>255</v>
      </c>
      <c r="F14" s="3">
        <v>9</v>
      </c>
      <c r="G14">
        <v>189</v>
      </c>
      <c r="H14" s="3">
        <v>9</v>
      </c>
      <c r="I14" s="7">
        <v>39</v>
      </c>
      <c r="J14" s="3">
        <v>16</v>
      </c>
      <c r="K14">
        <f>Retorno!T13</f>
        <v>38</v>
      </c>
      <c r="M14" s="3">
        <v>11</v>
      </c>
      <c r="N14">
        <v>140</v>
      </c>
      <c r="O14" s="3">
        <v>13</v>
      </c>
      <c r="P14">
        <v>110</v>
      </c>
      <c r="R14" s="3">
        <v>11</v>
      </c>
      <c r="S14" s="2">
        <v>1894.6499999999999</v>
      </c>
      <c r="T14" s="3">
        <v>10</v>
      </c>
      <c r="U14" s="2">
        <v>267.48</v>
      </c>
    </row>
    <row r="15" spans="1:21" x14ac:dyDescent="0.25">
      <c r="A15">
        <v>12</v>
      </c>
      <c r="B15" s="1" t="s">
        <v>11</v>
      </c>
      <c r="C15" t="s">
        <v>45</v>
      </c>
      <c r="D15" s="3">
        <v>12</v>
      </c>
      <c r="E15">
        <f>Distância!E15</f>
        <v>77</v>
      </c>
      <c r="F15" s="3">
        <v>10</v>
      </c>
      <c r="G15">
        <v>153</v>
      </c>
      <c r="H15" s="3">
        <v>12</v>
      </c>
      <c r="I15" s="7">
        <v>153</v>
      </c>
      <c r="J15" s="3">
        <v>17</v>
      </c>
      <c r="K15">
        <f>Retorno!T14</f>
        <v>268</v>
      </c>
      <c r="M15" s="3">
        <v>12</v>
      </c>
      <c r="N15">
        <v>120</v>
      </c>
      <c r="O15" s="3">
        <v>12</v>
      </c>
      <c r="P15">
        <v>120</v>
      </c>
      <c r="R15" s="3">
        <v>12</v>
      </c>
      <c r="S15" s="2">
        <v>572.11</v>
      </c>
      <c r="T15" s="3">
        <v>2</v>
      </c>
      <c r="U15" s="2">
        <v>1337.3999999999999</v>
      </c>
    </row>
    <row r="16" spans="1:21" x14ac:dyDescent="0.25">
      <c r="A16">
        <v>13</v>
      </c>
      <c r="B16" s="1" t="s">
        <v>12</v>
      </c>
      <c r="C16" t="s">
        <v>40</v>
      </c>
      <c r="D16" s="3">
        <v>13</v>
      </c>
      <c r="E16">
        <f>Distância!E16</f>
        <v>48</v>
      </c>
      <c r="F16" s="3">
        <v>12</v>
      </c>
      <c r="G16">
        <v>77</v>
      </c>
      <c r="H16" s="3">
        <v>10</v>
      </c>
      <c r="I16" s="7">
        <v>36</v>
      </c>
      <c r="J16" s="3">
        <v>18</v>
      </c>
      <c r="K16">
        <f>Retorno!T15</f>
        <v>97</v>
      </c>
      <c r="M16" s="3">
        <v>13</v>
      </c>
      <c r="N16">
        <v>110</v>
      </c>
      <c r="O16" s="3">
        <v>3</v>
      </c>
      <c r="P16">
        <v>160</v>
      </c>
      <c r="R16" s="3">
        <v>13</v>
      </c>
      <c r="S16" s="2">
        <v>356.64</v>
      </c>
      <c r="T16" s="3">
        <v>18</v>
      </c>
      <c r="U16" s="2">
        <v>720.70999999999992</v>
      </c>
    </row>
    <row r="17" spans="1:21" x14ac:dyDescent="0.25">
      <c r="A17">
        <v>14</v>
      </c>
      <c r="B17" s="1" t="s">
        <v>13</v>
      </c>
      <c r="C17" t="s">
        <v>41</v>
      </c>
      <c r="D17" s="3">
        <v>14</v>
      </c>
      <c r="E17">
        <f>Distância!E17</f>
        <v>101</v>
      </c>
      <c r="F17" s="3">
        <v>13</v>
      </c>
      <c r="G17">
        <v>180</v>
      </c>
      <c r="H17" s="3">
        <v>2</v>
      </c>
      <c r="I17" s="7">
        <v>186</v>
      </c>
      <c r="J17" s="3">
        <v>5</v>
      </c>
      <c r="K17">
        <f>Retorno!T16</f>
        <v>89</v>
      </c>
      <c r="M17" s="3">
        <v>14</v>
      </c>
      <c r="N17">
        <v>100</v>
      </c>
      <c r="O17" s="3">
        <v>20</v>
      </c>
      <c r="P17">
        <v>110</v>
      </c>
      <c r="R17" s="3">
        <v>14</v>
      </c>
      <c r="S17" s="2">
        <v>750.43</v>
      </c>
      <c r="T17" s="3">
        <v>5</v>
      </c>
      <c r="U17" s="2">
        <v>594.4</v>
      </c>
    </row>
    <row r="18" spans="1:21" x14ac:dyDescent="0.25">
      <c r="A18">
        <v>15</v>
      </c>
      <c r="B18" s="1" t="s">
        <v>14</v>
      </c>
      <c r="C18" t="s">
        <v>42</v>
      </c>
      <c r="D18" s="3">
        <v>15</v>
      </c>
      <c r="E18">
        <f>Distância!E18</f>
        <v>406</v>
      </c>
      <c r="F18" s="3">
        <v>11</v>
      </c>
      <c r="G18">
        <v>147</v>
      </c>
      <c r="H18" s="3">
        <v>4</v>
      </c>
      <c r="I18" s="7">
        <v>53</v>
      </c>
      <c r="J18" s="3">
        <v>14</v>
      </c>
      <c r="K18">
        <f>Retorno!T17</f>
        <v>48</v>
      </c>
      <c r="M18" s="3">
        <v>15</v>
      </c>
      <c r="N18">
        <v>200</v>
      </c>
      <c r="O18" s="3">
        <v>2</v>
      </c>
      <c r="P18">
        <v>180</v>
      </c>
      <c r="R18" s="3">
        <v>15</v>
      </c>
      <c r="S18" s="2">
        <v>3016.58</v>
      </c>
      <c r="T18" s="3">
        <v>1</v>
      </c>
      <c r="U18" s="2">
        <v>371.5</v>
      </c>
    </row>
    <row r="19" spans="1:21" x14ac:dyDescent="0.25">
      <c r="A19">
        <v>16</v>
      </c>
      <c r="B19" s="1" t="s">
        <v>15</v>
      </c>
      <c r="C19" t="s">
        <v>43</v>
      </c>
      <c r="D19" s="3">
        <v>16</v>
      </c>
      <c r="E19">
        <f>Distância!E19</f>
        <v>38</v>
      </c>
      <c r="F19" s="3">
        <v>14</v>
      </c>
      <c r="G19">
        <v>98</v>
      </c>
      <c r="H19" s="3">
        <v>15</v>
      </c>
      <c r="I19" s="7">
        <v>32</v>
      </c>
      <c r="J19" s="3">
        <v>13</v>
      </c>
      <c r="K19">
        <f>Retorno!T18</f>
        <v>38</v>
      </c>
      <c r="M19" s="3">
        <v>16</v>
      </c>
      <c r="N19">
        <v>180</v>
      </c>
      <c r="O19" s="3">
        <v>5</v>
      </c>
      <c r="P19">
        <v>120</v>
      </c>
      <c r="R19" s="3">
        <v>16</v>
      </c>
      <c r="S19" s="2">
        <v>282.33999999999997</v>
      </c>
      <c r="T19" s="3">
        <v>11</v>
      </c>
      <c r="U19" s="2">
        <v>661.27</v>
      </c>
    </row>
    <row r="20" spans="1:21" x14ac:dyDescent="0.25">
      <c r="A20">
        <v>17</v>
      </c>
      <c r="B20" s="1" t="s">
        <v>16</v>
      </c>
      <c r="C20" t="s">
        <v>44</v>
      </c>
      <c r="D20" s="3">
        <v>17</v>
      </c>
      <c r="E20">
        <f>Distância!E20</f>
        <v>268</v>
      </c>
      <c r="F20" s="3">
        <v>18</v>
      </c>
      <c r="G20">
        <v>226</v>
      </c>
      <c r="H20" s="3">
        <v>3</v>
      </c>
      <c r="I20" s="7">
        <v>142</v>
      </c>
      <c r="J20" s="3">
        <v>9</v>
      </c>
      <c r="K20">
        <f>Retorno!T19</f>
        <v>39</v>
      </c>
      <c r="M20" s="3">
        <v>17</v>
      </c>
      <c r="N20">
        <v>160</v>
      </c>
      <c r="O20" s="3">
        <v>9</v>
      </c>
      <c r="P20">
        <v>180</v>
      </c>
      <c r="R20" s="3">
        <v>17</v>
      </c>
      <c r="S20" s="2">
        <v>1991.24</v>
      </c>
      <c r="T20" s="3">
        <v>8</v>
      </c>
      <c r="U20" s="2">
        <v>1003.05</v>
      </c>
    </row>
    <row r="21" spans="1:21" x14ac:dyDescent="0.25">
      <c r="A21">
        <v>18</v>
      </c>
      <c r="B21" s="1" t="s">
        <v>17</v>
      </c>
      <c r="C21" t="s">
        <v>45</v>
      </c>
      <c r="D21" s="3">
        <v>18</v>
      </c>
      <c r="E21">
        <f>Distância!E21</f>
        <v>445</v>
      </c>
      <c r="F21" s="3">
        <v>16</v>
      </c>
      <c r="G21">
        <v>38</v>
      </c>
      <c r="H21" s="3">
        <v>6</v>
      </c>
      <c r="I21" s="7">
        <v>198</v>
      </c>
      <c r="J21" s="3">
        <v>12</v>
      </c>
      <c r="K21">
        <f>Retorno!T20</f>
        <v>153</v>
      </c>
      <c r="M21" s="3">
        <v>18</v>
      </c>
      <c r="N21">
        <v>140</v>
      </c>
      <c r="O21" s="3">
        <v>8</v>
      </c>
      <c r="P21">
        <v>200</v>
      </c>
      <c r="R21" s="3">
        <v>18</v>
      </c>
      <c r="S21" s="2">
        <v>3306.35</v>
      </c>
      <c r="T21" s="3">
        <v>7</v>
      </c>
      <c r="U21" s="2">
        <v>1909.51</v>
      </c>
    </row>
    <row r="22" spans="1:21" x14ac:dyDescent="0.25">
      <c r="A22">
        <v>19</v>
      </c>
      <c r="B22" s="1" t="s">
        <v>18</v>
      </c>
      <c r="C22" t="s">
        <v>40</v>
      </c>
      <c r="D22" s="3">
        <v>19</v>
      </c>
      <c r="E22">
        <f>Distância!E22</f>
        <v>71</v>
      </c>
      <c r="F22" s="3">
        <v>17</v>
      </c>
      <c r="G22">
        <v>440</v>
      </c>
      <c r="H22" s="3">
        <v>20</v>
      </c>
      <c r="I22" s="7">
        <v>71</v>
      </c>
      <c r="J22" s="3">
        <v>10</v>
      </c>
      <c r="K22">
        <f>Retorno!T21</f>
        <v>36</v>
      </c>
      <c r="M22" s="3">
        <v>19</v>
      </c>
      <c r="N22">
        <v>120</v>
      </c>
      <c r="O22" s="3">
        <v>6</v>
      </c>
      <c r="P22">
        <v>110</v>
      </c>
      <c r="R22" s="3">
        <v>19</v>
      </c>
      <c r="S22" s="2">
        <v>527.53</v>
      </c>
      <c r="T22" s="3">
        <v>16</v>
      </c>
      <c r="U22" s="2">
        <v>282.33999999999997</v>
      </c>
    </row>
    <row r="23" spans="1:21" x14ac:dyDescent="0.25">
      <c r="A23">
        <v>20</v>
      </c>
      <c r="B23" s="1" t="s">
        <v>19</v>
      </c>
      <c r="C23" t="s">
        <v>41</v>
      </c>
      <c r="D23" s="3">
        <v>20</v>
      </c>
      <c r="F23" s="3">
        <v>15</v>
      </c>
      <c r="H23" s="3">
        <v>19</v>
      </c>
      <c r="I23" s="7"/>
      <c r="J23" s="3">
        <v>2</v>
      </c>
      <c r="M23" s="3">
        <v>20</v>
      </c>
      <c r="O23" s="3">
        <v>1</v>
      </c>
      <c r="R23" s="3">
        <v>20</v>
      </c>
      <c r="T23" s="3">
        <v>17</v>
      </c>
    </row>
    <row r="24" spans="1:21" x14ac:dyDescent="0.25">
      <c r="E24" s="6">
        <f>SUM(E4:E23)</f>
        <v>4201</v>
      </c>
      <c r="F24" s="6"/>
      <c r="G24" s="6">
        <f>SUM(G4:G23)</f>
        <v>3905</v>
      </c>
      <c r="H24" s="6"/>
      <c r="I24" s="6">
        <f>SUM(I4:I23)</f>
        <v>1840</v>
      </c>
      <c r="K24" s="6">
        <f>SUM(K4:K23)</f>
        <v>1926</v>
      </c>
      <c r="N24" s="6">
        <v>2820</v>
      </c>
      <c r="O24" s="6"/>
      <c r="P24" s="6">
        <v>2730</v>
      </c>
      <c r="R24" s="6"/>
      <c r="S24" s="6">
        <v>31213.43</v>
      </c>
      <c r="T24" s="6"/>
      <c r="U24" s="6">
        <v>14057.559999999998</v>
      </c>
    </row>
    <row r="25" spans="1:21" x14ac:dyDescent="0.25">
      <c r="C25" s="17" t="s">
        <v>71</v>
      </c>
      <c r="D25" s="17" t="s">
        <v>72</v>
      </c>
      <c r="E25" s="17" t="s">
        <v>73</v>
      </c>
    </row>
    <row r="26" spans="1:21" x14ac:dyDescent="0.25">
      <c r="C26" t="s">
        <v>68</v>
      </c>
      <c r="D26" t="s">
        <v>69</v>
      </c>
      <c r="E26" t="s">
        <v>70</v>
      </c>
    </row>
    <row r="27" spans="1:21" x14ac:dyDescent="0.25">
      <c r="A27">
        <v>1</v>
      </c>
      <c r="B27" s="1" t="s">
        <v>0</v>
      </c>
      <c r="C27" t="str">
        <f>_xlfn.XLOOKUP(J4,$A$27:$A$46,$B$27:$B$46,"",0)</f>
        <v>Patos</v>
      </c>
      <c r="D27" t="str">
        <f>_xlfn.XLOOKUP(O4,$A$27:$A$46,$B$27:$B$46,"",0)</f>
        <v>Mombaça</v>
      </c>
      <c r="E27" t="str">
        <f>_xlfn.XLOOKUP(T4,$A$27:$A$46,$B$27:$B$46,"",0)</f>
        <v>Brejo Santo</v>
      </c>
    </row>
    <row r="28" spans="1:21" x14ac:dyDescent="0.25">
      <c r="A28">
        <v>2</v>
      </c>
      <c r="B28" s="1" t="s">
        <v>1</v>
      </c>
      <c r="C28" t="str">
        <f t="shared" ref="C28:C46" si="0">_xlfn.XLOOKUP(J5,$A$27:$A$46,$B$27:$B$46,"",0)</f>
        <v>Pombal</v>
      </c>
      <c r="D28" t="str">
        <f t="shared" ref="D28:D46" si="1">_xlfn.XLOOKUP(O5,$A$27:$A$46,$B$27:$B$46,"",0)</f>
        <v>Patos</v>
      </c>
      <c r="E28" t="str">
        <f t="shared" ref="E28:E46" si="2">_xlfn.XLOOKUP(T5,$A$27:$A$46,$B$27:$B$46,"",0)</f>
        <v>Cedro</v>
      </c>
    </row>
    <row r="29" spans="1:21" x14ac:dyDescent="0.25">
      <c r="A29">
        <v>3</v>
      </c>
      <c r="B29" s="1" t="s">
        <v>2</v>
      </c>
      <c r="C29" t="str">
        <f t="shared" si="0"/>
        <v>Brejo Santo</v>
      </c>
      <c r="D29" t="str">
        <f t="shared" si="1"/>
        <v>Itapagé</v>
      </c>
      <c r="E29" t="str">
        <f t="shared" si="2"/>
        <v>Icó</v>
      </c>
    </row>
    <row r="30" spans="1:21" x14ac:dyDescent="0.25">
      <c r="A30">
        <v>4</v>
      </c>
      <c r="B30" s="1" t="s">
        <v>3</v>
      </c>
      <c r="C30" t="str">
        <f t="shared" si="0"/>
        <v>Icó</v>
      </c>
      <c r="D30" t="str">
        <f t="shared" si="1"/>
        <v>Itapipoca</v>
      </c>
      <c r="E30" t="str">
        <f t="shared" si="2"/>
        <v>Orós</v>
      </c>
    </row>
    <row r="31" spans="1:21" x14ac:dyDescent="0.25">
      <c r="A31">
        <v>5</v>
      </c>
      <c r="B31" s="1" t="s">
        <v>4</v>
      </c>
      <c r="C31" t="str">
        <f t="shared" si="0"/>
        <v>Orós</v>
      </c>
      <c r="D31" t="str">
        <f t="shared" si="1"/>
        <v>Mossoró</v>
      </c>
      <c r="E31" t="str">
        <f t="shared" si="2"/>
        <v>Jaguaretama</v>
      </c>
    </row>
    <row r="32" spans="1:21" x14ac:dyDescent="0.25">
      <c r="A32">
        <v>6</v>
      </c>
      <c r="B32" s="1" t="s">
        <v>5</v>
      </c>
      <c r="C32" t="str">
        <f t="shared" si="0"/>
        <v>Cedro</v>
      </c>
      <c r="D32" t="str">
        <f t="shared" si="1"/>
        <v>Orós</v>
      </c>
      <c r="E32" t="str">
        <f t="shared" si="2"/>
        <v>Jaguaribe</v>
      </c>
    </row>
    <row r="33" spans="1:5" x14ac:dyDescent="0.25">
      <c r="A33">
        <v>7</v>
      </c>
      <c r="B33" s="1" t="s">
        <v>6</v>
      </c>
      <c r="C33" t="str">
        <f t="shared" si="0"/>
        <v>Acopiara</v>
      </c>
      <c r="D33" t="str">
        <f t="shared" si="1"/>
        <v>Jaguaretama</v>
      </c>
      <c r="E33" t="str">
        <f t="shared" si="2"/>
        <v>Pereiro</v>
      </c>
    </row>
    <row r="34" spans="1:5" x14ac:dyDescent="0.25">
      <c r="A34">
        <v>8</v>
      </c>
      <c r="B34" s="1" t="s">
        <v>7</v>
      </c>
      <c r="C34" t="str">
        <f t="shared" si="0"/>
        <v>Mombaça</v>
      </c>
      <c r="D34" t="str">
        <f t="shared" si="1"/>
        <v>Cedro</v>
      </c>
      <c r="E34" t="str">
        <f t="shared" si="2"/>
        <v>Pau dos Ferros</v>
      </c>
    </row>
    <row r="35" spans="1:5" x14ac:dyDescent="0.25">
      <c r="A35">
        <v>9</v>
      </c>
      <c r="B35" s="1" t="s">
        <v>8</v>
      </c>
      <c r="C35" t="str">
        <f t="shared" si="0"/>
        <v>Tauá</v>
      </c>
      <c r="D35" t="str">
        <f t="shared" si="1"/>
        <v>Quixadá</v>
      </c>
      <c r="E35" t="str">
        <f t="shared" si="2"/>
        <v>Pombal</v>
      </c>
    </row>
    <row r="36" spans="1:5" x14ac:dyDescent="0.25">
      <c r="A36">
        <v>10</v>
      </c>
      <c r="B36" s="1" t="s">
        <v>9</v>
      </c>
      <c r="C36" t="str">
        <f t="shared" si="0"/>
        <v>Crateús</v>
      </c>
      <c r="D36" t="str">
        <f t="shared" si="1"/>
        <v>Crateús</v>
      </c>
      <c r="E36" t="str">
        <f t="shared" si="2"/>
        <v>Patos</v>
      </c>
    </row>
    <row r="37" spans="1:5" x14ac:dyDescent="0.25">
      <c r="A37">
        <v>11</v>
      </c>
      <c r="B37" s="1" t="s">
        <v>10</v>
      </c>
      <c r="C37" t="str">
        <f t="shared" si="0"/>
        <v>Itapagé</v>
      </c>
      <c r="D37" t="str">
        <f t="shared" si="1"/>
        <v>Jaguaribe</v>
      </c>
      <c r="E37" t="str">
        <f t="shared" si="2"/>
        <v>Mossoró</v>
      </c>
    </row>
    <row r="38" spans="1:5" x14ac:dyDescent="0.25">
      <c r="A38">
        <v>12</v>
      </c>
      <c r="B38" s="1" t="s">
        <v>11</v>
      </c>
      <c r="C38" t="str">
        <f t="shared" si="0"/>
        <v>Itapipoca</v>
      </c>
      <c r="D38" t="str">
        <f t="shared" si="1"/>
        <v>Pau dos Ferros</v>
      </c>
      <c r="E38" t="str">
        <f t="shared" si="2"/>
        <v>Baraúna</v>
      </c>
    </row>
    <row r="39" spans="1:5" x14ac:dyDescent="0.25">
      <c r="A39">
        <v>13</v>
      </c>
      <c r="B39" s="1" t="s">
        <v>12</v>
      </c>
      <c r="C39" t="str">
        <f t="shared" si="0"/>
        <v>Quixadá</v>
      </c>
      <c r="D39" t="str">
        <f t="shared" si="1"/>
        <v>Icó</v>
      </c>
      <c r="E39" t="str">
        <f t="shared" si="2"/>
        <v>Quixadá</v>
      </c>
    </row>
    <row r="40" spans="1:5" x14ac:dyDescent="0.25">
      <c r="A40">
        <v>14</v>
      </c>
      <c r="B40" s="1" t="s">
        <v>13</v>
      </c>
      <c r="C40" t="str">
        <f t="shared" si="0"/>
        <v>Senador Pompeu</v>
      </c>
      <c r="D40" t="str">
        <f t="shared" si="1"/>
        <v>Pombal</v>
      </c>
      <c r="E40" t="str">
        <f t="shared" si="2"/>
        <v>Senador Pompeu</v>
      </c>
    </row>
    <row r="41" spans="1:5" x14ac:dyDescent="0.25">
      <c r="A41">
        <v>15</v>
      </c>
      <c r="B41" s="1" t="s">
        <v>14</v>
      </c>
      <c r="C41" t="str">
        <f t="shared" si="0"/>
        <v>Jaguaretama</v>
      </c>
      <c r="D41" t="str">
        <f t="shared" si="1"/>
        <v>Baraúna</v>
      </c>
      <c r="E41" t="str">
        <f t="shared" si="2"/>
        <v>Acopiara</v>
      </c>
    </row>
    <row r="42" spans="1:5" x14ac:dyDescent="0.25">
      <c r="A42">
        <v>16</v>
      </c>
      <c r="B42" s="1" t="s">
        <v>15</v>
      </c>
      <c r="C42" t="str">
        <f t="shared" si="0"/>
        <v>Jaguaribe</v>
      </c>
      <c r="D42" t="str">
        <f t="shared" si="1"/>
        <v>Senador Pompeu</v>
      </c>
      <c r="E42" t="str">
        <f t="shared" si="2"/>
        <v>Mombaça</v>
      </c>
    </row>
    <row r="43" spans="1:5" x14ac:dyDescent="0.25">
      <c r="A43">
        <v>17</v>
      </c>
      <c r="B43" s="1" t="s">
        <v>16</v>
      </c>
      <c r="C43" t="str">
        <f t="shared" si="0"/>
        <v>Pereiro</v>
      </c>
      <c r="D43" t="str">
        <f t="shared" si="1"/>
        <v>Pereiro</v>
      </c>
      <c r="E43" t="str">
        <f t="shared" si="2"/>
        <v>Tauá</v>
      </c>
    </row>
    <row r="44" spans="1:5" x14ac:dyDescent="0.25">
      <c r="A44">
        <v>18</v>
      </c>
      <c r="B44" s="1" t="s">
        <v>17</v>
      </c>
      <c r="C44" t="str">
        <f t="shared" si="0"/>
        <v>Pau dos Ferros</v>
      </c>
      <c r="D44" t="str">
        <f t="shared" si="1"/>
        <v>Tauá</v>
      </c>
      <c r="E44" t="str">
        <f t="shared" si="2"/>
        <v>Crateús</v>
      </c>
    </row>
    <row r="45" spans="1:5" x14ac:dyDescent="0.25">
      <c r="A45">
        <v>19</v>
      </c>
      <c r="B45" s="1" t="s">
        <v>18</v>
      </c>
      <c r="C45" t="str">
        <f t="shared" si="0"/>
        <v>Mossoró</v>
      </c>
      <c r="D45" t="str">
        <f t="shared" si="1"/>
        <v>Brejo Santo</v>
      </c>
      <c r="E45" t="str">
        <f t="shared" si="2"/>
        <v>Itapagé</v>
      </c>
    </row>
    <row r="46" spans="1:5" x14ac:dyDescent="0.25">
      <c r="A46">
        <v>20</v>
      </c>
      <c r="B46" s="1" t="s">
        <v>19</v>
      </c>
      <c r="C46" t="str">
        <f t="shared" si="0"/>
        <v>Baraúna</v>
      </c>
      <c r="D46" t="str">
        <f t="shared" si="1"/>
        <v>Acopiara</v>
      </c>
      <c r="E46" t="str">
        <f t="shared" si="2"/>
        <v>Itapipoca</v>
      </c>
    </row>
  </sheetData>
  <mergeCells count="8">
    <mergeCell ref="M1:P1"/>
    <mergeCell ref="N2:N3"/>
    <mergeCell ref="R1:U1"/>
    <mergeCell ref="A2:A3"/>
    <mergeCell ref="B2:B3"/>
    <mergeCell ref="D2:D3"/>
    <mergeCell ref="E2:E3"/>
    <mergeCell ref="E1:K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0B4-647E-44AC-8857-D04EDBDA6E6F}">
  <dimension ref="A2:O9"/>
  <sheetViews>
    <sheetView showGridLines="0" tabSelected="1" workbookViewId="0">
      <selection activeCell="A9" sqref="A9"/>
    </sheetView>
  </sheetViews>
  <sheetFormatPr defaultRowHeight="15" x14ac:dyDescent="0.25"/>
  <sheetData>
    <row r="2" spans="1:15" x14ac:dyDescent="0.25">
      <c r="A2" t="s">
        <v>74</v>
      </c>
      <c r="B2" t="s">
        <v>75</v>
      </c>
    </row>
    <row r="3" spans="1:15" x14ac:dyDescent="0.25">
      <c r="B3" t="s">
        <v>76</v>
      </c>
    </row>
    <row r="4" spans="1:15" x14ac:dyDescent="0.25">
      <c r="B4" t="s">
        <v>77</v>
      </c>
    </row>
    <row r="6" spans="1:15" x14ac:dyDescent="0.25">
      <c r="B6" t="s">
        <v>78</v>
      </c>
    </row>
    <row r="7" spans="1:15" x14ac:dyDescent="0.25">
      <c r="B7" t="s">
        <v>79</v>
      </c>
    </row>
    <row r="8" spans="1:15" x14ac:dyDescent="0.25">
      <c r="B8" t="s">
        <v>80</v>
      </c>
    </row>
    <row r="9" spans="1:15" x14ac:dyDescent="0.25">
      <c r="A9" t="s">
        <v>71</v>
      </c>
      <c r="H9" t="s">
        <v>72</v>
      </c>
      <c r="O9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89"/>
  <sheetViews>
    <sheetView workbookViewId="0">
      <selection activeCell="A2" sqref="A2:A3"/>
    </sheetView>
  </sheetViews>
  <sheetFormatPr defaultRowHeight="15" x14ac:dyDescent="0.25"/>
  <cols>
    <col min="2" max="2" width="23.28515625" bestFit="1" customWidth="1"/>
    <col min="3" max="3" width="12.85546875" bestFit="1" customWidth="1"/>
    <col min="4" max="4" width="9.28515625" bestFit="1" customWidth="1"/>
    <col min="5" max="5" width="10.28515625" customWidth="1"/>
    <col min="6" max="6" width="12" customWidth="1"/>
    <col min="7" max="7" width="13.42578125" customWidth="1"/>
    <col min="8" max="8" width="11.28515625" bestFit="1" customWidth="1"/>
    <col min="9" max="9" width="20.42578125" bestFit="1" customWidth="1"/>
    <col min="10" max="10" width="21" bestFit="1" customWidth="1"/>
    <col min="11" max="15" width="9.28515625" bestFit="1" customWidth="1"/>
    <col min="16" max="16" width="14.140625" bestFit="1" customWidth="1"/>
    <col min="17" max="17" width="9.5703125" bestFit="1" customWidth="1"/>
    <col min="18" max="18" width="12.28515625" bestFit="1" customWidth="1"/>
    <col min="19" max="20" width="8" bestFit="1" customWidth="1"/>
    <col min="21" max="21" width="9.28515625" bestFit="1" customWidth="1"/>
    <col min="22" max="22" width="8.42578125" bestFit="1" customWidth="1"/>
    <col min="23" max="24" width="8" bestFit="1" customWidth="1"/>
    <col min="25" max="25" width="14.5703125" bestFit="1" customWidth="1"/>
    <col min="26" max="26" width="10.85546875" bestFit="1" customWidth="1"/>
    <col min="27" max="30" width="8" bestFit="1" customWidth="1"/>
    <col min="31" max="31" width="15.140625" bestFit="1" customWidth="1"/>
    <col min="32" max="33" width="8" bestFit="1" customWidth="1"/>
    <col min="34" max="34" width="8.28515625" bestFit="1" customWidth="1"/>
    <col min="35" max="35" width="12.85546875" bestFit="1" customWidth="1"/>
    <col min="36" max="36" width="19.42578125" bestFit="1" customWidth="1"/>
    <col min="37" max="37" width="13.5703125" bestFit="1" customWidth="1"/>
    <col min="38" max="38" width="10" bestFit="1" customWidth="1"/>
    <col min="39" max="40" width="8.85546875" bestFit="1" customWidth="1"/>
    <col min="41" max="41" width="20.28515625" bestFit="1" customWidth="1"/>
    <col min="42" max="42" width="8" bestFit="1" customWidth="1"/>
    <col min="43" max="43" width="13" bestFit="1" customWidth="1"/>
    <col min="44" max="44" width="8" bestFit="1" customWidth="1"/>
    <col min="45" max="45" width="9.42578125" bestFit="1" customWidth="1"/>
    <col min="46" max="46" width="8.42578125" bestFit="1" customWidth="1"/>
    <col min="47" max="47" width="12.85546875" bestFit="1" customWidth="1"/>
    <col min="48" max="48" width="8.7109375" bestFit="1" customWidth="1"/>
    <col min="49" max="49" width="8" bestFit="1" customWidth="1"/>
    <col min="50" max="51" width="11.7109375" bestFit="1" customWidth="1"/>
    <col min="52" max="53" width="8" bestFit="1" customWidth="1"/>
    <col min="54" max="55" width="8.42578125" bestFit="1" customWidth="1"/>
    <col min="56" max="56" width="11.42578125" bestFit="1" customWidth="1"/>
    <col min="57" max="57" width="10" bestFit="1" customWidth="1"/>
    <col min="58" max="58" width="10.28515625" bestFit="1" customWidth="1"/>
    <col min="59" max="59" width="11.42578125" bestFit="1" customWidth="1"/>
    <col min="60" max="60" width="9.28515625" bestFit="1" customWidth="1"/>
    <col min="61" max="61" width="8" bestFit="1" customWidth="1"/>
    <col min="62" max="62" width="9.42578125" bestFit="1" customWidth="1"/>
    <col min="63" max="63" width="12.85546875" bestFit="1" customWidth="1"/>
    <col min="64" max="64" width="9.5703125" bestFit="1" customWidth="1"/>
    <col min="65" max="65" width="8" bestFit="1" customWidth="1"/>
    <col min="66" max="66" width="15.85546875" bestFit="1" customWidth="1"/>
    <col min="67" max="67" width="8" bestFit="1" customWidth="1"/>
    <col min="68" max="68" width="15.42578125" bestFit="1" customWidth="1"/>
    <col min="69" max="69" width="19.42578125" bestFit="1" customWidth="1"/>
    <col min="70" max="70" width="12.42578125" bestFit="1" customWidth="1"/>
    <col min="71" max="71" width="8.140625" bestFit="1" customWidth="1"/>
    <col min="72" max="72" width="15.85546875" bestFit="1" customWidth="1"/>
    <col min="73" max="73" width="9.85546875" bestFit="1" customWidth="1"/>
    <col min="74" max="74" width="8" bestFit="1" customWidth="1"/>
    <col min="75" max="75" width="8.140625" bestFit="1" customWidth="1"/>
    <col min="76" max="76" width="11.140625" bestFit="1" customWidth="1"/>
    <col min="77" max="77" width="13.7109375" bestFit="1" customWidth="1"/>
    <col min="78" max="78" width="17.5703125" bestFit="1" customWidth="1"/>
    <col min="79" max="79" width="11.140625" bestFit="1" customWidth="1"/>
    <col min="80" max="80" width="8" bestFit="1" customWidth="1"/>
    <col min="81" max="81" width="12.85546875" bestFit="1" customWidth="1"/>
    <col min="82" max="82" width="8" bestFit="1" customWidth="1"/>
    <col min="83" max="83" width="12.5703125" bestFit="1" customWidth="1"/>
    <col min="84" max="84" width="10.42578125" bestFit="1" customWidth="1"/>
    <col min="85" max="85" width="8.28515625" bestFit="1" customWidth="1"/>
    <col min="86" max="86" width="16.5703125" bestFit="1" customWidth="1"/>
    <col min="87" max="87" width="21.28515625" bestFit="1" customWidth="1"/>
    <col min="88" max="88" width="23.28515625" bestFit="1" customWidth="1"/>
    <col min="89" max="89" width="10.7109375" bestFit="1" customWidth="1"/>
    <col min="90" max="90" width="9.85546875" bestFit="1" customWidth="1"/>
    <col min="91" max="91" width="18" bestFit="1" customWidth="1"/>
    <col min="92" max="92" width="8.85546875" bestFit="1" customWidth="1"/>
    <col min="93" max="93" width="7.85546875" bestFit="1" customWidth="1"/>
  </cols>
  <sheetData>
    <row r="1" spans="1:99" x14ac:dyDescent="0.25">
      <c r="O1" t="s">
        <v>30</v>
      </c>
      <c r="X1" t="s">
        <v>31</v>
      </c>
    </row>
    <row r="2" spans="1:99" ht="15" customHeight="1" x14ac:dyDescent="0.25">
      <c r="A2" s="20" t="s">
        <v>21</v>
      </c>
      <c r="B2" s="20" t="s">
        <v>22</v>
      </c>
      <c r="D2" s="20" t="s">
        <v>23</v>
      </c>
      <c r="E2" s="21" t="s">
        <v>24</v>
      </c>
      <c r="F2" s="21" t="s">
        <v>61</v>
      </c>
      <c r="G2" s="21" t="s">
        <v>60</v>
      </c>
      <c r="H2" s="18" t="s">
        <v>38</v>
      </c>
      <c r="I2" s="18" t="s">
        <v>49</v>
      </c>
      <c r="J2" s="11" t="s">
        <v>56</v>
      </c>
      <c r="L2" s="10" t="s">
        <v>57</v>
      </c>
      <c r="R2" t="s">
        <v>27</v>
      </c>
      <c r="T2" t="s">
        <v>28</v>
      </c>
      <c r="V2" t="s">
        <v>29</v>
      </c>
      <c r="Y2" t="s">
        <v>25</v>
      </c>
      <c r="AA2" t="s">
        <v>28</v>
      </c>
      <c r="AC2" t="s">
        <v>29</v>
      </c>
    </row>
    <row r="3" spans="1:99" x14ac:dyDescent="0.25">
      <c r="A3" s="20"/>
      <c r="B3" s="20"/>
      <c r="C3" t="s">
        <v>39</v>
      </c>
      <c r="D3" s="20"/>
      <c r="E3" s="21"/>
      <c r="F3" s="21"/>
      <c r="G3" s="21"/>
      <c r="H3" s="18"/>
      <c r="I3" s="18"/>
      <c r="J3" s="11"/>
      <c r="L3">
        <f>7.43</f>
        <v>7.43</v>
      </c>
      <c r="O3" t="s">
        <v>25</v>
      </c>
      <c r="P3" t="s">
        <v>26</v>
      </c>
      <c r="R3" s="3">
        <v>20</v>
      </c>
      <c r="S3">
        <v>71</v>
      </c>
      <c r="T3" s="3">
        <v>17</v>
      </c>
      <c r="U3" s="7">
        <v>38</v>
      </c>
      <c r="V3" s="3">
        <v>19</v>
      </c>
      <c r="W3">
        <f t="array" ref="W3">INDEX($C$28:$V$47,V3,V4)</f>
        <v>71</v>
      </c>
      <c r="Y3" s="4">
        <v>1</v>
      </c>
      <c r="Z3">
        <v>324</v>
      </c>
      <c r="AA3" s="3">
        <v>1</v>
      </c>
      <c r="AB3">
        <v>93</v>
      </c>
      <c r="AC3" s="3">
        <v>1</v>
      </c>
      <c r="AD3">
        <v>93</v>
      </c>
    </row>
    <row r="4" spans="1:99" x14ac:dyDescent="0.25">
      <c r="A4">
        <v>1</v>
      </c>
      <c r="B4" s="1" t="s">
        <v>0</v>
      </c>
      <c r="C4" t="s">
        <v>40</v>
      </c>
      <c r="D4" s="3">
        <v>1</v>
      </c>
      <c r="E4">
        <f t="array" ref="E4">INDEX($C$28:$V$47,D4,D5)</f>
        <v>324</v>
      </c>
      <c r="F4">
        <f>H4+I4</f>
        <v>200</v>
      </c>
      <c r="G4" s="2">
        <f t="shared" ref="G4:G22" si="0">SUM(H4:J4)</f>
        <v>2607.3199999999997</v>
      </c>
      <c r="H4">
        <v>120</v>
      </c>
      <c r="I4">
        <v>80</v>
      </c>
      <c r="J4" s="2">
        <f t="shared" ref="J4:J22" si="1">E4*$L$3</f>
        <v>2407.3199999999997</v>
      </c>
      <c r="O4" s="5" t="s">
        <v>20</v>
      </c>
      <c r="R4" s="3">
        <v>19</v>
      </c>
      <c r="S4">
        <v>333</v>
      </c>
      <c r="T4" s="3">
        <v>16</v>
      </c>
      <c r="U4" s="7">
        <v>257</v>
      </c>
      <c r="V4" s="3">
        <v>20</v>
      </c>
      <c r="W4">
        <f t="array" ref="W4">INDEX($C$28:$V$47,V4,V5)</f>
        <v>198</v>
      </c>
      <c r="Y4" s="4">
        <v>2</v>
      </c>
      <c r="Z4">
        <v>263</v>
      </c>
      <c r="AA4" s="3">
        <v>4</v>
      </c>
      <c r="AB4">
        <v>53</v>
      </c>
      <c r="AC4" s="3">
        <v>4</v>
      </c>
      <c r="AD4">
        <v>53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>
        <v>2</v>
      </c>
      <c r="B5" s="1" t="s">
        <v>1</v>
      </c>
      <c r="C5" t="s">
        <v>41</v>
      </c>
      <c r="D5" s="3">
        <v>2</v>
      </c>
      <c r="E5">
        <f t="array" ref="E5">INDEX($C$28:$V$47,D5,D6)</f>
        <v>263</v>
      </c>
      <c r="F5">
        <f t="shared" ref="F5:F22" si="2">H5+I5</f>
        <v>190</v>
      </c>
      <c r="G5" s="2">
        <f t="shared" si="0"/>
        <v>2144.09</v>
      </c>
      <c r="H5">
        <v>110</v>
      </c>
      <c r="I5">
        <v>80</v>
      </c>
      <c r="J5" s="2">
        <f t="shared" si="1"/>
        <v>1954.09</v>
      </c>
      <c r="O5" s="6">
        <f>SUM(E4:E23)</f>
        <v>4201</v>
      </c>
      <c r="R5" s="3">
        <v>1</v>
      </c>
      <c r="S5">
        <v>324</v>
      </c>
      <c r="T5" s="3">
        <v>7</v>
      </c>
      <c r="U5" s="7">
        <v>135</v>
      </c>
      <c r="V5" s="3">
        <v>6</v>
      </c>
      <c r="W5">
        <f t="array" ref="W5">INDEX($C$28:$V$47,V5,V6)</f>
        <v>142</v>
      </c>
      <c r="Y5" s="4">
        <v>3</v>
      </c>
      <c r="Z5">
        <v>45</v>
      </c>
      <c r="AA5" s="3">
        <v>15</v>
      </c>
      <c r="AB5">
        <v>32</v>
      </c>
      <c r="AC5" s="3">
        <v>15</v>
      </c>
      <c r="AD5">
        <v>32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9" x14ac:dyDescent="0.25">
      <c r="A6">
        <v>3</v>
      </c>
      <c r="B6" s="1" t="s">
        <v>2</v>
      </c>
      <c r="C6" t="s">
        <v>42</v>
      </c>
      <c r="D6" s="3">
        <v>3</v>
      </c>
      <c r="E6">
        <f t="array" ref="E6">INDEX($C$28:$V$47,D6,D7)</f>
        <v>45</v>
      </c>
      <c r="F6">
        <f t="shared" si="2"/>
        <v>180</v>
      </c>
      <c r="G6" s="2">
        <f t="shared" si="0"/>
        <v>514.34999999999991</v>
      </c>
      <c r="H6">
        <v>100</v>
      </c>
      <c r="I6">
        <v>80</v>
      </c>
      <c r="J6" s="2">
        <f t="shared" si="1"/>
        <v>334.34999999999997</v>
      </c>
      <c r="R6" s="3">
        <v>2</v>
      </c>
      <c r="S6">
        <v>263</v>
      </c>
      <c r="T6" s="3">
        <v>8</v>
      </c>
      <c r="U6" s="7">
        <v>89</v>
      </c>
      <c r="V6" s="3">
        <v>3</v>
      </c>
      <c r="W6">
        <f t="array" ref="W6">INDEX($C$28:$V$47,V6,V7)</f>
        <v>32</v>
      </c>
      <c r="Y6" s="4">
        <v>4</v>
      </c>
      <c r="Z6">
        <v>172</v>
      </c>
      <c r="AA6" s="3">
        <v>3</v>
      </c>
      <c r="AB6">
        <v>142</v>
      </c>
      <c r="AC6" s="3">
        <v>3</v>
      </c>
      <c r="AD6">
        <v>142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9" x14ac:dyDescent="0.25">
      <c r="A7">
        <v>4</v>
      </c>
      <c r="B7" s="1" t="s">
        <v>3</v>
      </c>
      <c r="C7" t="s">
        <v>43</v>
      </c>
      <c r="D7" s="3">
        <v>4</v>
      </c>
      <c r="E7">
        <f t="array" ref="E7">INDEX($C$28:$V$47,D7,D8)</f>
        <v>172</v>
      </c>
      <c r="F7">
        <f t="shared" si="2"/>
        <v>170</v>
      </c>
      <c r="G7" s="2">
        <f t="shared" si="0"/>
        <v>1447.96</v>
      </c>
      <c r="H7">
        <v>90</v>
      </c>
      <c r="I7">
        <v>80</v>
      </c>
      <c r="J7" s="2">
        <f t="shared" si="1"/>
        <v>1277.96</v>
      </c>
      <c r="R7" s="3">
        <v>3</v>
      </c>
      <c r="S7">
        <v>45</v>
      </c>
      <c r="T7" s="3">
        <v>11</v>
      </c>
      <c r="U7" s="7">
        <v>50</v>
      </c>
      <c r="V7" s="3">
        <v>15</v>
      </c>
      <c r="W7">
        <f t="array" ref="W7">INDEX($C$28:$V$47,V7,V8)</f>
        <v>53</v>
      </c>
      <c r="Y7" s="4">
        <v>5</v>
      </c>
      <c r="Z7">
        <v>288</v>
      </c>
      <c r="AA7" s="3">
        <v>6</v>
      </c>
      <c r="AB7">
        <v>254</v>
      </c>
      <c r="AC7" s="3">
        <v>6</v>
      </c>
      <c r="AD7">
        <v>254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9" x14ac:dyDescent="0.25">
      <c r="A8">
        <v>5</v>
      </c>
      <c r="B8" s="1" t="s">
        <v>4</v>
      </c>
      <c r="C8" t="s">
        <v>44</v>
      </c>
      <c r="D8" s="3">
        <v>5</v>
      </c>
      <c r="E8">
        <f t="array" ref="E8">INDEX($C$28:$V$47,D8,D9)</f>
        <v>288</v>
      </c>
      <c r="F8">
        <f t="shared" si="2"/>
        <v>130</v>
      </c>
      <c r="G8" s="2">
        <f t="shared" si="0"/>
        <v>2269.84</v>
      </c>
      <c r="H8">
        <v>50</v>
      </c>
      <c r="I8">
        <v>80</v>
      </c>
      <c r="J8" s="2">
        <f t="shared" si="1"/>
        <v>2139.84</v>
      </c>
      <c r="O8" t="s">
        <v>48</v>
      </c>
      <c r="R8" s="3">
        <v>4</v>
      </c>
      <c r="S8">
        <v>172</v>
      </c>
      <c r="T8" s="3">
        <v>1</v>
      </c>
      <c r="U8" s="7">
        <v>80</v>
      </c>
      <c r="V8" s="3">
        <v>4</v>
      </c>
      <c r="W8">
        <f t="array" ref="W8">INDEX($C$28:$V$47,V8,V9)</f>
        <v>93</v>
      </c>
      <c r="Y8" s="4">
        <v>6</v>
      </c>
      <c r="Z8">
        <v>421</v>
      </c>
      <c r="AA8" s="3">
        <v>19</v>
      </c>
      <c r="AB8">
        <v>71</v>
      </c>
      <c r="AC8" s="3">
        <v>19</v>
      </c>
      <c r="AD8">
        <v>71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9" x14ac:dyDescent="0.25">
      <c r="A9">
        <v>6</v>
      </c>
      <c r="B9" s="1" t="s">
        <v>5</v>
      </c>
      <c r="C9" t="s">
        <v>45</v>
      </c>
      <c r="D9" s="3">
        <v>6</v>
      </c>
      <c r="E9">
        <f t="array" ref="E9">INDEX($C$28:$V$47,D9,D10)</f>
        <v>421</v>
      </c>
      <c r="F9">
        <f t="shared" si="2"/>
        <v>310</v>
      </c>
      <c r="G9" s="2">
        <f t="shared" si="0"/>
        <v>3438.0299999999997</v>
      </c>
      <c r="H9" s="9">
        <v>150</v>
      </c>
      <c r="I9">
        <v>160</v>
      </c>
      <c r="J9" s="2">
        <f t="shared" si="1"/>
        <v>3128.0299999999997</v>
      </c>
      <c r="O9" s="12" t="s">
        <v>50</v>
      </c>
      <c r="R9" s="3">
        <v>5</v>
      </c>
      <c r="S9">
        <v>288</v>
      </c>
      <c r="T9" s="3">
        <v>5</v>
      </c>
      <c r="U9" s="7">
        <v>97</v>
      </c>
      <c r="V9" s="3">
        <v>1</v>
      </c>
      <c r="W9">
        <f t="array" ref="W9">INDEX($C$28:$V$47,V9,V10)</f>
        <v>50</v>
      </c>
      <c r="Y9" s="4">
        <v>7</v>
      </c>
      <c r="Z9">
        <v>135</v>
      </c>
      <c r="AA9" s="3">
        <v>20</v>
      </c>
      <c r="AB9">
        <v>111</v>
      </c>
      <c r="AC9" s="3">
        <v>20</v>
      </c>
      <c r="AD9">
        <v>111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9" x14ac:dyDescent="0.25">
      <c r="A10">
        <v>7</v>
      </c>
      <c r="B10" s="1" t="s">
        <v>6</v>
      </c>
      <c r="C10" t="s">
        <v>40</v>
      </c>
      <c r="D10" s="3">
        <v>7</v>
      </c>
      <c r="E10">
        <f t="array" ref="E10">INDEX($C$28:$V$47,D10,D11)</f>
        <v>135</v>
      </c>
      <c r="F10">
        <f t="shared" si="2"/>
        <v>200</v>
      </c>
      <c r="G10" s="2">
        <f t="shared" si="0"/>
        <v>1203.05</v>
      </c>
      <c r="H10">
        <v>120</v>
      </c>
      <c r="I10">
        <v>80</v>
      </c>
      <c r="J10" s="2">
        <f t="shared" si="1"/>
        <v>1003.05</v>
      </c>
      <c r="R10" s="3">
        <v>6</v>
      </c>
      <c r="S10">
        <v>421</v>
      </c>
      <c r="T10" s="3">
        <v>18</v>
      </c>
      <c r="U10" s="7">
        <v>98</v>
      </c>
      <c r="V10" s="3">
        <v>11</v>
      </c>
      <c r="W10">
        <f t="array" ref="W10">INDEX($C$28:$V$47,V10,V11)</f>
        <v>89</v>
      </c>
      <c r="Y10" s="4">
        <v>8</v>
      </c>
      <c r="Z10">
        <v>305</v>
      </c>
      <c r="AA10" s="3">
        <v>12</v>
      </c>
      <c r="AB10">
        <v>39</v>
      </c>
      <c r="AC10" s="3">
        <v>12</v>
      </c>
      <c r="AD10">
        <v>39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9" x14ac:dyDescent="0.25">
      <c r="A11">
        <v>8</v>
      </c>
      <c r="B11" s="1" t="s">
        <v>7</v>
      </c>
      <c r="C11" t="s">
        <v>41</v>
      </c>
      <c r="D11" s="3">
        <v>8</v>
      </c>
      <c r="E11">
        <f t="array" ref="E11">INDEX($C$28:$V$47,D11,D12)</f>
        <v>305</v>
      </c>
      <c r="F11">
        <f t="shared" si="2"/>
        <v>190</v>
      </c>
      <c r="G11" s="2">
        <f t="shared" si="0"/>
        <v>2456.15</v>
      </c>
      <c r="H11">
        <v>110</v>
      </c>
      <c r="I11">
        <v>80</v>
      </c>
      <c r="J11" s="2">
        <f t="shared" si="1"/>
        <v>2266.15</v>
      </c>
      <c r="R11" s="3">
        <v>7</v>
      </c>
      <c r="S11">
        <v>135</v>
      </c>
      <c r="T11" s="3">
        <v>14</v>
      </c>
      <c r="U11" s="7">
        <v>48</v>
      </c>
      <c r="V11" s="3">
        <v>8</v>
      </c>
      <c r="W11">
        <f t="array" ref="W11">INDEX($C$28:$V$47,V11,V12)</f>
        <v>135</v>
      </c>
      <c r="Y11" s="4">
        <v>9</v>
      </c>
      <c r="Z11">
        <v>189</v>
      </c>
      <c r="AA11" s="3">
        <v>9</v>
      </c>
      <c r="AB11">
        <v>38</v>
      </c>
      <c r="AC11" s="3">
        <v>9</v>
      </c>
      <c r="AD11">
        <v>38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9" x14ac:dyDescent="0.25">
      <c r="A12">
        <v>9</v>
      </c>
      <c r="B12" s="1" t="s">
        <v>8</v>
      </c>
      <c r="C12" t="s">
        <v>42</v>
      </c>
      <c r="D12" s="3">
        <v>9</v>
      </c>
      <c r="E12">
        <f t="array" ref="E12">INDEX($C$28:$V$47,D12,D13)</f>
        <v>189</v>
      </c>
      <c r="F12">
        <f t="shared" si="2"/>
        <v>180</v>
      </c>
      <c r="G12" s="2">
        <f t="shared" si="0"/>
        <v>1584.27</v>
      </c>
      <c r="H12">
        <v>100</v>
      </c>
      <c r="I12">
        <v>80</v>
      </c>
      <c r="J12" s="2">
        <f t="shared" si="1"/>
        <v>1404.27</v>
      </c>
      <c r="R12" s="3">
        <v>8</v>
      </c>
      <c r="S12">
        <v>305</v>
      </c>
      <c r="T12" s="3">
        <v>13</v>
      </c>
      <c r="U12" s="7">
        <v>38</v>
      </c>
      <c r="V12" s="3">
        <v>7</v>
      </c>
      <c r="W12">
        <f t="array" ref="W12">INDEX($C$28:$V$47,V12,V13)</f>
        <v>257</v>
      </c>
      <c r="Y12" s="4">
        <v>10</v>
      </c>
      <c r="Z12">
        <v>350</v>
      </c>
      <c r="AA12" s="3">
        <v>13</v>
      </c>
      <c r="AB12">
        <v>48</v>
      </c>
      <c r="AC12" s="3">
        <v>13</v>
      </c>
      <c r="AD12">
        <v>48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9" x14ac:dyDescent="0.25">
      <c r="A13">
        <v>10</v>
      </c>
      <c r="B13" s="1" t="s">
        <v>9</v>
      </c>
      <c r="C13" t="s">
        <v>43</v>
      </c>
      <c r="D13" s="3">
        <v>10</v>
      </c>
      <c r="E13">
        <f t="array" ref="E13">INDEX($C$28:$V$47,D13,D14)</f>
        <v>350</v>
      </c>
      <c r="F13">
        <f t="shared" si="2"/>
        <v>170</v>
      </c>
      <c r="G13" s="2">
        <f t="shared" si="0"/>
        <v>2770.5</v>
      </c>
      <c r="H13">
        <v>90</v>
      </c>
      <c r="I13">
        <v>80</v>
      </c>
      <c r="J13" s="2">
        <f t="shared" si="1"/>
        <v>2600.5</v>
      </c>
      <c r="L13" s="10" t="s">
        <v>51</v>
      </c>
      <c r="M13" s="10"/>
      <c r="N13" s="10"/>
      <c r="R13" s="3">
        <v>9</v>
      </c>
      <c r="S13">
        <v>189</v>
      </c>
      <c r="T13" s="3">
        <v>9</v>
      </c>
      <c r="U13" s="7">
        <v>39</v>
      </c>
      <c r="V13" s="3">
        <v>16</v>
      </c>
      <c r="W13">
        <f t="array" ref="W13">INDEX($C$28:$V$47,V13,V14)</f>
        <v>38</v>
      </c>
      <c r="Y13" s="4">
        <v>11</v>
      </c>
      <c r="Z13">
        <v>255</v>
      </c>
      <c r="AA13" s="3">
        <v>14</v>
      </c>
      <c r="AB13">
        <v>89</v>
      </c>
      <c r="AC13" s="3">
        <v>14</v>
      </c>
      <c r="AD13">
        <v>89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9" x14ac:dyDescent="0.25">
      <c r="A14">
        <v>11</v>
      </c>
      <c r="B14" s="1" t="s">
        <v>10</v>
      </c>
      <c r="C14" t="s">
        <v>44</v>
      </c>
      <c r="D14" s="3">
        <v>11</v>
      </c>
      <c r="E14">
        <f t="array" ref="E14">INDEX($C$28:$V$47,D14,D15)</f>
        <v>255</v>
      </c>
      <c r="F14">
        <f t="shared" si="2"/>
        <v>130</v>
      </c>
      <c r="G14" s="2">
        <f t="shared" si="0"/>
        <v>2024.6499999999999</v>
      </c>
      <c r="H14">
        <v>50</v>
      </c>
      <c r="I14">
        <v>80</v>
      </c>
      <c r="J14" s="2">
        <f t="shared" si="1"/>
        <v>1894.6499999999999</v>
      </c>
      <c r="L14" s="10">
        <v>1</v>
      </c>
      <c r="M14" s="10">
        <v>2</v>
      </c>
      <c r="N14" s="10">
        <v>3</v>
      </c>
      <c r="R14" s="3">
        <v>10</v>
      </c>
      <c r="S14">
        <v>153</v>
      </c>
      <c r="T14" s="3">
        <v>12</v>
      </c>
      <c r="U14" s="7">
        <v>153</v>
      </c>
      <c r="V14" s="3">
        <v>17</v>
      </c>
      <c r="W14">
        <f t="array" ref="W14">INDEX($C$28:$V$47,V14,V15)</f>
        <v>268</v>
      </c>
      <c r="Y14" s="4">
        <v>12</v>
      </c>
      <c r="Z14">
        <v>77</v>
      </c>
      <c r="AA14" s="3">
        <v>5</v>
      </c>
      <c r="AB14">
        <v>97</v>
      </c>
      <c r="AC14" s="3">
        <v>5</v>
      </c>
      <c r="AD14">
        <v>97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9" x14ac:dyDescent="0.25">
      <c r="A15">
        <v>12</v>
      </c>
      <c r="B15" s="1" t="s">
        <v>11</v>
      </c>
      <c r="C15" t="s">
        <v>45</v>
      </c>
      <c r="D15" s="3">
        <v>12</v>
      </c>
      <c r="E15">
        <f t="array" ref="E15">INDEX($C$28:$V$47,D15,D16)</f>
        <v>77</v>
      </c>
      <c r="F15">
        <f t="shared" si="2"/>
        <v>310</v>
      </c>
      <c r="G15" s="2">
        <f t="shared" si="0"/>
        <v>882.11</v>
      </c>
      <c r="H15" s="9">
        <v>150</v>
      </c>
      <c r="I15">
        <v>160</v>
      </c>
      <c r="J15" s="2">
        <f t="shared" si="1"/>
        <v>572.11</v>
      </c>
      <c r="L15" t="s">
        <v>52</v>
      </c>
      <c r="M15" t="s">
        <v>54</v>
      </c>
      <c r="N15" t="s">
        <v>58</v>
      </c>
      <c r="R15" s="3">
        <v>12</v>
      </c>
      <c r="S15">
        <v>77</v>
      </c>
      <c r="T15" s="3">
        <v>10</v>
      </c>
      <c r="U15" s="7">
        <v>36</v>
      </c>
      <c r="V15" s="3">
        <v>18</v>
      </c>
      <c r="W15">
        <f t="array" ref="W15">INDEX($C$28:$V$47,V15,V16)</f>
        <v>97</v>
      </c>
      <c r="Y15" s="4">
        <v>13</v>
      </c>
      <c r="Z15">
        <v>48</v>
      </c>
      <c r="AA15" s="3">
        <v>18</v>
      </c>
      <c r="AB15">
        <v>180</v>
      </c>
      <c r="AC15" s="3">
        <v>18</v>
      </c>
      <c r="AD15">
        <v>180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9" x14ac:dyDescent="0.25">
      <c r="A16">
        <v>13</v>
      </c>
      <c r="B16" s="1" t="s">
        <v>12</v>
      </c>
      <c r="C16" t="s">
        <v>40</v>
      </c>
      <c r="D16" s="3">
        <v>13</v>
      </c>
      <c r="E16">
        <f t="array" ref="E16">INDEX($C$28:$V$47,D16,D17)</f>
        <v>48</v>
      </c>
      <c r="F16">
        <f t="shared" si="2"/>
        <v>200</v>
      </c>
      <c r="G16" s="2">
        <f t="shared" si="0"/>
        <v>556.64</v>
      </c>
      <c r="H16">
        <v>120</v>
      </c>
      <c r="I16">
        <v>80</v>
      </c>
      <c r="J16" s="2">
        <f t="shared" si="1"/>
        <v>356.64</v>
      </c>
      <c r="L16" t="s">
        <v>53</v>
      </c>
      <c r="M16" t="s">
        <v>55</v>
      </c>
      <c r="N16" t="s">
        <v>59</v>
      </c>
      <c r="R16" s="3">
        <v>13</v>
      </c>
      <c r="S16">
        <v>180</v>
      </c>
      <c r="T16" s="3">
        <v>2</v>
      </c>
      <c r="U16" s="7">
        <v>186</v>
      </c>
      <c r="V16" s="3">
        <v>5</v>
      </c>
      <c r="W16">
        <f t="array" ref="W16">INDEX($C$28:$V$47,V16,V17)</f>
        <v>89</v>
      </c>
      <c r="Y16" s="4">
        <v>14</v>
      </c>
      <c r="Z16">
        <v>101</v>
      </c>
      <c r="AA16" s="3">
        <v>2</v>
      </c>
      <c r="AB16">
        <v>36</v>
      </c>
      <c r="AC16" s="3">
        <v>2</v>
      </c>
      <c r="AD16">
        <v>36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A17">
        <v>14</v>
      </c>
      <c r="B17" s="1" t="s">
        <v>13</v>
      </c>
      <c r="C17" t="s">
        <v>41</v>
      </c>
      <c r="D17" s="3">
        <v>14</v>
      </c>
      <c r="E17">
        <f t="array" ref="E17">INDEX($C$28:$V$47,D17,D18)</f>
        <v>101</v>
      </c>
      <c r="F17">
        <f t="shared" si="2"/>
        <v>190</v>
      </c>
      <c r="G17" s="2">
        <f t="shared" si="0"/>
        <v>940.43</v>
      </c>
      <c r="H17">
        <v>110</v>
      </c>
      <c r="I17">
        <v>80</v>
      </c>
      <c r="J17" s="2">
        <f t="shared" si="1"/>
        <v>750.43</v>
      </c>
      <c r="R17" s="3">
        <v>11</v>
      </c>
      <c r="S17">
        <v>147</v>
      </c>
      <c r="T17" s="3">
        <v>4</v>
      </c>
      <c r="U17" s="7">
        <v>53</v>
      </c>
      <c r="V17" s="3">
        <v>14</v>
      </c>
      <c r="W17">
        <f t="array" ref="W17">INDEX($C$28:$V$47,V17,V18)</f>
        <v>48</v>
      </c>
      <c r="Y17" s="4">
        <v>15</v>
      </c>
      <c r="Z17">
        <v>406</v>
      </c>
      <c r="AA17" s="3">
        <v>10</v>
      </c>
      <c r="AB17">
        <v>367</v>
      </c>
      <c r="AC17" s="3">
        <v>10</v>
      </c>
      <c r="AD17">
        <v>367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A18">
        <v>15</v>
      </c>
      <c r="B18" s="1" t="s">
        <v>14</v>
      </c>
      <c r="C18" t="s">
        <v>42</v>
      </c>
      <c r="D18" s="3">
        <v>15</v>
      </c>
      <c r="E18">
        <f t="array" ref="E18">INDEX($C$28:$V$47,D18,D19)</f>
        <v>406</v>
      </c>
      <c r="F18">
        <f t="shared" si="2"/>
        <v>180</v>
      </c>
      <c r="G18" s="2">
        <f t="shared" si="0"/>
        <v>3196.58</v>
      </c>
      <c r="H18">
        <v>100</v>
      </c>
      <c r="I18">
        <v>80</v>
      </c>
      <c r="J18" s="2">
        <f t="shared" si="1"/>
        <v>3016.58</v>
      </c>
      <c r="R18" s="3">
        <v>14</v>
      </c>
      <c r="S18">
        <v>98</v>
      </c>
      <c r="T18" s="3">
        <v>15</v>
      </c>
      <c r="U18" s="7">
        <v>32</v>
      </c>
      <c r="V18" s="3">
        <v>13</v>
      </c>
      <c r="W18">
        <f t="array" ref="W18">INDEX($C$28:$V$47,V18,V19)</f>
        <v>38</v>
      </c>
      <c r="Y18" s="4">
        <v>16</v>
      </c>
      <c r="Z18">
        <v>38</v>
      </c>
      <c r="AA18" s="3">
        <v>17</v>
      </c>
      <c r="AB18">
        <v>38</v>
      </c>
      <c r="AC18" s="3">
        <v>17</v>
      </c>
      <c r="AD18">
        <v>38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A19">
        <v>16</v>
      </c>
      <c r="B19" s="1" t="s">
        <v>15</v>
      </c>
      <c r="C19" t="s">
        <v>43</v>
      </c>
      <c r="D19" s="3">
        <v>16</v>
      </c>
      <c r="E19">
        <f t="array" ref="E19">INDEX($C$28:$V$47,D19,D20)</f>
        <v>38</v>
      </c>
      <c r="F19">
        <f t="shared" si="2"/>
        <v>170</v>
      </c>
      <c r="G19" s="2">
        <f t="shared" si="0"/>
        <v>452.34</v>
      </c>
      <c r="H19">
        <v>90</v>
      </c>
      <c r="I19">
        <v>80</v>
      </c>
      <c r="J19" s="2">
        <f t="shared" si="1"/>
        <v>282.33999999999997</v>
      </c>
      <c r="R19" s="3">
        <v>18</v>
      </c>
      <c r="S19">
        <v>226</v>
      </c>
      <c r="T19" s="3">
        <v>3</v>
      </c>
      <c r="U19" s="7">
        <v>142</v>
      </c>
      <c r="V19" s="3">
        <v>9</v>
      </c>
      <c r="W19">
        <f t="array" ref="W19">INDEX($C$28:$V$47,V19,V20)</f>
        <v>39</v>
      </c>
      <c r="Y19" s="4">
        <v>17</v>
      </c>
      <c r="Z19">
        <v>268</v>
      </c>
      <c r="AA19" s="3">
        <v>16</v>
      </c>
      <c r="AB19">
        <v>257</v>
      </c>
      <c r="AC19" s="3">
        <v>16</v>
      </c>
      <c r="AD19">
        <v>257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x14ac:dyDescent="0.25">
      <c r="A20">
        <v>17</v>
      </c>
      <c r="B20" s="1" t="s">
        <v>16</v>
      </c>
      <c r="C20" t="s">
        <v>44</v>
      </c>
      <c r="D20" s="3">
        <v>17</v>
      </c>
      <c r="E20">
        <f t="array" ref="E20">INDEX($C$28:$V$47,D20,D21)</f>
        <v>268</v>
      </c>
      <c r="F20">
        <f t="shared" si="2"/>
        <v>130</v>
      </c>
      <c r="G20" s="2">
        <f t="shared" si="0"/>
        <v>2121.2399999999998</v>
      </c>
      <c r="H20">
        <v>50</v>
      </c>
      <c r="I20">
        <v>80</v>
      </c>
      <c r="J20" s="2">
        <f t="shared" si="1"/>
        <v>1991.24</v>
      </c>
      <c r="R20" s="3">
        <v>16</v>
      </c>
      <c r="S20">
        <v>38</v>
      </c>
      <c r="T20" s="3">
        <v>6</v>
      </c>
      <c r="U20" s="7">
        <v>198</v>
      </c>
      <c r="V20" s="3">
        <v>12</v>
      </c>
      <c r="W20">
        <f t="array" ref="W20">INDEX($C$28:$V$47,V20,V21)</f>
        <v>153</v>
      </c>
      <c r="Y20" s="4">
        <v>18</v>
      </c>
      <c r="Z20">
        <v>445</v>
      </c>
      <c r="AA20" s="3">
        <v>7</v>
      </c>
      <c r="AB20">
        <v>135</v>
      </c>
      <c r="AC20" s="3">
        <v>7</v>
      </c>
      <c r="AD20">
        <v>135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x14ac:dyDescent="0.25">
      <c r="A21">
        <v>18</v>
      </c>
      <c r="B21" s="1" t="s">
        <v>17</v>
      </c>
      <c r="C21" t="s">
        <v>45</v>
      </c>
      <c r="D21" s="3">
        <v>18</v>
      </c>
      <c r="E21">
        <f t="array" ref="E21">INDEX($C$28:$V$47,D21,D22)</f>
        <v>445</v>
      </c>
      <c r="F21">
        <f t="shared" si="2"/>
        <v>310</v>
      </c>
      <c r="G21" s="2">
        <f t="shared" si="0"/>
        <v>3616.35</v>
      </c>
      <c r="H21" s="9">
        <v>150</v>
      </c>
      <c r="I21">
        <v>160</v>
      </c>
      <c r="J21" s="2">
        <f t="shared" si="1"/>
        <v>3306.35</v>
      </c>
      <c r="R21" s="3">
        <v>17</v>
      </c>
      <c r="S21">
        <v>440</v>
      </c>
      <c r="T21" s="3">
        <v>20</v>
      </c>
      <c r="U21" s="7">
        <v>71</v>
      </c>
      <c r="V21" s="3">
        <v>10</v>
      </c>
      <c r="W21">
        <f t="array" ref="W21">INDEX($C$28:$V$47,V21,V22)</f>
        <v>36</v>
      </c>
      <c r="Y21" s="4">
        <v>19</v>
      </c>
      <c r="Z21">
        <v>71</v>
      </c>
      <c r="AA21" s="3">
        <v>8</v>
      </c>
      <c r="AB21">
        <v>89</v>
      </c>
      <c r="AC21" s="3">
        <v>8</v>
      </c>
      <c r="AD21">
        <v>89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>
        <v>19</v>
      </c>
      <c r="B22" s="1" t="s">
        <v>18</v>
      </c>
      <c r="C22" t="s">
        <v>40</v>
      </c>
      <c r="D22" s="3">
        <v>19</v>
      </c>
      <c r="E22">
        <f t="array" ref="E22">INDEX($C$28:$V$47,D22,D23)</f>
        <v>71</v>
      </c>
      <c r="F22">
        <f t="shared" si="2"/>
        <v>200</v>
      </c>
      <c r="G22" s="2">
        <f t="shared" si="0"/>
        <v>727.53</v>
      </c>
      <c r="H22">
        <v>120</v>
      </c>
      <c r="I22">
        <v>80</v>
      </c>
      <c r="J22" s="2">
        <f t="shared" si="1"/>
        <v>527.53</v>
      </c>
      <c r="R22" s="3">
        <v>15</v>
      </c>
      <c r="T22" s="3">
        <v>19</v>
      </c>
      <c r="U22" s="7"/>
      <c r="V22" s="3">
        <v>2</v>
      </c>
      <c r="Y22" s="4">
        <v>20</v>
      </c>
      <c r="Z22">
        <v>262</v>
      </c>
      <c r="AA22" s="3">
        <v>11</v>
      </c>
      <c r="AB22">
        <v>50</v>
      </c>
      <c r="AC22" s="3">
        <v>11</v>
      </c>
      <c r="AD22">
        <v>50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A23">
        <v>20</v>
      </c>
      <c r="B23" s="1" t="s">
        <v>19</v>
      </c>
      <c r="C23" t="s">
        <v>41</v>
      </c>
      <c r="D23" s="3">
        <v>20</v>
      </c>
      <c r="R23" s="6"/>
      <c r="S23" s="6">
        <f>SUM(S3:S22)</f>
        <v>3905</v>
      </c>
      <c r="T23" s="6"/>
      <c r="U23" s="6">
        <f>SUM(U3:U22)</f>
        <v>1840</v>
      </c>
      <c r="W23" s="6">
        <f>SUM(W3:W22)</f>
        <v>1926</v>
      </c>
      <c r="Y23" s="4">
        <v>1</v>
      </c>
      <c r="Z23" s="6">
        <f>SUM(Z3:Z22)</f>
        <v>4463</v>
      </c>
      <c r="AA23" s="3">
        <v>1</v>
      </c>
      <c r="AB23" s="6">
        <f>SUM(AB3:AB22)</f>
        <v>2219</v>
      </c>
      <c r="AC23" s="3">
        <v>1</v>
      </c>
      <c r="AD23" s="6">
        <f>SUM(AD3:AD22)</f>
        <v>2219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</row>
    <row r="26" spans="1:91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</row>
    <row r="27" spans="1:91" x14ac:dyDescent="0.25"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15</v>
      </c>
      <c r="S27" s="1" t="s">
        <v>16</v>
      </c>
      <c r="T27" s="1" t="s">
        <v>17</v>
      </c>
      <c r="U27" s="1" t="s">
        <v>18</v>
      </c>
      <c r="V27" s="1" t="s">
        <v>19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91" x14ac:dyDescent="0.25">
      <c r="B28" s="1" t="s">
        <v>0</v>
      </c>
      <c r="C28" s="2">
        <v>0</v>
      </c>
      <c r="D28" s="2">
        <v>324</v>
      </c>
      <c r="E28" s="2">
        <v>91</v>
      </c>
      <c r="F28" s="2">
        <v>93</v>
      </c>
      <c r="G28" s="2">
        <v>80</v>
      </c>
      <c r="H28" s="2">
        <v>230</v>
      </c>
      <c r="I28" s="2">
        <v>214</v>
      </c>
      <c r="J28" s="2">
        <v>136</v>
      </c>
      <c r="K28" s="2">
        <v>177</v>
      </c>
      <c r="L28" s="2">
        <v>360</v>
      </c>
      <c r="M28" s="2">
        <v>50</v>
      </c>
      <c r="N28" s="2">
        <v>216</v>
      </c>
      <c r="O28" s="2">
        <v>174</v>
      </c>
      <c r="P28" s="2">
        <v>148</v>
      </c>
      <c r="Q28" s="2">
        <v>100</v>
      </c>
      <c r="R28" s="2">
        <v>375</v>
      </c>
      <c r="S28" s="2">
        <v>409</v>
      </c>
      <c r="T28" s="2">
        <v>218</v>
      </c>
      <c r="U28" s="2">
        <v>333</v>
      </c>
      <c r="V28" s="2">
        <v>262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91" x14ac:dyDescent="0.25">
      <c r="B29" s="1" t="s">
        <v>1</v>
      </c>
      <c r="C29" s="2">
        <v>324</v>
      </c>
      <c r="D29" s="2">
        <v>0</v>
      </c>
      <c r="E29" s="2">
        <v>263</v>
      </c>
      <c r="F29" s="2">
        <v>186</v>
      </c>
      <c r="G29" s="2">
        <v>266</v>
      </c>
      <c r="H29" s="2">
        <v>403</v>
      </c>
      <c r="I29" s="2">
        <v>427</v>
      </c>
      <c r="J29" s="2">
        <v>413</v>
      </c>
      <c r="K29" s="2">
        <v>214</v>
      </c>
      <c r="L29" s="2">
        <v>36</v>
      </c>
      <c r="M29" s="2">
        <v>314</v>
      </c>
      <c r="N29" s="2">
        <v>178</v>
      </c>
      <c r="O29" s="2">
        <v>196</v>
      </c>
      <c r="P29" s="2">
        <v>177</v>
      </c>
      <c r="Q29" s="2">
        <v>265</v>
      </c>
      <c r="R29" s="2">
        <v>336</v>
      </c>
      <c r="S29" s="2">
        <v>342</v>
      </c>
      <c r="T29" s="2">
        <v>180</v>
      </c>
      <c r="U29" s="2">
        <v>312</v>
      </c>
      <c r="V29" s="2">
        <v>239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91" x14ac:dyDescent="0.25">
      <c r="B30" s="1" t="s">
        <v>2</v>
      </c>
      <c r="C30" s="2">
        <v>91</v>
      </c>
      <c r="D30" s="2">
        <v>263</v>
      </c>
      <c r="E30" s="2">
        <v>0</v>
      </c>
      <c r="F30" s="2">
        <v>45</v>
      </c>
      <c r="G30" s="2">
        <v>150</v>
      </c>
      <c r="H30" s="2">
        <v>142</v>
      </c>
      <c r="I30" s="2">
        <v>305</v>
      </c>
      <c r="J30" s="2">
        <v>227</v>
      </c>
      <c r="K30" s="2">
        <v>86</v>
      </c>
      <c r="L30" s="2">
        <v>274</v>
      </c>
      <c r="M30" s="2">
        <v>139</v>
      </c>
      <c r="N30" s="2">
        <v>125</v>
      </c>
      <c r="O30" s="2">
        <v>69</v>
      </c>
      <c r="P30" s="2">
        <v>115</v>
      </c>
      <c r="Q30" s="2">
        <v>32</v>
      </c>
      <c r="R30" s="2">
        <v>437</v>
      </c>
      <c r="S30" s="2">
        <v>472</v>
      </c>
      <c r="T30" s="2">
        <v>203</v>
      </c>
      <c r="U30" s="2">
        <v>244</v>
      </c>
      <c r="V30" s="2">
        <v>174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91" x14ac:dyDescent="0.25">
      <c r="B31" s="1" t="s">
        <v>3</v>
      </c>
      <c r="C31" s="2">
        <v>93</v>
      </c>
      <c r="D31" s="2">
        <v>186</v>
      </c>
      <c r="E31" s="2">
        <v>45</v>
      </c>
      <c r="F31" s="2">
        <v>0</v>
      </c>
      <c r="G31" s="2">
        <v>172</v>
      </c>
      <c r="H31" s="2">
        <v>159</v>
      </c>
      <c r="I31" s="2">
        <v>307</v>
      </c>
      <c r="J31" s="2">
        <v>208</v>
      </c>
      <c r="K31" s="2">
        <v>130</v>
      </c>
      <c r="L31" s="2">
        <v>319</v>
      </c>
      <c r="M31" s="2">
        <v>141</v>
      </c>
      <c r="N31" s="2">
        <v>196</v>
      </c>
      <c r="O31" s="2">
        <v>114</v>
      </c>
      <c r="P31" s="2">
        <v>154</v>
      </c>
      <c r="Q31" s="2">
        <v>53</v>
      </c>
      <c r="R31" s="2">
        <v>460</v>
      </c>
      <c r="S31" s="2">
        <v>494</v>
      </c>
      <c r="T31" s="2">
        <v>225</v>
      </c>
      <c r="U31" s="2">
        <v>261</v>
      </c>
      <c r="V31" s="2">
        <v>191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1:91" x14ac:dyDescent="0.25">
      <c r="B32" s="1" t="s">
        <v>4</v>
      </c>
      <c r="C32" s="2">
        <v>80</v>
      </c>
      <c r="D32" s="2">
        <v>266</v>
      </c>
      <c r="E32" s="2">
        <v>150</v>
      </c>
      <c r="F32" s="2">
        <v>172</v>
      </c>
      <c r="G32" s="2">
        <v>0</v>
      </c>
      <c r="H32" s="2">
        <v>288</v>
      </c>
      <c r="I32" s="2">
        <v>173</v>
      </c>
      <c r="J32" s="2">
        <v>150</v>
      </c>
      <c r="K32" s="2">
        <v>157</v>
      </c>
      <c r="L32" s="2">
        <v>301</v>
      </c>
      <c r="M32" s="2">
        <v>61</v>
      </c>
      <c r="N32" s="2">
        <v>197</v>
      </c>
      <c r="O32" s="2">
        <v>122</v>
      </c>
      <c r="P32" s="2">
        <v>89</v>
      </c>
      <c r="Q32" s="2">
        <v>118</v>
      </c>
      <c r="R32" s="2">
        <v>322</v>
      </c>
      <c r="S32" s="2">
        <v>356</v>
      </c>
      <c r="T32" s="2">
        <v>97</v>
      </c>
      <c r="U32" s="2">
        <v>391</v>
      </c>
      <c r="V32" s="2">
        <v>320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2:87" x14ac:dyDescent="0.25">
      <c r="B33" s="1" t="s">
        <v>5</v>
      </c>
      <c r="C33" s="2">
        <v>230</v>
      </c>
      <c r="D33" s="2">
        <v>403</v>
      </c>
      <c r="E33" s="2">
        <v>142</v>
      </c>
      <c r="F33" s="2">
        <v>159</v>
      </c>
      <c r="G33" s="2">
        <v>288</v>
      </c>
      <c r="H33" s="2">
        <v>0</v>
      </c>
      <c r="I33" s="2">
        <v>421</v>
      </c>
      <c r="J33" s="2">
        <v>287</v>
      </c>
      <c r="K33" s="2">
        <v>225</v>
      </c>
      <c r="L33" s="2">
        <v>355</v>
      </c>
      <c r="M33" s="2">
        <v>279</v>
      </c>
      <c r="N33" s="2">
        <v>203</v>
      </c>
      <c r="O33" s="2">
        <v>209</v>
      </c>
      <c r="P33" s="2">
        <v>255</v>
      </c>
      <c r="Q33" s="2">
        <v>171</v>
      </c>
      <c r="R33" s="2">
        <v>577</v>
      </c>
      <c r="S33" s="2">
        <v>611</v>
      </c>
      <c r="T33" s="2">
        <v>343</v>
      </c>
      <c r="U33" s="2">
        <v>254</v>
      </c>
      <c r="V33" s="2">
        <v>198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2:87" x14ac:dyDescent="0.25">
      <c r="B34" s="1" t="s">
        <v>6</v>
      </c>
      <c r="C34" s="2">
        <v>214</v>
      </c>
      <c r="D34" s="2">
        <v>427</v>
      </c>
      <c r="E34" s="2">
        <v>305</v>
      </c>
      <c r="F34" s="2">
        <v>307</v>
      </c>
      <c r="G34" s="2">
        <v>173</v>
      </c>
      <c r="H34" s="2">
        <v>421</v>
      </c>
      <c r="I34" s="2">
        <v>0</v>
      </c>
      <c r="J34" s="2">
        <v>135</v>
      </c>
      <c r="K34" s="2">
        <v>328</v>
      </c>
      <c r="L34" s="2">
        <v>472</v>
      </c>
      <c r="M34" s="2">
        <v>166</v>
      </c>
      <c r="N34" s="2">
        <v>367</v>
      </c>
      <c r="O34" s="2">
        <v>292</v>
      </c>
      <c r="P34" s="2">
        <v>260</v>
      </c>
      <c r="Q34" s="2">
        <v>288</v>
      </c>
      <c r="R34" s="2">
        <v>257</v>
      </c>
      <c r="S34" s="2">
        <v>305</v>
      </c>
      <c r="T34" s="2">
        <v>281</v>
      </c>
      <c r="U34" s="2">
        <v>547</v>
      </c>
      <c r="V34" s="2">
        <v>476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2:87" x14ac:dyDescent="0.25">
      <c r="B35" s="1" t="s">
        <v>7</v>
      </c>
      <c r="C35" s="2">
        <v>136</v>
      </c>
      <c r="D35" s="2">
        <v>413</v>
      </c>
      <c r="E35" s="2">
        <v>227</v>
      </c>
      <c r="F35" s="2">
        <v>208</v>
      </c>
      <c r="G35" s="2">
        <v>150</v>
      </c>
      <c r="H35" s="2">
        <v>287</v>
      </c>
      <c r="I35" s="2">
        <v>135</v>
      </c>
      <c r="J35" s="2">
        <v>0</v>
      </c>
      <c r="K35" s="2">
        <v>305</v>
      </c>
      <c r="L35" s="2">
        <v>449</v>
      </c>
      <c r="M35" s="2">
        <v>89</v>
      </c>
      <c r="N35" s="2">
        <v>344</v>
      </c>
      <c r="O35" s="2">
        <v>269</v>
      </c>
      <c r="P35" s="2">
        <v>237</v>
      </c>
      <c r="Q35" s="2">
        <v>265</v>
      </c>
      <c r="R35" s="2">
        <v>362</v>
      </c>
      <c r="S35" s="2">
        <v>396</v>
      </c>
      <c r="T35" s="2">
        <v>270</v>
      </c>
      <c r="U35" s="2">
        <v>469</v>
      </c>
      <c r="V35" s="2">
        <v>399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2:87" x14ac:dyDescent="0.25">
      <c r="B36" s="1" t="s">
        <v>8</v>
      </c>
      <c r="C36" s="2">
        <v>177</v>
      </c>
      <c r="D36" s="2">
        <v>214</v>
      </c>
      <c r="E36" s="2">
        <v>86</v>
      </c>
      <c r="F36" s="2">
        <v>130</v>
      </c>
      <c r="G36" s="2">
        <v>157</v>
      </c>
      <c r="H36" s="2">
        <v>225</v>
      </c>
      <c r="I36" s="2">
        <v>328</v>
      </c>
      <c r="J36" s="2">
        <v>305</v>
      </c>
      <c r="K36" s="2">
        <v>0</v>
      </c>
      <c r="L36" s="2">
        <v>189</v>
      </c>
      <c r="M36" s="2">
        <v>215</v>
      </c>
      <c r="N36" s="2">
        <v>39</v>
      </c>
      <c r="O36" s="2">
        <v>38</v>
      </c>
      <c r="P36" s="2">
        <v>84</v>
      </c>
      <c r="Q36" s="2">
        <v>107</v>
      </c>
      <c r="R36" s="2">
        <v>447</v>
      </c>
      <c r="S36" s="2">
        <v>452</v>
      </c>
      <c r="T36" s="2">
        <v>211</v>
      </c>
      <c r="U36" s="2">
        <v>221</v>
      </c>
      <c r="V36" s="2">
        <v>150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2:87" x14ac:dyDescent="0.25">
      <c r="B37" s="1" t="s">
        <v>9</v>
      </c>
      <c r="C37" s="2">
        <v>360</v>
      </c>
      <c r="D37" s="2">
        <v>36</v>
      </c>
      <c r="E37" s="2">
        <v>274</v>
      </c>
      <c r="F37" s="2">
        <v>319</v>
      </c>
      <c r="G37" s="2">
        <v>301</v>
      </c>
      <c r="H37" s="2">
        <v>355</v>
      </c>
      <c r="I37" s="2">
        <v>472</v>
      </c>
      <c r="J37" s="2">
        <v>449</v>
      </c>
      <c r="K37" s="2">
        <v>189</v>
      </c>
      <c r="L37" s="2">
        <v>0</v>
      </c>
      <c r="M37" s="2">
        <v>350</v>
      </c>
      <c r="N37" s="2">
        <v>153</v>
      </c>
      <c r="O37" s="2">
        <v>232</v>
      </c>
      <c r="P37" s="2">
        <v>213</v>
      </c>
      <c r="Q37" s="2">
        <v>302</v>
      </c>
      <c r="R37" s="2">
        <v>361</v>
      </c>
      <c r="S37" s="2">
        <v>367</v>
      </c>
      <c r="T37" s="2">
        <v>216</v>
      </c>
      <c r="U37" s="2">
        <v>286</v>
      </c>
      <c r="V37" s="2">
        <v>223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</row>
    <row r="38" spans="2:87" x14ac:dyDescent="0.25">
      <c r="B38" s="1" t="s">
        <v>10</v>
      </c>
      <c r="C38" s="2">
        <v>50</v>
      </c>
      <c r="D38" s="2">
        <v>314</v>
      </c>
      <c r="E38" s="2">
        <v>139</v>
      </c>
      <c r="F38" s="2">
        <v>141</v>
      </c>
      <c r="G38" s="2">
        <v>61</v>
      </c>
      <c r="H38" s="2">
        <v>279</v>
      </c>
      <c r="I38" s="2">
        <v>166</v>
      </c>
      <c r="J38" s="2">
        <v>89</v>
      </c>
      <c r="K38" s="2">
        <v>215</v>
      </c>
      <c r="L38" s="2">
        <v>350</v>
      </c>
      <c r="M38" s="2">
        <v>0</v>
      </c>
      <c r="N38" s="2">
        <v>255</v>
      </c>
      <c r="O38" s="2">
        <v>180</v>
      </c>
      <c r="P38" s="2">
        <v>147</v>
      </c>
      <c r="Q38" s="2">
        <v>176</v>
      </c>
      <c r="R38" s="2">
        <v>327</v>
      </c>
      <c r="S38" s="2">
        <v>362</v>
      </c>
      <c r="T38" s="2">
        <v>135</v>
      </c>
      <c r="U38" s="2">
        <v>381</v>
      </c>
      <c r="V38" s="2">
        <v>310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</row>
    <row r="39" spans="2:87" x14ac:dyDescent="0.25">
      <c r="B39" s="1" t="s">
        <v>11</v>
      </c>
      <c r="C39" s="2">
        <v>216</v>
      </c>
      <c r="D39" s="2">
        <v>178</v>
      </c>
      <c r="E39" s="2">
        <v>125</v>
      </c>
      <c r="F39" s="2">
        <v>196</v>
      </c>
      <c r="G39" s="2">
        <v>197</v>
      </c>
      <c r="H39" s="2">
        <v>203</v>
      </c>
      <c r="I39" s="2">
        <v>367</v>
      </c>
      <c r="J39" s="2">
        <v>344</v>
      </c>
      <c r="K39" s="2">
        <v>39</v>
      </c>
      <c r="L39" s="2">
        <v>153</v>
      </c>
      <c r="M39" s="2">
        <v>255</v>
      </c>
      <c r="N39" s="2">
        <v>0</v>
      </c>
      <c r="O39" s="2">
        <v>77</v>
      </c>
      <c r="P39" s="2">
        <v>123</v>
      </c>
      <c r="Q39" s="2">
        <v>146</v>
      </c>
      <c r="R39" s="2">
        <v>452</v>
      </c>
      <c r="S39" s="2">
        <v>458</v>
      </c>
      <c r="T39" s="2">
        <v>247</v>
      </c>
      <c r="U39" s="2">
        <v>182</v>
      </c>
      <c r="V39" s="2">
        <v>111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2:87" x14ac:dyDescent="0.25">
      <c r="B40" s="1" t="s">
        <v>12</v>
      </c>
      <c r="C40" s="2">
        <v>174</v>
      </c>
      <c r="D40" s="2">
        <v>196</v>
      </c>
      <c r="E40" s="2">
        <v>69</v>
      </c>
      <c r="F40" s="2">
        <v>114</v>
      </c>
      <c r="G40" s="2">
        <v>122</v>
      </c>
      <c r="H40" s="2">
        <v>209</v>
      </c>
      <c r="I40" s="2">
        <v>292</v>
      </c>
      <c r="J40" s="2">
        <v>269</v>
      </c>
      <c r="K40" s="2">
        <v>38</v>
      </c>
      <c r="L40" s="2">
        <v>232</v>
      </c>
      <c r="M40" s="2">
        <v>180</v>
      </c>
      <c r="N40" s="2">
        <v>77</v>
      </c>
      <c r="O40" s="2">
        <v>0</v>
      </c>
      <c r="P40" s="2">
        <v>48</v>
      </c>
      <c r="Q40" s="2">
        <v>72</v>
      </c>
      <c r="R40" s="2">
        <v>412</v>
      </c>
      <c r="S40" s="2">
        <v>417</v>
      </c>
      <c r="T40" s="2">
        <v>176</v>
      </c>
      <c r="U40" s="2">
        <v>311</v>
      </c>
      <c r="V40" s="2">
        <v>240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</row>
    <row r="41" spans="2:87" x14ac:dyDescent="0.25">
      <c r="B41" s="1" t="s">
        <v>13</v>
      </c>
      <c r="C41" s="2">
        <v>148</v>
      </c>
      <c r="D41" s="2">
        <v>177</v>
      </c>
      <c r="E41" s="2">
        <v>115</v>
      </c>
      <c r="F41" s="2">
        <v>154</v>
      </c>
      <c r="G41" s="2">
        <v>89</v>
      </c>
      <c r="H41" s="2">
        <v>255</v>
      </c>
      <c r="I41" s="2">
        <v>260</v>
      </c>
      <c r="J41" s="2">
        <v>237</v>
      </c>
      <c r="K41" s="2">
        <v>84</v>
      </c>
      <c r="L41" s="2">
        <v>213</v>
      </c>
      <c r="M41" s="2">
        <v>147</v>
      </c>
      <c r="N41" s="2">
        <v>123</v>
      </c>
      <c r="O41" s="2">
        <v>48</v>
      </c>
      <c r="P41" s="2">
        <v>0</v>
      </c>
      <c r="Q41" s="2">
        <v>101</v>
      </c>
      <c r="R41" s="2">
        <v>363</v>
      </c>
      <c r="S41" s="2">
        <v>369</v>
      </c>
      <c r="T41" s="2">
        <v>98</v>
      </c>
      <c r="U41" s="2">
        <v>305</v>
      </c>
      <c r="V41" s="2">
        <v>234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</row>
    <row r="42" spans="2:87" x14ac:dyDescent="0.25">
      <c r="B42" s="1" t="s">
        <v>14</v>
      </c>
      <c r="C42" s="2">
        <v>100</v>
      </c>
      <c r="D42" s="2">
        <v>265</v>
      </c>
      <c r="E42" s="2">
        <v>32</v>
      </c>
      <c r="F42" s="2">
        <v>53</v>
      </c>
      <c r="G42" s="2">
        <v>118</v>
      </c>
      <c r="H42" s="2">
        <v>171</v>
      </c>
      <c r="I42" s="2">
        <v>288</v>
      </c>
      <c r="J42" s="2">
        <v>265</v>
      </c>
      <c r="K42" s="2">
        <v>107</v>
      </c>
      <c r="L42" s="2">
        <v>302</v>
      </c>
      <c r="M42" s="2">
        <v>176</v>
      </c>
      <c r="N42" s="2">
        <v>146</v>
      </c>
      <c r="O42" s="2">
        <v>72</v>
      </c>
      <c r="P42" s="2">
        <v>101</v>
      </c>
      <c r="Q42" s="2">
        <v>0</v>
      </c>
      <c r="R42" s="2">
        <v>406</v>
      </c>
      <c r="S42" s="2">
        <v>440</v>
      </c>
      <c r="T42" s="2">
        <v>171</v>
      </c>
      <c r="U42" s="2">
        <v>273</v>
      </c>
      <c r="V42" s="2">
        <v>202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</row>
    <row r="43" spans="2:87" x14ac:dyDescent="0.25">
      <c r="B43" s="1" t="s">
        <v>15</v>
      </c>
      <c r="C43" s="2">
        <v>375</v>
      </c>
      <c r="D43" s="2">
        <v>336</v>
      </c>
      <c r="E43" s="2">
        <v>437</v>
      </c>
      <c r="F43" s="2">
        <v>460</v>
      </c>
      <c r="G43" s="2">
        <v>322</v>
      </c>
      <c r="H43" s="2">
        <v>577</v>
      </c>
      <c r="I43" s="2">
        <v>257</v>
      </c>
      <c r="J43" s="2">
        <v>362</v>
      </c>
      <c r="K43" s="2">
        <v>447</v>
      </c>
      <c r="L43" s="2">
        <v>361</v>
      </c>
      <c r="M43" s="2">
        <v>327</v>
      </c>
      <c r="N43" s="2">
        <v>452</v>
      </c>
      <c r="O43" s="2">
        <v>412</v>
      </c>
      <c r="P43" s="2">
        <v>363</v>
      </c>
      <c r="Q43" s="2">
        <v>406</v>
      </c>
      <c r="R43" s="2">
        <v>0</v>
      </c>
      <c r="S43" s="2">
        <v>38</v>
      </c>
      <c r="T43" s="2">
        <v>226</v>
      </c>
      <c r="U43" s="2">
        <v>663</v>
      </c>
      <c r="V43" s="2">
        <v>590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</row>
    <row r="44" spans="2:87" x14ac:dyDescent="0.25">
      <c r="B44" s="1" t="s">
        <v>16</v>
      </c>
      <c r="C44" s="2">
        <v>409</v>
      </c>
      <c r="D44" s="2">
        <v>342</v>
      </c>
      <c r="E44" s="2">
        <v>472</v>
      </c>
      <c r="F44" s="2">
        <v>494</v>
      </c>
      <c r="G44" s="2">
        <v>356</v>
      </c>
      <c r="H44" s="2">
        <v>611</v>
      </c>
      <c r="I44" s="2">
        <v>305</v>
      </c>
      <c r="J44" s="2">
        <v>396</v>
      </c>
      <c r="K44" s="2">
        <v>452</v>
      </c>
      <c r="L44" s="2">
        <v>367</v>
      </c>
      <c r="M44" s="2">
        <v>362</v>
      </c>
      <c r="N44" s="2">
        <v>458</v>
      </c>
      <c r="O44" s="2">
        <v>417</v>
      </c>
      <c r="P44" s="2">
        <v>369</v>
      </c>
      <c r="Q44" s="2">
        <v>440</v>
      </c>
      <c r="R44" s="2">
        <v>38</v>
      </c>
      <c r="S44" s="2">
        <v>0</v>
      </c>
      <c r="T44" s="2">
        <v>268</v>
      </c>
      <c r="U44" s="2">
        <v>668</v>
      </c>
      <c r="V44" s="2">
        <v>595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</row>
    <row r="45" spans="2:87" x14ac:dyDescent="0.25">
      <c r="B45" s="1" t="s">
        <v>17</v>
      </c>
      <c r="C45" s="2">
        <v>218</v>
      </c>
      <c r="D45" s="2">
        <v>180</v>
      </c>
      <c r="E45" s="2">
        <v>203</v>
      </c>
      <c r="F45" s="2">
        <v>225</v>
      </c>
      <c r="G45" s="2">
        <v>97</v>
      </c>
      <c r="H45" s="2">
        <v>343</v>
      </c>
      <c r="I45" s="2">
        <v>281</v>
      </c>
      <c r="J45" s="2">
        <v>270</v>
      </c>
      <c r="K45" s="2">
        <v>211</v>
      </c>
      <c r="L45" s="2">
        <v>216</v>
      </c>
      <c r="M45" s="2">
        <v>135</v>
      </c>
      <c r="N45" s="2">
        <v>247</v>
      </c>
      <c r="O45" s="2">
        <v>176</v>
      </c>
      <c r="P45" s="2">
        <v>98</v>
      </c>
      <c r="Q45" s="2">
        <v>171</v>
      </c>
      <c r="R45" s="2">
        <v>226</v>
      </c>
      <c r="S45" s="2">
        <v>268</v>
      </c>
      <c r="T45" s="2">
        <v>0</v>
      </c>
      <c r="U45" s="2">
        <v>445</v>
      </c>
      <c r="V45" s="2">
        <v>374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2:87" x14ac:dyDescent="0.25">
      <c r="B46" s="1" t="s">
        <v>18</v>
      </c>
      <c r="C46" s="2">
        <v>333</v>
      </c>
      <c r="D46" s="2">
        <v>312</v>
      </c>
      <c r="E46" s="2">
        <v>244</v>
      </c>
      <c r="F46" s="2">
        <v>261</v>
      </c>
      <c r="G46" s="2">
        <v>391</v>
      </c>
      <c r="H46" s="2">
        <v>254</v>
      </c>
      <c r="I46" s="2">
        <v>547</v>
      </c>
      <c r="J46" s="2">
        <v>469</v>
      </c>
      <c r="K46" s="2">
        <v>221</v>
      </c>
      <c r="L46" s="2">
        <v>286</v>
      </c>
      <c r="M46" s="2">
        <v>381</v>
      </c>
      <c r="N46" s="2">
        <v>182</v>
      </c>
      <c r="O46" s="2">
        <v>311</v>
      </c>
      <c r="P46" s="2">
        <v>305</v>
      </c>
      <c r="Q46" s="2">
        <v>273</v>
      </c>
      <c r="R46" s="2">
        <v>663</v>
      </c>
      <c r="S46" s="2">
        <v>668</v>
      </c>
      <c r="T46" s="2">
        <v>445</v>
      </c>
      <c r="U46" s="2">
        <v>0</v>
      </c>
      <c r="V46" s="2">
        <v>71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2:87" x14ac:dyDescent="0.25">
      <c r="B47" s="1" t="s">
        <v>19</v>
      </c>
      <c r="C47" s="2">
        <v>262</v>
      </c>
      <c r="D47" s="2">
        <v>239</v>
      </c>
      <c r="E47" s="2">
        <v>174</v>
      </c>
      <c r="F47" s="2">
        <v>191</v>
      </c>
      <c r="G47" s="2">
        <v>320</v>
      </c>
      <c r="H47" s="2">
        <v>198</v>
      </c>
      <c r="I47" s="2">
        <v>476</v>
      </c>
      <c r="J47" s="2">
        <v>399</v>
      </c>
      <c r="K47" s="2">
        <v>150</v>
      </c>
      <c r="L47" s="2">
        <v>223</v>
      </c>
      <c r="M47" s="2">
        <v>310</v>
      </c>
      <c r="N47" s="2">
        <v>111</v>
      </c>
      <c r="O47" s="2">
        <v>240</v>
      </c>
      <c r="P47" s="2">
        <v>234</v>
      </c>
      <c r="Q47" s="2">
        <v>202</v>
      </c>
      <c r="R47" s="2">
        <v>590</v>
      </c>
      <c r="S47" s="2">
        <v>595</v>
      </c>
      <c r="T47" s="2">
        <v>374</v>
      </c>
      <c r="U47" s="2">
        <v>71</v>
      </c>
      <c r="V47" s="2">
        <v>0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2:87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2:87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</row>
    <row r="50" spans="2:87" x14ac:dyDescent="0.2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</row>
    <row r="51" spans="2:87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</row>
    <row r="52" spans="2:87" x14ac:dyDescent="0.2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</row>
    <row r="53" spans="2:8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</row>
    <row r="54" spans="2:87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</row>
    <row r="55" spans="2:87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</row>
    <row r="56" spans="2:87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</row>
    <row r="57" spans="2:87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</row>
    <row r="58" spans="2:87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</row>
    <row r="59" spans="2:87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</row>
    <row r="60" spans="2:87" x14ac:dyDescent="0.2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</row>
    <row r="61" spans="2:87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</row>
    <row r="62" spans="2:87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</row>
    <row r="63" spans="2:87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</row>
    <row r="64" spans="2:87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</row>
    <row r="65" spans="2:87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</row>
    <row r="66" spans="2:87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</row>
    <row r="67" spans="2:87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</row>
    <row r="68" spans="2:87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</row>
    <row r="69" spans="2:87" x14ac:dyDescent="0.2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</row>
    <row r="70" spans="2:87" x14ac:dyDescent="0.2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</row>
    <row r="71" spans="2:87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</row>
    <row r="72" spans="2:87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</row>
    <row r="73" spans="2:87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</row>
    <row r="74" spans="2:87" x14ac:dyDescent="0.2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</row>
    <row r="75" spans="2:87" x14ac:dyDescent="0.2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</row>
    <row r="76" spans="2:87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</row>
    <row r="77" spans="2:87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</row>
    <row r="78" spans="2:87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</row>
    <row r="79" spans="2:87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</row>
    <row r="80" spans="2:87" x14ac:dyDescent="0.2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</row>
    <row r="81" spans="2:87" x14ac:dyDescent="0.2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</row>
    <row r="82" spans="2:87" x14ac:dyDescent="0.2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</row>
    <row r="83" spans="2:87" x14ac:dyDescent="0.2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</row>
    <row r="84" spans="2:87" x14ac:dyDescent="0.2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</row>
    <row r="85" spans="2:87" x14ac:dyDescent="0.2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</row>
    <row r="86" spans="2:87" x14ac:dyDescent="0.2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</row>
    <row r="87" spans="2:87" x14ac:dyDescent="0.2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</row>
    <row r="88" spans="2:87" x14ac:dyDescent="0.2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</row>
    <row r="89" spans="2:87" x14ac:dyDescent="0.2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</row>
  </sheetData>
  <mergeCells count="8">
    <mergeCell ref="A2:A3"/>
    <mergeCell ref="B2:B3"/>
    <mergeCell ref="D2:D3"/>
    <mergeCell ref="E2:E3"/>
    <mergeCell ref="I2:I3"/>
    <mergeCell ref="H2:H3"/>
    <mergeCell ref="F2:F3"/>
    <mergeCell ref="G2:G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C08C-9DA9-4130-8E29-0595766C49C3}">
  <dimension ref="A1:CU89"/>
  <sheetViews>
    <sheetView workbookViewId="0">
      <selection activeCell="C29" sqref="C29"/>
    </sheetView>
  </sheetViews>
  <sheetFormatPr defaultRowHeight="15" x14ac:dyDescent="0.25"/>
  <cols>
    <col min="2" max="2" width="23.28515625" bestFit="1" customWidth="1"/>
    <col min="3" max="3" width="13" bestFit="1" customWidth="1"/>
    <col min="4" max="4" width="9.5703125" bestFit="1" customWidth="1"/>
    <col min="5" max="5" width="10.28515625" customWidth="1"/>
    <col min="6" max="6" width="12" customWidth="1"/>
    <col min="7" max="7" width="13.42578125" customWidth="1"/>
    <col min="8" max="8" width="11.42578125" bestFit="1" customWidth="1"/>
    <col min="9" max="9" width="20.5703125" bestFit="1" customWidth="1"/>
    <col min="10" max="10" width="21.140625" bestFit="1" customWidth="1"/>
    <col min="11" max="15" width="9.5703125" bestFit="1" customWidth="1"/>
    <col min="16" max="16" width="14.28515625" bestFit="1" customWidth="1"/>
    <col min="17" max="17" width="9.7109375" bestFit="1" customWidth="1"/>
    <col min="18" max="18" width="12.42578125" bestFit="1" customWidth="1"/>
    <col min="19" max="22" width="9.5703125" bestFit="1" customWidth="1"/>
    <col min="23" max="24" width="8" bestFit="1" customWidth="1"/>
    <col min="25" max="25" width="14.5703125" bestFit="1" customWidth="1"/>
    <col min="26" max="26" width="10.85546875" bestFit="1" customWidth="1"/>
    <col min="27" max="30" width="8" bestFit="1" customWidth="1"/>
    <col min="31" max="31" width="15.140625" bestFit="1" customWidth="1"/>
    <col min="32" max="33" width="8" bestFit="1" customWidth="1"/>
    <col min="34" max="34" width="8.28515625" bestFit="1" customWidth="1"/>
    <col min="35" max="35" width="12.85546875" bestFit="1" customWidth="1"/>
    <col min="36" max="36" width="19.42578125" bestFit="1" customWidth="1"/>
    <col min="37" max="37" width="13.5703125" bestFit="1" customWidth="1"/>
    <col min="38" max="38" width="10" bestFit="1" customWidth="1"/>
    <col min="39" max="40" width="8.85546875" bestFit="1" customWidth="1"/>
    <col min="41" max="41" width="20.28515625" bestFit="1" customWidth="1"/>
    <col min="42" max="42" width="8" bestFit="1" customWidth="1"/>
    <col min="43" max="43" width="13" bestFit="1" customWidth="1"/>
    <col min="44" max="44" width="8" bestFit="1" customWidth="1"/>
    <col min="45" max="45" width="9.42578125" bestFit="1" customWidth="1"/>
    <col min="46" max="46" width="8.42578125" bestFit="1" customWidth="1"/>
    <col min="47" max="47" width="12.85546875" bestFit="1" customWidth="1"/>
    <col min="48" max="48" width="8.7109375" bestFit="1" customWidth="1"/>
    <col min="49" max="49" width="8" bestFit="1" customWidth="1"/>
    <col min="50" max="51" width="11.7109375" bestFit="1" customWidth="1"/>
    <col min="52" max="53" width="8" bestFit="1" customWidth="1"/>
    <col min="54" max="55" width="8.42578125" bestFit="1" customWidth="1"/>
    <col min="56" max="56" width="11.42578125" bestFit="1" customWidth="1"/>
    <col min="57" max="57" width="10" bestFit="1" customWidth="1"/>
    <col min="58" max="58" width="10.28515625" bestFit="1" customWidth="1"/>
    <col min="59" max="59" width="11.42578125" bestFit="1" customWidth="1"/>
    <col min="60" max="60" width="9.28515625" bestFit="1" customWidth="1"/>
    <col min="61" max="61" width="8" bestFit="1" customWidth="1"/>
    <col min="62" max="62" width="9.42578125" bestFit="1" customWidth="1"/>
    <col min="63" max="63" width="12.85546875" bestFit="1" customWidth="1"/>
    <col min="64" max="64" width="9.5703125" bestFit="1" customWidth="1"/>
    <col min="65" max="65" width="8" bestFit="1" customWidth="1"/>
    <col min="66" max="66" width="15.85546875" bestFit="1" customWidth="1"/>
    <col min="67" max="67" width="8" bestFit="1" customWidth="1"/>
    <col min="68" max="68" width="15.42578125" bestFit="1" customWidth="1"/>
    <col min="69" max="69" width="19.42578125" bestFit="1" customWidth="1"/>
    <col min="70" max="70" width="12.42578125" bestFit="1" customWidth="1"/>
    <col min="71" max="71" width="8.140625" bestFit="1" customWidth="1"/>
    <col min="72" max="72" width="15.85546875" bestFit="1" customWidth="1"/>
    <col min="73" max="73" width="9.85546875" bestFit="1" customWidth="1"/>
    <col min="74" max="74" width="8" bestFit="1" customWidth="1"/>
    <col min="75" max="75" width="8.140625" bestFit="1" customWidth="1"/>
    <col min="76" max="76" width="11.140625" bestFit="1" customWidth="1"/>
    <col min="77" max="77" width="13.7109375" bestFit="1" customWidth="1"/>
    <col min="78" max="78" width="17.5703125" bestFit="1" customWidth="1"/>
    <col min="79" max="79" width="11.140625" bestFit="1" customWidth="1"/>
    <col min="80" max="80" width="8" bestFit="1" customWidth="1"/>
    <col min="81" max="81" width="12.85546875" bestFit="1" customWidth="1"/>
    <col min="82" max="82" width="8" bestFit="1" customWidth="1"/>
    <col min="83" max="83" width="12.5703125" bestFit="1" customWidth="1"/>
    <col min="84" max="84" width="10.42578125" bestFit="1" customWidth="1"/>
    <col min="85" max="85" width="8.28515625" bestFit="1" customWidth="1"/>
    <col min="86" max="86" width="16.5703125" bestFit="1" customWidth="1"/>
    <col min="87" max="87" width="21.28515625" bestFit="1" customWidth="1"/>
    <col min="88" max="88" width="23.28515625" bestFit="1" customWidth="1"/>
    <col min="89" max="89" width="10.7109375" bestFit="1" customWidth="1"/>
    <col min="90" max="90" width="9.85546875" bestFit="1" customWidth="1"/>
    <col min="91" max="91" width="18" bestFit="1" customWidth="1"/>
    <col min="92" max="92" width="8.85546875" bestFit="1" customWidth="1"/>
    <col min="93" max="93" width="7.85546875" bestFit="1" customWidth="1"/>
  </cols>
  <sheetData>
    <row r="1" spans="1:99" x14ac:dyDescent="0.25">
      <c r="O1" t="s">
        <v>30</v>
      </c>
    </row>
    <row r="2" spans="1:99" ht="15" customHeight="1" x14ac:dyDescent="0.25">
      <c r="A2" s="20" t="s">
        <v>21</v>
      </c>
      <c r="B2" s="20" t="s">
        <v>22</v>
      </c>
      <c r="D2" s="20" t="s">
        <v>23</v>
      </c>
      <c r="E2" s="21" t="s">
        <v>62</v>
      </c>
      <c r="F2" s="21"/>
      <c r="G2" s="21"/>
      <c r="H2" s="18"/>
      <c r="I2" s="18"/>
      <c r="J2" s="14"/>
      <c r="L2" s="13" t="s">
        <v>57</v>
      </c>
    </row>
    <row r="3" spans="1:99" x14ac:dyDescent="0.25">
      <c r="A3" s="20"/>
      <c r="B3" s="20"/>
      <c r="C3" t="s">
        <v>39</v>
      </c>
      <c r="D3" s="20"/>
      <c r="E3" s="21"/>
      <c r="F3" s="21"/>
      <c r="G3" s="21"/>
      <c r="H3" s="18"/>
      <c r="I3" s="18"/>
      <c r="J3" s="14"/>
      <c r="L3">
        <f>7.43</f>
        <v>7.43</v>
      </c>
      <c r="O3" t="s">
        <v>25</v>
      </c>
      <c r="P3" t="s">
        <v>26</v>
      </c>
      <c r="R3" s="3">
        <v>1</v>
      </c>
      <c r="S3" s="2">
        <f t="array" ref="S3">INDEX($C$28:$V$47,R3,R4)</f>
        <v>2407.3199999999997</v>
      </c>
      <c r="T3" s="3">
        <v>6</v>
      </c>
      <c r="U3" s="2">
        <f t="array" ref="U3">INDEX($C$28:$V$47,T3,T4)</f>
        <v>1181.3699999999999</v>
      </c>
      <c r="V3" s="3"/>
    </row>
    <row r="4" spans="1:99" x14ac:dyDescent="0.25">
      <c r="A4">
        <v>1</v>
      </c>
      <c r="B4" s="1" t="s">
        <v>0</v>
      </c>
      <c r="C4" t="s">
        <v>40</v>
      </c>
      <c r="D4" s="3">
        <v>6</v>
      </c>
      <c r="E4" s="2">
        <f t="array" ref="E4">INDEX($C$28:$V$47,D4,D5)</f>
        <v>1181.3699999999999</v>
      </c>
      <c r="G4" s="2"/>
      <c r="J4" s="2"/>
      <c r="O4" s="5" t="s">
        <v>20</v>
      </c>
      <c r="R4" s="3">
        <v>2</v>
      </c>
      <c r="S4" s="2">
        <f t="array" ref="S4">INDEX($C$28:$V$47,R4,R5)</f>
        <v>1954.09</v>
      </c>
      <c r="T4" s="3">
        <v>4</v>
      </c>
      <c r="U4" s="2">
        <f t="array" ref="U4">INDEX($C$28:$V$47,T4,T5)</f>
        <v>334.34999999999997</v>
      </c>
      <c r="V4" s="3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>
        <v>2</v>
      </c>
      <c r="B5" s="1" t="s">
        <v>1</v>
      </c>
      <c r="C5" t="s">
        <v>41</v>
      </c>
      <c r="D5" s="3">
        <v>4</v>
      </c>
      <c r="E5" s="2">
        <f t="array" ref="E5">INDEX($C$28:$V$47,D5,D6)</f>
        <v>334.34999999999997</v>
      </c>
      <c r="G5" s="2"/>
      <c r="J5" s="2"/>
      <c r="O5" s="6">
        <f>SUM(E4:E23)</f>
        <v>14057.559999999998</v>
      </c>
      <c r="R5" s="3">
        <v>3</v>
      </c>
      <c r="S5" s="2">
        <f t="array" ref="S5">INDEX($C$28:$V$47,R5,R6)</f>
        <v>334.34999999999997</v>
      </c>
      <c r="T5" s="3">
        <v>3</v>
      </c>
      <c r="U5" s="2">
        <f t="array" ref="U5">INDEX($C$28:$V$47,T5,T6)</f>
        <v>237.76</v>
      </c>
      <c r="V5" s="3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9" x14ac:dyDescent="0.25">
      <c r="A6">
        <v>3</v>
      </c>
      <c r="B6" s="1" t="s">
        <v>2</v>
      </c>
      <c r="C6" t="s">
        <v>42</v>
      </c>
      <c r="D6" s="3">
        <v>3</v>
      </c>
      <c r="E6" s="2">
        <f t="array" ref="E6">INDEX($C$28:$V$47,D6,D7)</f>
        <v>237.76</v>
      </c>
      <c r="G6" s="2"/>
      <c r="J6" s="2"/>
      <c r="R6" s="3">
        <v>4</v>
      </c>
      <c r="S6" s="2">
        <f t="array" ref="S6">INDEX($C$28:$V$47,R6,R7)</f>
        <v>1277.96</v>
      </c>
      <c r="T6" s="3">
        <v>15</v>
      </c>
      <c r="U6" s="2">
        <f t="array" ref="U6">INDEX($C$28:$V$47,T6,T7)</f>
        <v>750.43</v>
      </c>
      <c r="V6" s="3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9" x14ac:dyDescent="0.25">
      <c r="A7">
        <v>4</v>
      </c>
      <c r="B7" s="1" t="s">
        <v>3</v>
      </c>
      <c r="C7" t="s">
        <v>43</v>
      </c>
      <c r="D7" s="3">
        <v>15</v>
      </c>
      <c r="E7" s="2">
        <f t="array" ref="E7">INDEX($C$28:$V$47,D7,D8)</f>
        <v>750.43</v>
      </c>
      <c r="G7" s="2"/>
      <c r="J7" s="2"/>
      <c r="R7" s="3">
        <v>5</v>
      </c>
      <c r="S7" s="2">
        <f t="array" ref="S7">INDEX($C$28:$V$47,R7,R8)</f>
        <v>2139.84</v>
      </c>
      <c r="T7" s="3">
        <v>14</v>
      </c>
      <c r="U7" s="2">
        <f t="array" ref="U7">INDEX($C$28:$V$47,T7,T8)</f>
        <v>356.64</v>
      </c>
      <c r="V7" s="3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9" x14ac:dyDescent="0.25">
      <c r="A8">
        <v>5</v>
      </c>
      <c r="B8" s="1" t="s">
        <v>4</v>
      </c>
      <c r="C8" t="s">
        <v>44</v>
      </c>
      <c r="D8" s="3">
        <v>14</v>
      </c>
      <c r="E8" s="2">
        <f t="array" ref="E8">INDEX($C$28:$V$47,D8,D9)</f>
        <v>356.64</v>
      </c>
      <c r="G8" s="2"/>
      <c r="J8" s="2"/>
      <c r="O8" t="s">
        <v>48</v>
      </c>
      <c r="R8" s="3">
        <v>6</v>
      </c>
      <c r="S8" s="2">
        <f t="array" ref="S8">INDEX($C$28:$V$47,R8,R9)</f>
        <v>3128.0299999999997</v>
      </c>
      <c r="T8" s="3">
        <v>13</v>
      </c>
      <c r="U8" s="2">
        <f t="array" ref="U8">INDEX($C$28:$V$47,T8,T9)</f>
        <v>282.33999999999997</v>
      </c>
      <c r="V8" s="3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9" x14ac:dyDescent="0.25">
      <c r="A9">
        <v>6</v>
      </c>
      <c r="B9" s="1" t="s">
        <v>5</v>
      </c>
      <c r="C9" t="s">
        <v>45</v>
      </c>
      <c r="D9" s="3">
        <v>13</v>
      </c>
      <c r="E9" s="2">
        <f t="array" ref="E9">INDEX($C$28:$V$47,D9,D10)</f>
        <v>282.33999999999997</v>
      </c>
      <c r="G9" s="2"/>
      <c r="J9" s="2"/>
      <c r="O9" s="12" t="s">
        <v>50</v>
      </c>
      <c r="R9" s="3">
        <v>7</v>
      </c>
      <c r="S9" s="2">
        <f t="array" ref="S9">INDEX($C$28:$V$47,R9,R10)</f>
        <v>1003.05</v>
      </c>
      <c r="T9" s="3">
        <v>9</v>
      </c>
      <c r="U9" s="2">
        <f t="array" ref="U9">INDEX($C$28:$V$47,T9,T10)</f>
        <v>289.77</v>
      </c>
      <c r="V9" s="3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9" x14ac:dyDescent="0.25">
      <c r="A10">
        <v>7</v>
      </c>
      <c r="B10" s="1" t="s">
        <v>6</v>
      </c>
      <c r="C10" t="s">
        <v>40</v>
      </c>
      <c r="D10" s="3">
        <v>9</v>
      </c>
      <c r="E10" s="2">
        <f t="array" ref="E10">INDEX($C$28:$V$47,D10,D11)</f>
        <v>289.77</v>
      </c>
      <c r="G10" s="2"/>
      <c r="J10" s="2"/>
      <c r="R10" s="3">
        <v>8</v>
      </c>
      <c r="S10" s="2">
        <f t="array" ref="S10">INDEX($C$28:$V$47,R10,R11)</f>
        <v>2266.15</v>
      </c>
      <c r="T10" s="3">
        <v>12</v>
      </c>
      <c r="U10" s="2">
        <f t="array" ref="U10">INDEX($C$28:$V$47,T10,T11)</f>
        <v>824.73</v>
      </c>
      <c r="V10" s="3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9" x14ac:dyDescent="0.25">
      <c r="A11">
        <v>8</v>
      </c>
      <c r="B11" s="1" t="s">
        <v>7</v>
      </c>
      <c r="C11" t="s">
        <v>41</v>
      </c>
      <c r="D11" s="3">
        <v>12</v>
      </c>
      <c r="E11" s="2">
        <f t="array" ref="E11">INDEX($C$28:$V$47,D11,D12)</f>
        <v>824.73</v>
      </c>
      <c r="G11" s="2"/>
      <c r="J11" s="2"/>
      <c r="R11" s="3">
        <v>9</v>
      </c>
      <c r="S11" s="2">
        <f t="array" ref="S11">INDEX($C$28:$V$47,R11,R12)</f>
        <v>1404.27</v>
      </c>
      <c r="T11" s="3">
        <v>20</v>
      </c>
      <c r="U11" s="2">
        <f t="array" ref="U11">INDEX($C$28:$V$47,T11,T12)</f>
        <v>527.53</v>
      </c>
      <c r="V11" s="3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9" x14ac:dyDescent="0.25">
      <c r="A12">
        <v>9</v>
      </c>
      <c r="B12" s="1" t="s">
        <v>8</v>
      </c>
      <c r="C12" t="s">
        <v>42</v>
      </c>
      <c r="D12" s="3">
        <v>20</v>
      </c>
      <c r="E12" s="2">
        <f t="array" ref="E12">INDEX($C$28:$V$47,D12,D13)</f>
        <v>527.53</v>
      </c>
      <c r="G12" s="2"/>
      <c r="J12" s="2"/>
      <c r="R12" s="3">
        <v>10</v>
      </c>
      <c r="S12" s="2">
        <f t="array" ref="S12">INDEX($C$28:$V$47,R12,R13)</f>
        <v>2600.5</v>
      </c>
      <c r="T12" s="3">
        <v>19</v>
      </c>
      <c r="U12" s="2">
        <f t="array" ref="U12">INDEX($C$28:$V$47,T12,T13)</f>
        <v>2124.98</v>
      </c>
      <c r="V12" s="3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9" x14ac:dyDescent="0.25">
      <c r="A13">
        <v>10</v>
      </c>
      <c r="B13" s="1" t="s">
        <v>9</v>
      </c>
      <c r="C13" t="s">
        <v>43</v>
      </c>
      <c r="D13" s="3">
        <v>19</v>
      </c>
      <c r="E13" s="2">
        <f t="array" ref="E13">INDEX($C$28:$V$47,D13,D14)</f>
        <v>2124.98</v>
      </c>
      <c r="G13" s="2"/>
      <c r="J13" s="2"/>
      <c r="L13" s="13" t="s">
        <v>51</v>
      </c>
      <c r="M13" s="13"/>
      <c r="N13" s="13"/>
      <c r="R13" s="3">
        <v>11</v>
      </c>
      <c r="S13" s="2">
        <f t="array" ref="S13">INDEX($C$28:$V$47,R13,R14)</f>
        <v>1894.6499999999999</v>
      </c>
      <c r="T13" s="3">
        <v>10</v>
      </c>
      <c r="U13" s="2">
        <f t="array" ref="U13">INDEX($C$28:$V$47,T13,T14)</f>
        <v>267.48</v>
      </c>
      <c r="V13" s="3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9" x14ac:dyDescent="0.25">
      <c r="A14">
        <v>11</v>
      </c>
      <c r="B14" s="1" t="s">
        <v>10</v>
      </c>
      <c r="C14" t="s">
        <v>44</v>
      </c>
      <c r="D14" s="3">
        <v>10</v>
      </c>
      <c r="E14" s="2">
        <f t="array" ref="E14">INDEX($C$28:$V$47,D14,D15)</f>
        <v>267.48</v>
      </c>
      <c r="G14" s="2"/>
      <c r="J14" s="2"/>
      <c r="L14" s="13">
        <v>1</v>
      </c>
      <c r="M14" s="13">
        <v>2</v>
      </c>
      <c r="N14" s="13">
        <v>3</v>
      </c>
      <c r="R14" s="3">
        <v>12</v>
      </c>
      <c r="S14" s="2">
        <f t="array" ref="S14">INDEX($C$28:$V$47,R14,R15)</f>
        <v>572.11</v>
      </c>
      <c r="T14" s="3">
        <v>2</v>
      </c>
      <c r="U14" s="2">
        <f t="array" ref="U14">INDEX($C$28:$V$47,T14,T15)</f>
        <v>1337.3999999999999</v>
      </c>
      <c r="V14" s="3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9" x14ac:dyDescent="0.25">
      <c r="A15">
        <v>12</v>
      </c>
      <c r="B15" s="1" t="s">
        <v>11</v>
      </c>
      <c r="C15" t="s">
        <v>45</v>
      </c>
      <c r="D15" s="3">
        <v>2</v>
      </c>
      <c r="E15" s="2">
        <f t="array" ref="E15">INDEX($C$28:$V$47,D15,D16)</f>
        <v>1337.3999999999999</v>
      </c>
      <c r="G15" s="2"/>
      <c r="H15" s="9"/>
      <c r="J15" s="2"/>
      <c r="L15" t="s">
        <v>52</v>
      </c>
      <c r="M15" t="s">
        <v>54</v>
      </c>
      <c r="N15" t="s">
        <v>58</v>
      </c>
      <c r="R15" s="3">
        <v>13</v>
      </c>
      <c r="S15" s="2">
        <f t="array" ref="S15">INDEX($C$28:$V$47,R15,R16)</f>
        <v>356.64</v>
      </c>
      <c r="T15" s="3">
        <v>18</v>
      </c>
      <c r="U15" s="2">
        <f t="array" ref="U15">INDEX($C$28:$V$47,T15,T16)</f>
        <v>720.70999999999992</v>
      </c>
      <c r="V15" s="3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9" x14ac:dyDescent="0.25">
      <c r="A16">
        <v>13</v>
      </c>
      <c r="B16" s="1" t="s">
        <v>12</v>
      </c>
      <c r="C16" t="s">
        <v>40</v>
      </c>
      <c r="D16" s="3">
        <v>18</v>
      </c>
      <c r="E16" s="2">
        <f t="array" ref="E16">INDEX($C$28:$V$47,D16,D17)</f>
        <v>720.70999999999992</v>
      </c>
      <c r="G16" s="2"/>
      <c r="J16" s="2"/>
      <c r="L16" t="s">
        <v>53</v>
      </c>
      <c r="M16" t="s">
        <v>55</v>
      </c>
      <c r="N16" t="s">
        <v>59</v>
      </c>
      <c r="R16" s="3">
        <v>14</v>
      </c>
      <c r="S16" s="2">
        <f t="array" ref="S16">INDEX($C$28:$V$47,R16,R17)</f>
        <v>750.43</v>
      </c>
      <c r="T16" s="3">
        <v>5</v>
      </c>
      <c r="U16" s="2">
        <f t="array" ref="U16">INDEX($C$28:$V$47,T16,T17)</f>
        <v>594.4</v>
      </c>
      <c r="V16" s="3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A17">
        <v>14</v>
      </c>
      <c r="B17" s="1" t="s">
        <v>13</v>
      </c>
      <c r="C17" t="s">
        <v>41</v>
      </c>
      <c r="D17" s="3">
        <v>5</v>
      </c>
      <c r="E17" s="2">
        <f t="array" ref="E17">INDEX($C$28:$V$47,D17,D18)</f>
        <v>594.4</v>
      </c>
      <c r="G17" s="2"/>
      <c r="J17" s="2"/>
      <c r="R17" s="3">
        <v>15</v>
      </c>
      <c r="S17" s="2">
        <f t="array" ref="S17">INDEX($C$28:$V$47,R17,R18)</f>
        <v>3016.58</v>
      </c>
      <c r="T17" s="3">
        <v>1</v>
      </c>
      <c r="U17" s="2">
        <f t="array" ref="U17">INDEX($C$28:$V$47,T17,T18)</f>
        <v>371.5</v>
      </c>
      <c r="V17" s="3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A18">
        <v>15</v>
      </c>
      <c r="B18" s="1" t="s">
        <v>14</v>
      </c>
      <c r="C18" t="s">
        <v>42</v>
      </c>
      <c r="D18" s="3">
        <v>1</v>
      </c>
      <c r="E18" s="2">
        <f t="array" ref="E18">INDEX($C$28:$V$47,D18,D19)</f>
        <v>371.5</v>
      </c>
      <c r="G18" s="2"/>
      <c r="J18" s="2"/>
      <c r="R18" s="3">
        <v>16</v>
      </c>
      <c r="S18" s="2">
        <f t="array" ref="S18">INDEX($C$28:$V$47,R18,R19)</f>
        <v>282.33999999999997</v>
      </c>
      <c r="T18" s="3">
        <v>11</v>
      </c>
      <c r="U18" s="2">
        <f t="array" ref="U18">INDEX($C$28:$V$47,T18,T19)</f>
        <v>661.27</v>
      </c>
      <c r="V18" s="3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A19">
        <v>16</v>
      </c>
      <c r="B19" s="1" t="s">
        <v>15</v>
      </c>
      <c r="C19" t="s">
        <v>43</v>
      </c>
      <c r="D19" s="3">
        <v>11</v>
      </c>
      <c r="E19" s="2">
        <f t="array" ref="E19">INDEX($C$28:$V$47,D19,D20)</f>
        <v>661.27</v>
      </c>
      <c r="G19" s="2"/>
      <c r="J19" s="2"/>
      <c r="R19" s="3">
        <v>17</v>
      </c>
      <c r="S19" s="2">
        <f t="array" ref="S19">INDEX($C$28:$V$47,R19,R20)</f>
        <v>1991.24</v>
      </c>
      <c r="T19" s="3">
        <v>8</v>
      </c>
      <c r="U19" s="2">
        <f t="array" ref="U19">INDEX($C$28:$V$47,T19,T20)</f>
        <v>1003.05</v>
      </c>
      <c r="V19" s="3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x14ac:dyDescent="0.25">
      <c r="A20">
        <v>17</v>
      </c>
      <c r="B20" s="1" t="s">
        <v>16</v>
      </c>
      <c r="C20" t="s">
        <v>44</v>
      </c>
      <c r="D20" s="3">
        <v>8</v>
      </c>
      <c r="E20" s="2">
        <f t="array" ref="E20">INDEX($C$28:$V$47,D20,D21)</f>
        <v>1003.05</v>
      </c>
      <c r="G20" s="2"/>
      <c r="J20" s="2"/>
      <c r="R20" s="3">
        <v>18</v>
      </c>
      <c r="S20" s="2">
        <f t="array" ref="S20">INDEX($C$28:$V$47,R20,R21)</f>
        <v>3306.35</v>
      </c>
      <c r="T20" s="3">
        <v>7</v>
      </c>
      <c r="U20" s="2">
        <f t="array" ref="U20">INDEX($C$28:$V$47,T20,T21)</f>
        <v>1909.51</v>
      </c>
      <c r="V20" s="3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x14ac:dyDescent="0.25">
      <c r="A21">
        <v>18</v>
      </c>
      <c r="B21" s="1" t="s">
        <v>17</v>
      </c>
      <c r="C21" t="s">
        <v>45</v>
      </c>
      <c r="D21" s="3">
        <v>7</v>
      </c>
      <c r="E21" s="2">
        <f t="array" ref="E21">INDEX($C$28:$V$47,D21,D22)</f>
        <v>1909.51</v>
      </c>
      <c r="G21" s="2"/>
      <c r="H21" s="9"/>
      <c r="J21" s="2"/>
      <c r="R21" s="3">
        <v>19</v>
      </c>
      <c r="S21" s="2">
        <f t="array" ref="S21">INDEX($C$28:$V$47,R21,R22)</f>
        <v>527.53</v>
      </c>
      <c r="T21" s="3">
        <v>16</v>
      </c>
      <c r="U21" s="2">
        <f t="array" ref="U21">INDEX($C$28:$V$47,T21,T22)</f>
        <v>282.33999999999997</v>
      </c>
      <c r="V21" s="3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>
        <v>19</v>
      </c>
      <c r="B22" s="1" t="s">
        <v>18</v>
      </c>
      <c r="C22" t="s">
        <v>40</v>
      </c>
      <c r="D22" s="3">
        <v>16</v>
      </c>
      <c r="E22" s="2">
        <f t="array" ref="E22">INDEX($C$28:$V$47,D22,D23)</f>
        <v>282.33999999999997</v>
      </c>
      <c r="G22" s="2"/>
      <c r="J22" s="2"/>
      <c r="R22" s="3">
        <v>20</v>
      </c>
      <c r="T22" s="3">
        <v>17</v>
      </c>
      <c r="V22" s="3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A23">
        <v>20</v>
      </c>
      <c r="B23" s="1" t="s">
        <v>19</v>
      </c>
      <c r="C23" t="s">
        <v>41</v>
      </c>
      <c r="D23" s="3">
        <v>17</v>
      </c>
      <c r="R23" s="6"/>
      <c r="S23" s="6">
        <f>SUM(S3:S22)</f>
        <v>31213.43</v>
      </c>
      <c r="T23" s="6"/>
      <c r="U23" s="6">
        <f>SUM(U3:U22)</f>
        <v>14057.559999999998</v>
      </c>
      <c r="W23" s="6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</row>
    <row r="26" spans="1:91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</row>
    <row r="27" spans="1:91" x14ac:dyDescent="0.25"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15</v>
      </c>
      <c r="S27" s="1" t="s">
        <v>16</v>
      </c>
      <c r="T27" s="1" t="s">
        <v>17</v>
      </c>
      <c r="U27" s="1" t="s">
        <v>18</v>
      </c>
      <c r="V27" s="1" t="s">
        <v>19</v>
      </c>
      <c r="W27" s="2"/>
      <c r="X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91" x14ac:dyDescent="0.25">
      <c r="B28" s="1" t="s">
        <v>0</v>
      </c>
      <c r="C28" s="2">
        <f>0*(7.43)</f>
        <v>0</v>
      </c>
      <c r="D28" s="2">
        <f>324*(7.43)</f>
        <v>2407.3199999999997</v>
      </c>
      <c r="E28" s="2">
        <f>91*(7.43)</f>
        <v>676.13</v>
      </c>
      <c r="F28" s="2">
        <f>93*(7.43)</f>
        <v>690.99</v>
      </c>
      <c r="G28" s="2">
        <f>80*(7.43)</f>
        <v>594.4</v>
      </c>
      <c r="H28" s="2">
        <f>230*(7.43)</f>
        <v>1708.8999999999999</v>
      </c>
      <c r="I28" s="2">
        <f>214*(7.43)</f>
        <v>1590.02</v>
      </c>
      <c r="J28" s="2">
        <f>136*(7.43)</f>
        <v>1010.48</v>
      </c>
      <c r="K28" s="2">
        <f>177*(7.43)</f>
        <v>1315.11</v>
      </c>
      <c r="L28" s="2">
        <f>360*(7.43)</f>
        <v>2674.7999999999997</v>
      </c>
      <c r="M28" s="2">
        <f>50*(7.43)</f>
        <v>371.5</v>
      </c>
      <c r="N28" s="2">
        <f>216*(7.43)</f>
        <v>1604.8799999999999</v>
      </c>
      <c r="O28" s="2">
        <f>174*(7.43)</f>
        <v>1292.82</v>
      </c>
      <c r="P28" s="2">
        <f>148*(7.43)</f>
        <v>1099.6399999999999</v>
      </c>
      <c r="Q28" s="2">
        <f>100*(7.43)</f>
        <v>743</v>
      </c>
      <c r="R28" s="2">
        <f>375*(7.43)</f>
        <v>2786.25</v>
      </c>
      <c r="S28" s="2">
        <f>409*(7.43)</f>
        <v>3038.87</v>
      </c>
      <c r="T28" s="2">
        <f>218*(7.43)</f>
        <v>1619.74</v>
      </c>
      <c r="U28" s="2">
        <f>333*(7.43)</f>
        <v>2474.19</v>
      </c>
      <c r="V28" s="2">
        <f>262*(7.43)</f>
        <v>1946.6599999999999</v>
      </c>
      <c r="W28" s="2"/>
      <c r="X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91" x14ac:dyDescent="0.25">
      <c r="B29" s="1" t="s">
        <v>1</v>
      </c>
      <c r="C29" s="2">
        <f>324*(7.43)</f>
        <v>2407.3199999999997</v>
      </c>
      <c r="D29" s="2">
        <f>0*(7.43)</f>
        <v>0</v>
      </c>
      <c r="E29" s="2">
        <f>263*(7.43)</f>
        <v>1954.09</v>
      </c>
      <c r="F29" s="2">
        <f>186*(7.43)</f>
        <v>1381.98</v>
      </c>
      <c r="G29" s="2">
        <f>266*(7.43)</f>
        <v>1976.3799999999999</v>
      </c>
      <c r="H29" s="2">
        <f>403*(7.43)</f>
        <v>2994.29</v>
      </c>
      <c r="I29" s="2">
        <f>427*(7.43)</f>
        <v>3172.6099999999997</v>
      </c>
      <c r="J29" s="2">
        <f>413*(7.43)</f>
        <v>3068.5899999999997</v>
      </c>
      <c r="K29" s="2">
        <f>214*(7.43)</f>
        <v>1590.02</v>
      </c>
      <c r="L29" s="2">
        <f>36*(7.43)</f>
        <v>267.48</v>
      </c>
      <c r="M29" s="2">
        <f>314*(7.43)</f>
        <v>2333.02</v>
      </c>
      <c r="N29" s="2">
        <f>178*(7.43)</f>
        <v>1322.54</v>
      </c>
      <c r="O29" s="2">
        <f>196*(7.43)</f>
        <v>1456.28</v>
      </c>
      <c r="P29" s="2">
        <f>177*(7.43)</f>
        <v>1315.11</v>
      </c>
      <c r="Q29" s="2">
        <f>265*(7.43)</f>
        <v>1968.9499999999998</v>
      </c>
      <c r="R29" s="2">
        <f>336*(7.43)</f>
        <v>2496.48</v>
      </c>
      <c r="S29" s="2">
        <f>342*(7.43)</f>
        <v>2541.06</v>
      </c>
      <c r="T29" s="2">
        <f>180*(7.43)</f>
        <v>1337.3999999999999</v>
      </c>
      <c r="U29" s="2">
        <f>312*(7.43)</f>
        <v>2318.16</v>
      </c>
      <c r="V29" s="2">
        <f>239*(7.43)</f>
        <v>1775.77</v>
      </c>
      <c r="W29" s="2"/>
      <c r="X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91" x14ac:dyDescent="0.25">
      <c r="B30" s="1" t="s">
        <v>2</v>
      </c>
      <c r="C30" s="2">
        <f>91*(7.43)</f>
        <v>676.13</v>
      </c>
      <c r="D30" s="2">
        <f>263*(7.43)</f>
        <v>1954.09</v>
      </c>
      <c r="E30" s="2">
        <f>0*(7.43)</f>
        <v>0</v>
      </c>
      <c r="F30" s="2">
        <f>45*(7.43)</f>
        <v>334.34999999999997</v>
      </c>
      <c r="G30" s="2">
        <f>150*(7.43)</f>
        <v>1114.5</v>
      </c>
      <c r="H30" s="2">
        <f>142*(7.43)</f>
        <v>1055.06</v>
      </c>
      <c r="I30" s="2">
        <f>305*(7.43)</f>
        <v>2266.15</v>
      </c>
      <c r="J30" s="2">
        <f>227*(7.43)</f>
        <v>1686.61</v>
      </c>
      <c r="K30" s="2">
        <f>86*(7.43)</f>
        <v>638.98</v>
      </c>
      <c r="L30" s="2">
        <f>274*(7.43)</f>
        <v>2035.82</v>
      </c>
      <c r="M30" s="2">
        <f>139*(7.43)</f>
        <v>1032.77</v>
      </c>
      <c r="N30" s="2">
        <f>125*(7.43)</f>
        <v>928.75</v>
      </c>
      <c r="O30" s="2">
        <f>69*(7.43)</f>
        <v>512.66999999999996</v>
      </c>
      <c r="P30" s="2">
        <f>115*(7.43)</f>
        <v>854.44999999999993</v>
      </c>
      <c r="Q30" s="2">
        <f>32*(7.43)</f>
        <v>237.76</v>
      </c>
      <c r="R30" s="2">
        <f>437*(7.43)</f>
        <v>3246.91</v>
      </c>
      <c r="S30" s="2">
        <f>472*(7.43)</f>
        <v>3506.96</v>
      </c>
      <c r="T30" s="2">
        <f>203*(7.43)</f>
        <v>1508.29</v>
      </c>
      <c r="U30" s="2">
        <f>244*(7.43)</f>
        <v>1812.9199999999998</v>
      </c>
      <c r="V30" s="2">
        <f>174*(7.43)</f>
        <v>1292.82</v>
      </c>
      <c r="W30" s="2"/>
      <c r="X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91" x14ac:dyDescent="0.25">
      <c r="B31" s="1" t="s">
        <v>3</v>
      </c>
      <c r="C31" s="2">
        <f>93*(7.43)</f>
        <v>690.99</v>
      </c>
      <c r="D31" s="2">
        <f>186*(7.43)</f>
        <v>1381.98</v>
      </c>
      <c r="E31" s="2">
        <f>45*(7.43)</f>
        <v>334.34999999999997</v>
      </c>
      <c r="F31" s="2">
        <f>0*(7.43)</f>
        <v>0</v>
      </c>
      <c r="G31" s="2">
        <f>172*(7.43)</f>
        <v>1277.96</v>
      </c>
      <c r="H31" s="2">
        <f>159*(7.43)</f>
        <v>1181.3699999999999</v>
      </c>
      <c r="I31" s="2">
        <f>307*(7.43)</f>
        <v>2281.0099999999998</v>
      </c>
      <c r="J31" s="2">
        <f>208*(7.43)</f>
        <v>1545.44</v>
      </c>
      <c r="K31" s="2">
        <f>130*(7.43)</f>
        <v>965.9</v>
      </c>
      <c r="L31" s="2">
        <f>319*(7.43)</f>
        <v>2370.17</v>
      </c>
      <c r="M31" s="2">
        <f>141*(7.43)</f>
        <v>1047.6299999999999</v>
      </c>
      <c r="N31" s="2">
        <f>196*(7.43)</f>
        <v>1456.28</v>
      </c>
      <c r="O31" s="2">
        <f>114*(7.43)</f>
        <v>847.02</v>
      </c>
      <c r="P31" s="2">
        <f>154*(7.43)</f>
        <v>1144.22</v>
      </c>
      <c r="Q31" s="2">
        <f>53*(7.43)</f>
        <v>393.78999999999996</v>
      </c>
      <c r="R31" s="2">
        <f>460*(7.43)</f>
        <v>3417.7999999999997</v>
      </c>
      <c r="S31" s="2">
        <f>494*(7.43)</f>
        <v>3670.42</v>
      </c>
      <c r="T31" s="2">
        <f>225*(7.43)</f>
        <v>1671.75</v>
      </c>
      <c r="U31" s="2">
        <f>261*(7.43)</f>
        <v>1939.23</v>
      </c>
      <c r="V31" s="2">
        <f>191*(7.43)</f>
        <v>1419.1299999999999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1:91" x14ac:dyDescent="0.25">
      <c r="B32" s="1" t="s">
        <v>4</v>
      </c>
      <c r="C32" s="2">
        <f>80*(7.43)</f>
        <v>594.4</v>
      </c>
      <c r="D32" s="2">
        <f>266*(7.43)</f>
        <v>1976.3799999999999</v>
      </c>
      <c r="E32" s="2">
        <f>150*(7.43)</f>
        <v>1114.5</v>
      </c>
      <c r="F32" s="2">
        <f>172*(7.43)</f>
        <v>1277.96</v>
      </c>
      <c r="G32" s="2">
        <f>0*(7.43)</f>
        <v>0</v>
      </c>
      <c r="H32" s="2">
        <f>288*(7.43)</f>
        <v>2139.84</v>
      </c>
      <c r="I32" s="2">
        <f>173*(7.43)</f>
        <v>1285.3899999999999</v>
      </c>
      <c r="J32" s="2">
        <f>150*(7.43)</f>
        <v>1114.5</v>
      </c>
      <c r="K32" s="2">
        <f>157*(7.43)</f>
        <v>1166.51</v>
      </c>
      <c r="L32" s="2">
        <f>301*(7.43)</f>
        <v>2236.4299999999998</v>
      </c>
      <c r="M32" s="2">
        <f>61*(7.43)</f>
        <v>453.22999999999996</v>
      </c>
      <c r="N32" s="2">
        <f>197*(7.43)</f>
        <v>1463.71</v>
      </c>
      <c r="O32" s="2">
        <f>122*(7.43)</f>
        <v>906.45999999999992</v>
      </c>
      <c r="P32" s="2">
        <f>89*(7.43)</f>
        <v>661.27</v>
      </c>
      <c r="Q32" s="2">
        <f>118*(7.43)</f>
        <v>876.74</v>
      </c>
      <c r="R32" s="2">
        <f>322*(7.43)</f>
        <v>2392.46</v>
      </c>
      <c r="S32" s="2">
        <f>356*(7.43)</f>
        <v>2645.08</v>
      </c>
      <c r="T32" s="2">
        <f>97*(7.43)</f>
        <v>720.70999999999992</v>
      </c>
      <c r="U32" s="2">
        <f>391*(7.43)</f>
        <v>2905.13</v>
      </c>
      <c r="V32" s="2">
        <f>320*(7.43)</f>
        <v>2377.6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2:87" x14ac:dyDescent="0.25">
      <c r="B33" s="1" t="s">
        <v>5</v>
      </c>
      <c r="C33" s="2">
        <f>230*(7.43)</f>
        <v>1708.8999999999999</v>
      </c>
      <c r="D33" s="2">
        <f>403*(7.43)</f>
        <v>2994.29</v>
      </c>
      <c r="E33" s="2">
        <f>142*(7.43)</f>
        <v>1055.06</v>
      </c>
      <c r="F33" s="2">
        <f>159*(7.43)</f>
        <v>1181.3699999999999</v>
      </c>
      <c r="G33" s="2">
        <f>288*(7.43)</f>
        <v>2139.84</v>
      </c>
      <c r="H33" s="2">
        <f>0*(7.43)</f>
        <v>0</v>
      </c>
      <c r="I33" s="2">
        <f>421*(7.43)</f>
        <v>3128.0299999999997</v>
      </c>
      <c r="J33" s="2">
        <f>287*(7.43)</f>
        <v>2132.41</v>
      </c>
      <c r="K33" s="2">
        <f>225*(7.43)</f>
        <v>1671.75</v>
      </c>
      <c r="L33" s="2">
        <f>355*(7.43)</f>
        <v>2637.65</v>
      </c>
      <c r="M33" s="2">
        <f>279*(7.43)</f>
        <v>2072.9699999999998</v>
      </c>
      <c r="N33" s="2">
        <f>203*(7.43)</f>
        <v>1508.29</v>
      </c>
      <c r="O33" s="2">
        <f>209*(7.43)</f>
        <v>1552.87</v>
      </c>
      <c r="P33" s="2">
        <f>255*(7.43)</f>
        <v>1894.6499999999999</v>
      </c>
      <c r="Q33" s="2">
        <f>171*(7.43)</f>
        <v>1270.53</v>
      </c>
      <c r="R33" s="2">
        <f>577*(7.43)</f>
        <v>4287.1099999999997</v>
      </c>
      <c r="S33" s="2">
        <f>611*(7.43)</f>
        <v>4539.7299999999996</v>
      </c>
      <c r="T33" s="2">
        <f>343*(7.43)</f>
        <v>2548.4899999999998</v>
      </c>
      <c r="U33" s="2">
        <f>254*(7.43)</f>
        <v>1887.22</v>
      </c>
      <c r="V33" s="2">
        <f>198*(7.43)</f>
        <v>1471.1399999999999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2:87" x14ac:dyDescent="0.25">
      <c r="B34" s="1" t="s">
        <v>6</v>
      </c>
      <c r="C34" s="2">
        <f>214*(7.43)</f>
        <v>1590.02</v>
      </c>
      <c r="D34" s="2">
        <f>427*(7.43)</f>
        <v>3172.6099999999997</v>
      </c>
      <c r="E34" s="2">
        <f>305*(7.43)</f>
        <v>2266.15</v>
      </c>
      <c r="F34" s="2">
        <f>307*(7.43)</f>
        <v>2281.0099999999998</v>
      </c>
      <c r="G34" s="2">
        <f>173*(7.43)</f>
        <v>1285.3899999999999</v>
      </c>
      <c r="H34" s="2">
        <f>421*(7.43)</f>
        <v>3128.0299999999997</v>
      </c>
      <c r="I34" s="2">
        <f>0*(7.43)</f>
        <v>0</v>
      </c>
      <c r="J34" s="2">
        <f>135*(7.43)</f>
        <v>1003.05</v>
      </c>
      <c r="K34" s="2">
        <f>328*(7.43)</f>
        <v>2437.04</v>
      </c>
      <c r="L34" s="2">
        <f>472*(7.43)</f>
        <v>3506.96</v>
      </c>
      <c r="M34" s="2">
        <f>166*(7.43)</f>
        <v>1233.3799999999999</v>
      </c>
      <c r="N34" s="2">
        <f>367*(7.43)</f>
        <v>2726.81</v>
      </c>
      <c r="O34" s="2">
        <f>292*(7.43)</f>
        <v>2169.56</v>
      </c>
      <c r="P34" s="2">
        <f>260*(7.43)</f>
        <v>1931.8</v>
      </c>
      <c r="Q34" s="2">
        <f>288*(7.43)</f>
        <v>2139.84</v>
      </c>
      <c r="R34" s="2">
        <f>257*(7.43)</f>
        <v>1909.51</v>
      </c>
      <c r="S34" s="2">
        <f>305*(7.43)</f>
        <v>2266.15</v>
      </c>
      <c r="T34" s="2">
        <f>281*(7.43)</f>
        <v>2087.83</v>
      </c>
      <c r="U34" s="2">
        <f>547*(7.43)</f>
        <v>4064.21</v>
      </c>
      <c r="V34" s="2">
        <f>476*(7.43)</f>
        <v>3536.68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2:87" x14ac:dyDescent="0.25">
      <c r="B35" s="1" t="s">
        <v>7</v>
      </c>
      <c r="C35" s="2">
        <f>136*(7.43)</f>
        <v>1010.48</v>
      </c>
      <c r="D35" s="2">
        <f>413*(7.43)</f>
        <v>3068.5899999999997</v>
      </c>
      <c r="E35" s="2">
        <f>227*(7.43)</f>
        <v>1686.61</v>
      </c>
      <c r="F35" s="2">
        <f>208*(7.43)</f>
        <v>1545.44</v>
      </c>
      <c r="G35" s="2">
        <f>150*(7.43)</f>
        <v>1114.5</v>
      </c>
      <c r="H35" s="2">
        <f>287*(7.43)</f>
        <v>2132.41</v>
      </c>
      <c r="I35" s="2">
        <f>135*(7.43)</f>
        <v>1003.05</v>
      </c>
      <c r="J35" s="2">
        <f>0*(7.43)</f>
        <v>0</v>
      </c>
      <c r="K35" s="2">
        <f>305*(7.43)</f>
        <v>2266.15</v>
      </c>
      <c r="L35" s="2">
        <f>449*(7.43)</f>
        <v>3336.0699999999997</v>
      </c>
      <c r="M35" s="2">
        <f>89*(7.43)</f>
        <v>661.27</v>
      </c>
      <c r="N35" s="2">
        <f>344*(7.43)</f>
        <v>2555.92</v>
      </c>
      <c r="O35" s="2">
        <f>269*(7.43)</f>
        <v>1998.6699999999998</v>
      </c>
      <c r="P35" s="2">
        <f>237*(7.43)</f>
        <v>1760.9099999999999</v>
      </c>
      <c r="Q35" s="2">
        <f>265*(7.43)</f>
        <v>1968.9499999999998</v>
      </c>
      <c r="R35" s="2">
        <f>362*(7.43)</f>
        <v>2689.66</v>
      </c>
      <c r="S35" s="2">
        <f>396*(7.43)</f>
        <v>2942.2799999999997</v>
      </c>
      <c r="T35" s="2">
        <f>270*(7.43)</f>
        <v>2006.1</v>
      </c>
      <c r="U35" s="2">
        <f>469*(7.43)</f>
        <v>3484.67</v>
      </c>
      <c r="V35" s="2">
        <f>399*(7.43)</f>
        <v>2964.5699999999997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2:87" x14ac:dyDescent="0.25">
      <c r="B36" s="1" t="s">
        <v>8</v>
      </c>
      <c r="C36" s="2">
        <f>177*(7.43)</f>
        <v>1315.11</v>
      </c>
      <c r="D36" s="2">
        <f>214*(7.43)</f>
        <v>1590.02</v>
      </c>
      <c r="E36" s="2">
        <f>86*(7.43)</f>
        <v>638.98</v>
      </c>
      <c r="F36" s="2">
        <f>130*(7.43)</f>
        <v>965.9</v>
      </c>
      <c r="G36" s="2">
        <f>157*(7.43)</f>
        <v>1166.51</v>
      </c>
      <c r="H36" s="2">
        <f>225*(7.43)</f>
        <v>1671.75</v>
      </c>
      <c r="I36" s="2">
        <f>328*(7.43)</f>
        <v>2437.04</v>
      </c>
      <c r="J36" s="2">
        <f>305*(7.43)</f>
        <v>2266.15</v>
      </c>
      <c r="K36" s="2">
        <f>0*(7.43)</f>
        <v>0</v>
      </c>
      <c r="L36" s="2">
        <f>189*(7.43)</f>
        <v>1404.27</v>
      </c>
      <c r="M36" s="2">
        <f>215*(7.43)</f>
        <v>1597.45</v>
      </c>
      <c r="N36" s="2">
        <f>39*(7.43)</f>
        <v>289.77</v>
      </c>
      <c r="O36" s="2">
        <f>38*(7.43)</f>
        <v>282.33999999999997</v>
      </c>
      <c r="P36" s="2">
        <f>84*(7.43)</f>
        <v>624.12</v>
      </c>
      <c r="Q36" s="2">
        <f>107*(7.43)</f>
        <v>795.01</v>
      </c>
      <c r="R36" s="2">
        <f>447*(7.43)</f>
        <v>3321.21</v>
      </c>
      <c r="S36" s="2">
        <f>452*(7.43)</f>
        <v>3358.3599999999997</v>
      </c>
      <c r="T36" s="2">
        <f>211*(7.43)</f>
        <v>1567.73</v>
      </c>
      <c r="U36" s="2">
        <f>221*(7.43)</f>
        <v>1642.03</v>
      </c>
      <c r="V36" s="2">
        <f>150*(7.43)</f>
        <v>1114.5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2:87" x14ac:dyDescent="0.25">
      <c r="B37" s="1" t="s">
        <v>9</v>
      </c>
      <c r="C37" s="2">
        <f>360*(7.43)</f>
        <v>2674.7999999999997</v>
      </c>
      <c r="D37" s="2">
        <f>36*(7.43)</f>
        <v>267.48</v>
      </c>
      <c r="E37" s="2">
        <f>274*(7.43)</f>
        <v>2035.82</v>
      </c>
      <c r="F37" s="2">
        <f>319*(7.43)</f>
        <v>2370.17</v>
      </c>
      <c r="G37" s="2">
        <f>301*(7.43)</f>
        <v>2236.4299999999998</v>
      </c>
      <c r="H37" s="2">
        <f>355*(7.43)</f>
        <v>2637.65</v>
      </c>
      <c r="I37" s="2">
        <f>472*(7.43)</f>
        <v>3506.96</v>
      </c>
      <c r="J37" s="2">
        <f>449*(7.43)</f>
        <v>3336.0699999999997</v>
      </c>
      <c r="K37" s="2">
        <f>189*(7.43)</f>
        <v>1404.27</v>
      </c>
      <c r="L37" s="2">
        <f>0*(7.43)</f>
        <v>0</v>
      </c>
      <c r="M37" s="2">
        <f>350*(7.43)</f>
        <v>2600.5</v>
      </c>
      <c r="N37" s="2">
        <f>153*(7.43)</f>
        <v>1136.79</v>
      </c>
      <c r="O37" s="2">
        <f>232*(7.43)</f>
        <v>1723.76</v>
      </c>
      <c r="P37" s="2">
        <f>213*(7.43)</f>
        <v>1582.59</v>
      </c>
      <c r="Q37" s="2">
        <f>302*(7.43)</f>
        <v>2243.86</v>
      </c>
      <c r="R37" s="2">
        <f>361*(7.43)</f>
        <v>2682.23</v>
      </c>
      <c r="S37" s="2">
        <f>367*(7.43)</f>
        <v>2726.81</v>
      </c>
      <c r="T37" s="2">
        <f>216*(7.43)</f>
        <v>1604.8799999999999</v>
      </c>
      <c r="U37" s="2">
        <f>286*(7.43)</f>
        <v>2124.98</v>
      </c>
      <c r="V37" s="2">
        <f>223*(7.43)</f>
        <v>1656.8899999999999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</row>
    <row r="38" spans="2:87" x14ac:dyDescent="0.25">
      <c r="B38" s="1" t="s">
        <v>10</v>
      </c>
      <c r="C38" s="2">
        <f>50*(7.43)</f>
        <v>371.5</v>
      </c>
      <c r="D38" s="2">
        <f>314*(7.43)</f>
        <v>2333.02</v>
      </c>
      <c r="E38" s="2">
        <f>139*(7.43)</f>
        <v>1032.77</v>
      </c>
      <c r="F38" s="2">
        <f>141*(7.43)</f>
        <v>1047.6299999999999</v>
      </c>
      <c r="G38" s="2">
        <f>61*(7.43)</f>
        <v>453.22999999999996</v>
      </c>
      <c r="H38" s="2">
        <f>279*(7.43)</f>
        <v>2072.9699999999998</v>
      </c>
      <c r="I38" s="2">
        <f>166*(7.43)</f>
        <v>1233.3799999999999</v>
      </c>
      <c r="J38" s="2">
        <f>89*(7.43)</f>
        <v>661.27</v>
      </c>
      <c r="K38" s="2">
        <f>215*(7.43)</f>
        <v>1597.45</v>
      </c>
      <c r="L38" s="2">
        <f>350*(7.43)</f>
        <v>2600.5</v>
      </c>
      <c r="M38" s="2">
        <f>0*(7.43)</f>
        <v>0</v>
      </c>
      <c r="N38" s="2">
        <f>255*(7.43)</f>
        <v>1894.6499999999999</v>
      </c>
      <c r="O38" s="2">
        <f>180*(7.43)</f>
        <v>1337.3999999999999</v>
      </c>
      <c r="P38" s="2">
        <f>147*(7.43)</f>
        <v>1092.21</v>
      </c>
      <c r="Q38" s="2">
        <f>176*(7.43)</f>
        <v>1307.6799999999998</v>
      </c>
      <c r="R38" s="2">
        <f>327*(7.43)</f>
        <v>2429.61</v>
      </c>
      <c r="S38" s="2">
        <f>362*(7.43)</f>
        <v>2689.66</v>
      </c>
      <c r="T38" s="2">
        <f>135*(7.43)</f>
        <v>1003.05</v>
      </c>
      <c r="U38" s="2">
        <f>381*(7.43)</f>
        <v>2830.83</v>
      </c>
      <c r="V38" s="2">
        <f>310*(7.43)</f>
        <v>2303.2999999999997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</row>
    <row r="39" spans="2:87" x14ac:dyDescent="0.25">
      <c r="B39" s="1" t="s">
        <v>11</v>
      </c>
      <c r="C39" s="2">
        <f>216*(7.43)</f>
        <v>1604.8799999999999</v>
      </c>
      <c r="D39" s="2">
        <f>178*(7.43)</f>
        <v>1322.54</v>
      </c>
      <c r="E39" s="2">
        <f>125*(7.43)</f>
        <v>928.75</v>
      </c>
      <c r="F39" s="2">
        <f>196*(7.43)</f>
        <v>1456.28</v>
      </c>
      <c r="G39" s="2">
        <f>197*(7.43)</f>
        <v>1463.71</v>
      </c>
      <c r="H39" s="2">
        <f>203*(7.43)</f>
        <v>1508.29</v>
      </c>
      <c r="I39" s="2">
        <f>367*(7.43)</f>
        <v>2726.81</v>
      </c>
      <c r="J39" s="2">
        <f>344*(7.43)</f>
        <v>2555.92</v>
      </c>
      <c r="K39" s="2">
        <f>39*(7.43)</f>
        <v>289.77</v>
      </c>
      <c r="L39" s="2">
        <f>153*(7.43)</f>
        <v>1136.79</v>
      </c>
      <c r="M39" s="2">
        <f>255*(7.43)</f>
        <v>1894.6499999999999</v>
      </c>
      <c r="N39" s="2">
        <f>0*(7.43)</f>
        <v>0</v>
      </c>
      <c r="O39" s="2">
        <f>77*(7.43)</f>
        <v>572.11</v>
      </c>
      <c r="P39" s="2">
        <f>123*(7.43)</f>
        <v>913.89</v>
      </c>
      <c r="Q39" s="2">
        <f>146*(7.43)</f>
        <v>1084.78</v>
      </c>
      <c r="R39" s="2">
        <f>452*(7.43)</f>
        <v>3358.3599999999997</v>
      </c>
      <c r="S39" s="2">
        <f>458*(7.43)</f>
        <v>3402.94</v>
      </c>
      <c r="T39" s="2">
        <f>247*(7.43)</f>
        <v>1835.21</v>
      </c>
      <c r="U39" s="2">
        <f>182*(7.43)</f>
        <v>1352.26</v>
      </c>
      <c r="V39" s="2">
        <f>111*(7.43)</f>
        <v>824.73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2:87" x14ac:dyDescent="0.25">
      <c r="B40" s="1" t="s">
        <v>12</v>
      </c>
      <c r="C40" s="2">
        <f>174*(7.43)</f>
        <v>1292.82</v>
      </c>
      <c r="D40" s="2">
        <f>196*(7.43)</f>
        <v>1456.28</v>
      </c>
      <c r="E40" s="2">
        <f>69*(7.43)</f>
        <v>512.66999999999996</v>
      </c>
      <c r="F40" s="2">
        <f>114*(7.43)</f>
        <v>847.02</v>
      </c>
      <c r="G40" s="2">
        <f>122*(7.43)</f>
        <v>906.45999999999992</v>
      </c>
      <c r="H40" s="2">
        <f>209*(7.43)</f>
        <v>1552.87</v>
      </c>
      <c r="I40" s="2">
        <f>292*(7.43)</f>
        <v>2169.56</v>
      </c>
      <c r="J40" s="2">
        <f>269*(7.43)</f>
        <v>1998.6699999999998</v>
      </c>
      <c r="K40" s="2">
        <f>38*(7.43)</f>
        <v>282.33999999999997</v>
      </c>
      <c r="L40" s="2">
        <f>232*(7.43)</f>
        <v>1723.76</v>
      </c>
      <c r="M40" s="2">
        <f>180*(7.43)</f>
        <v>1337.3999999999999</v>
      </c>
      <c r="N40" s="2">
        <f>77*(7.43)</f>
        <v>572.11</v>
      </c>
      <c r="O40" s="2">
        <f>0*(7.43)</f>
        <v>0</v>
      </c>
      <c r="P40" s="2">
        <f>48*(7.43)</f>
        <v>356.64</v>
      </c>
      <c r="Q40" s="2">
        <f>72*(7.43)</f>
        <v>534.96</v>
      </c>
      <c r="R40" s="2">
        <f>412*(7.43)</f>
        <v>3061.16</v>
      </c>
      <c r="S40" s="2">
        <f>417*(7.43)</f>
        <v>3098.31</v>
      </c>
      <c r="T40" s="2">
        <f>176*(7.43)</f>
        <v>1307.6799999999998</v>
      </c>
      <c r="U40" s="2">
        <f>311*(7.43)</f>
        <v>2310.73</v>
      </c>
      <c r="V40" s="2">
        <f>240*(7.43)</f>
        <v>1783.1999999999998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</row>
    <row r="41" spans="2:87" x14ac:dyDescent="0.25">
      <c r="B41" s="1" t="s">
        <v>13</v>
      </c>
      <c r="C41" s="2">
        <f>148*(7.43)</f>
        <v>1099.6399999999999</v>
      </c>
      <c r="D41" s="2">
        <f>177*(7.43)</f>
        <v>1315.11</v>
      </c>
      <c r="E41" s="2">
        <f>115*(7.43)</f>
        <v>854.44999999999993</v>
      </c>
      <c r="F41" s="2">
        <f>154*(7.43)</f>
        <v>1144.22</v>
      </c>
      <c r="G41" s="2">
        <f>89*(7.43)</f>
        <v>661.27</v>
      </c>
      <c r="H41" s="2">
        <f>255*(7.43)</f>
        <v>1894.6499999999999</v>
      </c>
      <c r="I41" s="2">
        <f>260*(7.43)</f>
        <v>1931.8</v>
      </c>
      <c r="J41" s="2">
        <f>237*(7.43)</f>
        <v>1760.9099999999999</v>
      </c>
      <c r="K41" s="2">
        <f>84*(7.43)</f>
        <v>624.12</v>
      </c>
      <c r="L41" s="2">
        <f>213*(7.43)</f>
        <v>1582.59</v>
      </c>
      <c r="M41" s="2">
        <f>147*(7.43)</f>
        <v>1092.21</v>
      </c>
      <c r="N41" s="2">
        <f>123*(7.43)</f>
        <v>913.89</v>
      </c>
      <c r="O41" s="2">
        <f>48*(7.43)</f>
        <v>356.64</v>
      </c>
      <c r="P41" s="2">
        <f>0*(7.43)</f>
        <v>0</v>
      </c>
      <c r="Q41" s="2">
        <f>101*(7.43)</f>
        <v>750.43</v>
      </c>
      <c r="R41" s="2">
        <f>363*(7.43)</f>
        <v>2697.0899999999997</v>
      </c>
      <c r="S41" s="2">
        <f>369*(7.43)</f>
        <v>2741.67</v>
      </c>
      <c r="T41" s="2">
        <f>98*(7.43)</f>
        <v>728.14</v>
      </c>
      <c r="U41" s="2">
        <f>305*(7.43)</f>
        <v>2266.15</v>
      </c>
      <c r="V41" s="2">
        <f>234*(7.43)</f>
        <v>1738.62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</row>
    <row r="42" spans="2:87" x14ac:dyDescent="0.25">
      <c r="B42" s="1" t="s">
        <v>14</v>
      </c>
      <c r="C42" s="2">
        <f>100*(7.43)</f>
        <v>743</v>
      </c>
      <c r="D42" s="2">
        <f>265*(7.43)</f>
        <v>1968.9499999999998</v>
      </c>
      <c r="E42" s="2">
        <f>32*(7.43)</f>
        <v>237.76</v>
      </c>
      <c r="F42" s="2">
        <f>53*(7.43)</f>
        <v>393.78999999999996</v>
      </c>
      <c r="G42" s="2">
        <f>118*(7.43)</f>
        <v>876.74</v>
      </c>
      <c r="H42" s="2">
        <f>171*(7.43)</f>
        <v>1270.53</v>
      </c>
      <c r="I42" s="2">
        <f>288*(7.43)</f>
        <v>2139.84</v>
      </c>
      <c r="J42" s="2">
        <f>265*(7.43)</f>
        <v>1968.9499999999998</v>
      </c>
      <c r="K42" s="2">
        <f>107*(7.43)</f>
        <v>795.01</v>
      </c>
      <c r="L42" s="2">
        <f>302*(7.43)</f>
        <v>2243.86</v>
      </c>
      <c r="M42" s="2">
        <f>176*(7.43)</f>
        <v>1307.6799999999998</v>
      </c>
      <c r="N42" s="2">
        <f>146*(7.43)</f>
        <v>1084.78</v>
      </c>
      <c r="O42" s="2">
        <f>72*(7.43)</f>
        <v>534.96</v>
      </c>
      <c r="P42" s="2">
        <f>101*(7.43)</f>
        <v>750.43</v>
      </c>
      <c r="Q42" s="2">
        <f>0*(7.43)</f>
        <v>0</v>
      </c>
      <c r="R42" s="2">
        <f>406*(7.43)</f>
        <v>3016.58</v>
      </c>
      <c r="S42" s="2">
        <f>440*(7.43)</f>
        <v>3269.2</v>
      </c>
      <c r="T42" s="2">
        <f>171*(7.43)</f>
        <v>1270.53</v>
      </c>
      <c r="U42" s="2">
        <f>273*(7.43)</f>
        <v>2028.3899999999999</v>
      </c>
      <c r="V42" s="2">
        <f>202*(7.43)</f>
        <v>1500.86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</row>
    <row r="43" spans="2:87" x14ac:dyDescent="0.25">
      <c r="B43" s="1" t="s">
        <v>15</v>
      </c>
      <c r="C43" s="2">
        <f>375*(7.43)</f>
        <v>2786.25</v>
      </c>
      <c r="D43" s="2">
        <f>336*(7.43)</f>
        <v>2496.48</v>
      </c>
      <c r="E43" s="2">
        <f>437*(7.43)</f>
        <v>3246.91</v>
      </c>
      <c r="F43" s="2">
        <f>460*(7.43)</f>
        <v>3417.7999999999997</v>
      </c>
      <c r="G43" s="2">
        <f>322*(7.43)</f>
        <v>2392.46</v>
      </c>
      <c r="H43" s="2">
        <f>577*(7.43)</f>
        <v>4287.1099999999997</v>
      </c>
      <c r="I43" s="2">
        <f>257*(7.43)</f>
        <v>1909.51</v>
      </c>
      <c r="J43" s="2">
        <f>362*(7.43)</f>
        <v>2689.66</v>
      </c>
      <c r="K43" s="2">
        <f>447*(7.43)</f>
        <v>3321.21</v>
      </c>
      <c r="L43" s="2">
        <f>361*(7.43)</f>
        <v>2682.23</v>
      </c>
      <c r="M43" s="2">
        <f>327*(7.43)</f>
        <v>2429.61</v>
      </c>
      <c r="N43" s="2">
        <f>452*(7.43)</f>
        <v>3358.3599999999997</v>
      </c>
      <c r="O43" s="2">
        <f>412*(7.43)</f>
        <v>3061.16</v>
      </c>
      <c r="P43" s="2">
        <f>363*(7.43)</f>
        <v>2697.0899999999997</v>
      </c>
      <c r="Q43" s="2">
        <f>406*(7.43)</f>
        <v>3016.58</v>
      </c>
      <c r="R43" s="2">
        <f>0*(7.43)</f>
        <v>0</v>
      </c>
      <c r="S43" s="2">
        <f>38*(7.43)</f>
        <v>282.33999999999997</v>
      </c>
      <c r="T43" s="2">
        <f>226*(7.43)</f>
        <v>1679.1799999999998</v>
      </c>
      <c r="U43" s="2">
        <f>663*(7.43)</f>
        <v>4926.09</v>
      </c>
      <c r="V43" s="2">
        <f>590*(7.43)</f>
        <v>4383.7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</row>
    <row r="44" spans="2:87" x14ac:dyDescent="0.25">
      <c r="B44" s="1" t="s">
        <v>16</v>
      </c>
      <c r="C44" s="2">
        <f>409*(7.43)</f>
        <v>3038.87</v>
      </c>
      <c r="D44" s="2">
        <f>342*(7.43)</f>
        <v>2541.06</v>
      </c>
      <c r="E44" s="2">
        <f>472*(7.43)</f>
        <v>3506.96</v>
      </c>
      <c r="F44" s="2">
        <f>494*(7.43)</f>
        <v>3670.42</v>
      </c>
      <c r="G44" s="2">
        <f>356*(7.43)</f>
        <v>2645.08</v>
      </c>
      <c r="H44" s="2">
        <f>611*(7.43)</f>
        <v>4539.7299999999996</v>
      </c>
      <c r="I44" s="2">
        <f>305*(7.43)</f>
        <v>2266.15</v>
      </c>
      <c r="J44" s="2">
        <f>396*(7.43)</f>
        <v>2942.2799999999997</v>
      </c>
      <c r="K44" s="2">
        <f>452*(7.43)</f>
        <v>3358.3599999999997</v>
      </c>
      <c r="L44" s="2">
        <f>367*(7.43)</f>
        <v>2726.81</v>
      </c>
      <c r="M44" s="2">
        <f>362*(7.43)</f>
        <v>2689.66</v>
      </c>
      <c r="N44" s="2">
        <f>458*(7.43)</f>
        <v>3402.94</v>
      </c>
      <c r="O44" s="2">
        <f>417*(7.43)</f>
        <v>3098.31</v>
      </c>
      <c r="P44" s="2">
        <f>369*(7.43)</f>
        <v>2741.67</v>
      </c>
      <c r="Q44" s="2">
        <f>440*(7.43)</f>
        <v>3269.2</v>
      </c>
      <c r="R44" s="2">
        <f>38*(7.43)</f>
        <v>282.33999999999997</v>
      </c>
      <c r="S44" s="2">
        <f>0*(7.43)</f>
        <v>0</v>
      </c>
      <c r="T44" s="2">
        <f>268*(7.43)</f>
        <v>1991.24</v>
      </c>
      <c r="U44" s="2">
        <f>668*(7.43)</f>
        <v>4963.24</v>
      </c>
      <c r="V44" s="2">
        <f>595*(7.43)</f>
        <v>4420.8499999999995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</row>
    <row r="45" spans="2:87" x14ac:dyDescent="0.25">
      <c r="B45" s="1" t="s">
        <v>17</v>
      </c>
      <c r="C45" s="2">
        <f>218*(7.43)</f>
        <v>1619.74</v>
      </c>
      <c r="D45" s="2">
        <f>180*(7.43)</f>
        <v>1337.3999999999999</v>
      </c>
      <c r="E45" s="2">
        <f>203*(7.43)</f>
        <v>1508.29</v>
      </c>
      <c r="F45" s="2">
        <f>225*(7.43)</f>
        <v>1671.75</v>
      </c>
      <c r="G45" s="2">
        <f>97*(7.43)</f>
        <v>720.70999999999992</v>
      </c>
      <c r="H45" s="2">
        <f>343*(7.43)</f>
        <v>2548.4899999999998</v>
      </c>
      <c r="I45" s="2">
        <f>281*(7.43)</f>
        <v>2087.83</v>
      </c>
      <c r="J45" s="2">
        <f>270*(7.43)</f>
        <v>2006.1</v>
      </c>
      <c r="K45" s="2">
        <f>211*(7.43)</f>
        <v>1567.73</v>
      </c>
      <c r="L45" s="2">
        <f>216*(7.43)</f>
        <v>1604.8799999999999</v>
      </c>
      <c r="M45" s="2">
        <f>135*(7.43)</f>
        <v>1003.05</v>
      </c>
      <c r="N45" s="2">
        <f>247*(7.43)</f>
        <v>1835.21</v>
      </c>
      <c r="O45" s="2">
        <f>176*(7.43)</f>
        <v>1307.6799999999998</v>
      </c>
      <c r="P45" s="2">
        <f>98*(7.43)</f>
        <v>728.14</v>
      </c>
      <c r="Q45" s="2">
        <f>171*(7.43)</f>
        <v>1270.53</v>
      </c>
      <c r="R45" s="2">
        <f>226*(7.43)</f>
        <v>1679.1799999999998</v>
      </c>
      <c r="S45" s="2">
        <f>268*(7.43)</f>
        <v>1991.24</v>
      </c>
      <c r="T45" s="2">
        <f>0*(7.43)</f>
        <v>0</v>
      </c>
      <c r="U45" s="2">
        <f>445*(7.43)</f>
        <v>3306.35</v>
      </c>
      <c r="V45" s="2">
        <f>374*(7.43)</f>
        <v>2778.8199999999997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2:87" x14ac:dyDescent="0.25">
      <c r="B46" s="1" t="s">
        <v>18</v>
      </c>
      <c r="C46" s="2">
        <f>333*(7.43)</f>
        <v>2474.19</v>
      </c>
      <c r="D46" s="2">
        <f>312*(7.43)</f>
        <v>2318.16</v>
      </c>
      <c r="E46" s="2">
        <f>244*(7.43)</f>
        <v>1812.9199999999998</v>
      </c>
      <c r="F46" s="2">
        <f>261*(7.43)</f>
        <v>1939.23</v>
      </c>
      <c r="G46" s="2">
        <f>391*(7.43)</f>
        <v>2905.13</v>
      </c>
      <c r="H46" s="2">
        <f>254*(7.43)</f>
        <v>1887.22</v>
      </c>
      <c r="I46" s="2">
        <f>547*(7.43)</f>
        <v>4064.21</v>
      </c>
      <c r="J46" s="2">
        <f>469*(7.43)</f>
        <v>3484.67</v>
      </c>
      <c r="K46" s="2">
        <f>221*(7.43)</f>
        <v>1642.03</v>
      </c>
      <c r="L46" s="2">
        <f>286*(7.43)</f>
        <v>2124.98</v>
      </c>
      <c r="M46" s="2">
        <f>381*(7.43)</f>
        <v>2830.83</v>
      </c>
      <c r="N46" s="2">
        <f>182*(7.43)</f>
        <v>1352.26</v>
      </c>
      <c r="O46" s="2">
        <f>311*(7.43)</f>
        <v>2310.73</v>
      </c>
      <c r="P46" s="2">
        <f>305*(7.43)</f>
        <v>2266.15</v>
      </c>
      <c r="Q46" s="2">
        <f>273*(7.43)</f>
        <v>2028.3899999999999</v>
      </c>
      <c r="R46" s="2">
        <f>663*(7.43)</f>
        <v>4926.09</v>
      </c>
      <c r="S46" s="2">
        <f>668*(7.43)</f>
        <v>4963.24</v>
      </c>
      <c r="T46" s="2">
        <f>445*(7.43)</f>
        <v>3306.35</v>
      </c>
      <c r="U46" s="2">
        <f>0*(7.43)</f>
        <v>0</v>
      </c>
      <c r="V46" s="2">
        <f>71*(7.43)</f>
        <v>527.53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2:87" x14ac:dyDescent="0.25">
      <c r="B47" s="1" t="s">
        <v>19</v>
      </c>
      <c r="C47" s="2">
        <f>262*(7.43)</f>
        <v>1946.6599999999999</v>
      </c>
      <c r="D47" s="2">
        <f>239*(7.43)</f>
        <v>1775.77</v>
      </c>
      <c r="E47" s="2">
        <f>174*(7.43)</f>
        <v>1292.82</v>
      </c>
      <c r="F47" s="2">
        <f>191*(7.43)</f>
        <v>1419.1299999999999</v>
      </c>
      <c r="G47" s="2">
        <f>320*(7.43)</f>
        <v>2377.6</v>
      </c>
      <c r="H47" s="2">
        <f>198*(7.43)</f>
        <v>1471.1399999999999</v>
      </c>
      <c r="I47" s="2">
        <f>476*(7.43)</f>
        <v>3536.68</v>
      </c>
      <c r="J47" s="2">
        <f>399*(7.43)</f>
        <v>2964.5699999999997</v>
      </c>
      <c r="K47" s="2">
        <f>150*(7.43)</f>
        <v>1114.5</v>
      </c>
      <c r="L47" s="2">
        <f>223*(7.43)</f>
        <v>1656.8899999999999</v>
      </c>
      <c r="M47" s="2">
        <f>310*(7.43)</f>
        <v>2303.2999999999997</v>
      </c>
      <c r="N47" s="2">
        <f>111*(7.43)</f>
        <v>824.73</v>
      </c>
      <c r="O47" s="2">
        <f>240*(7.43)</f>
        <v>1783.1999999999998</v>
      </c>
      <c r="P47" s="2">
        <f>234*(7.43)</f>
        <v>1738.62</v>
      </c>
      <c r="Q47" s="2">
        <f>202*(7.43)</f>
        <v>1500.86</v>
      </c>
      <c r="R47" s="2">
        <f>590*(7.43)</f>
        <v>4383.7</v>
      </c>
      <c r="S47" s="2">
        <f>595*(7.43)</f>
        <v>4420.8499999999995</v>
      </c>
      <c r="T47" s="2">
        <f>374*(7.43)</f>
        <v>2778.8199999999997</v>
      </c>
      <c r="U47" s="2">
        <f>71*(7.43)</f>
        <v>527.53</v>
      </c>
      <c r="V47" s="2">
        <f>0*(7.43)</f>
        <v>0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2:87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2:87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</row>
    <row r="50" spans="2:87" x14ac:dyDescent="0.2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</row>
    <row r="51" spans="2:87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</row>
    <row r="52" spans="2:87" x14ac:dyDescent="0.2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</row>
    <row r="53" spans="2:87" x14ac:dyDescent="0.25">
      <c r="B53" s="1"/>
      <c r="C53" s="1" t="s">
        <v>0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7</v>
      </c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  <c r="P53" s="1" t="s">
        <v>13</v>
      </c>
      <c r="Q53" s="1" t="s">
        <v>14</v>
      </c>
      <c r="R53" s="1" t="s">
        <v>15</v>
      </c>
      <c r="S53" s="1" t="s">
        <v>16</v>
      </c>
      <c r="T53" s="1" t="s">
        <v>17</v>
      </c>
      <c r="U53" s="1" t="s">
        <v>18</v>
      </c>
      <c r="V53" s="1" t="s">
        <v>19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</row>
    <row r="54" spans="2:87" x14ac:dyDescent="0.25">
      <c r="B54" t="s">
        <v>40</v>
      </c>
      <c r="C54" s="2">
        <v>80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</row>
    <row r="55" spans="2:87" x14ac:dyDescent="0.25">
      <c r="B55" t="s">
        <v>41</v>
      </c>
      <c r="C55" s="2">
        <v>190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</row>
    <row r="56" spans="2:87" x14ac:dyDescent="0.25">
      <c r="B56" t="s">
        <v>42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</row>
    <row r="57" spans="2:87" x14ac:dyDescent="0.25">
      <c r="B57" t="s">
        <v>43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</row>
    <row r="58" spans="2:87" x14ac:dyDescent="0.25">
      <c r="B58" t="s">
        <v>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</row>
    <row r="59" spans="2:87" x14ac:dyDescent="0.25">
      <c r="B59" t="s">
        <v>45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</row>
    <row r="60" spans="2:87" x14ac:dyDescent="0.25">
      <c r="B60" s="1" t="s">
        <v>46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</row>
    <row r="61" spans="2:87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</row>
    <row r="62" spans="2:87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</row>
    <row r="63" spans="2:87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</row>
    <row r="64" spans="2:87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</row>
    <row r="65" spans="2:87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</row>
    <row r="66" spans="2:87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</row>
    <row r="67" spans="2:87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</row>
    <row r="68" spans="2:87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</row>
    <row r="69" spans="2:87" x14ac:dyDescent="0.2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</row>
    <row r="70" spans="2:87" x14ac:dyDescent="0.2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</row>
    <row r="71" spans="2:87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</row>
    <row r="72" spans="2:87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</row>
    <row r="73" spans="2:87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</row>
    <row r="74" spans="2:87" x14ac:dyDescent="0.2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</row>
    <row r="75" spans="2:87" x14ac:dyDescent="0.2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</row>
    <row r="76" spans="2:87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</row>
    <row r="77" spans="2:87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</row>
    <row r="78" spans="2:87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</row>
    <row r="79" spans="2:87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</row>
    <row r="80" spans="2:87" x14ac:dyDescent="0.2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</row>
    <row r="81" spans="2:87" x14ac:dyDescent="0.2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</row>
    <row r="82" spans="2:87" x14ac:dyDescent="0.2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</row>
    <row r="83" spans="2:87" x14ac:dyDescent="0.2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</row>
    <row r="84" spans="2:87" x14ac:dyDescent="0.2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</row>
    <row r="85" spans="2:87" x14ac:dyDescent="0.2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</row>
    <row r="86" spans="2:87" x14ac:dyDescent="0.2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</row>
    <row r="87" spans="2:87" x14ac:dyDescent="0.2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</row>
    <row r="88" spans="2:87" x14ac:dyDescent="0.2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</row>
    <row r="89" spans="2:87" x14ac:dyDescent="0.2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</row>
  </sheetData>
  <mergeCells count="8">
    <mergeCell ref="H2:H3"/>
    <mergeCell ref="I2:I3"/>
    <mergeCell ref="A2:A3"/>
    <mergeCell ref="B2:B3"/>
    <mergeCell ref="D2:D3"/>
    <mergeCell ref="E2:E3"/>
    <mergeCell ref="F2:F3"/>
    <mergeCell ref="G2:G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B5DC-19B8-4687-9D2E-C80B18A047B7}">
  <dimension ref="A2:BU67"/>
  <sheetViews>
    <sheetView workbookViewId="0">
      <selection activeCell="E6" sqref="E6"/>
    </sheetView>
  </sheetViews>
  <sheetFormatPr defaultRowHeight="15" x14ac:dyDescent="0.25"/>
  <cols>
    <col min="2" max="2" width="23.28515625" bestFit="1" customWidth="1"/>
    <col min="3" max="3" width="12.85546875" bestFit="1" customWidth="1"/>
    <col min="4" max="4" width="10.5703125" bestFit="1" customWidth="1"/>
    <col min="5" max="5" width="18.28515625" bestFit="1" customWidth="1"/>
    <col min="6" max="6" width="11.85546875" bestFit="1" customWidth="1"/>
    <col min="7" max="7" width="10.7109375" bestFit="1" customWidth="1"/>
    <col min="8" max="8" width="7.42578125" bestFit="1" customWidth="1"/>
    <col min="9" max="9" width="9" bestFit="1" customWidth="1"/>
    <col min="10" max="10" width="5.42578125" bestFit="1" customWidth="1"/>
    <col min="11" max="11" width="13.5703125" bestFit="1" customWidth="1"/>
    <col min="12" max="12" width="10" bestFit="1" customWidth="1"/>
    <col min="13" max="14" width="8.85546875" bestFit="1" customWidth="1"/>
    <col min="15" max="15" width="20.28515625" bestFit="1" customWidth="1"/>
    <col min="16" max="16" width="8" bestFit="1" customWidth="1"/>
    <col min="17" max="17" width="13" bestFit="1" customWidth="1"/>
    <col min="18" max="18" width="8" bestFit="1" customWidth="1"/>
    <col min="19" max="19" width="9.42578125" bestFit="1" customWidth="1"/>
    <col min="20" max="20" width="8.42578125" bestFit="1" customWidth="1"/>
    <col min="21" max="21" width="12.85546875" bestFit="1" customWidth="1"/>
    <col min="22" max="22" width="8.7109375" bestFit="1" customWidth="1"/>
    <col min="23" max="23" width="8" bestFit="1" customWidth="1"/>
    <col min="24" max="25" width="11.7109375" bestFit="1" customWidth="1"/>
    <col min="26" max="27" width="8" bestFit="1" customWidth="1"/>
    <col min="28" max="29" width="8.42578125" bestFit="1" customWidth="1"/>
    <col min="30" max="30" width="11.42578125" bestFit="1" customWidth="1"/>
    <col min="31" max="31" width="10" bestFit="1" customWidth="1"/>
    <col min="32" max="32" width="10.28515625" bestFit="1" customWidth="1"/>
    <col min="33" max="33" width="11.42578125" bestFit="1" customWidth="1"/>
    <col min="34" max="34" width="9.28515625" bestFit="1" customWidth="1"/>
    <col min="35" max="35" width="8" bestFit="1" customWidth="1"/>
    <col min="36" max="36" width="9.42578125" bestFit="1" customWidth="1"/>
    <col min="37" max="37" width="12.85546875" bestFit="1" customWidth="1"/>
    <col min="38" max="38" width="9.5703125" bestFit="1" customWidth="1"/>
    <col min="39" max="39" width="8" bestFit="1" customWidth="1"/>
    <col min="40" max="40" width="15.85546875" bestFit="1" customWidth="1"/>
    <col min="41" max="41" width="8" bestFit="1" customWidth="1"/>
    <col min="42" max="42" width="15.42578125" bestFit="1" customWidth="1"/>
    <col min="43" max="43" width="19.42578125" bestFit="1" customWidth="1"/>
    <col min="44" max="44" width="12.42578125" bestFit="1" customWidth="1"/>
    <col min="45" max="45" width="8.140625" bestFit="1" customWidth="1"/>
    <col min="46" max="46" width="15.85546875" bestFit="1" customWidth="1"/>
    <col min="47" max="47" width="9.85546875" bestFit="1" customWidth="1"/>
    <col min="48" max="48" width="8" bestFit="1" customWidth="1"/>
    <col min="49" max="49" width="8.140625" bestFit="1" customWidth="1"/>
    <col min="50" max="50" width="11.140625" bestFit="1" customWidth="1"/>
    <col min="51" max="51" width="13.7109375" bestFit="1" customWidth="1"/>
    <col min="52" max="52" width="17.5703125" bestFit="1" customWidth="1"/>
    <col min="53" max="53" width="11.140625" bestFit="1" customWidth="1"/>
    <col min="54" max="54" width="8" bestFit="1" customWidth="1"/>
    <col min="55" max="55" width="12.85546875" bestFit="1" customWidth="1"/>
    <col min="56" max="56" width="8" bestFit="1" customWidth="1"/>
    <col min="57" max="57" width="12.5703125" bestFit="1" customWidth="1"/>
    <col min="58" max="58" width="10.42578125" bestFit="1" customWidth="1"/>
    <col min="59" max="59" width="8.28515625" bestFit="1" customWidth="1"/>
    <col min="60" max="60" width="16.5703125" bestFit="1" customWidth="1"/>
    <col min="61" max="61" width="21.28515625" bestFit="1" customWidth="1"/>
    <col min="62" max="62" width="23.28515625" bestFit="1" customWidth="1"/>
    <col min="63" max="63" width="10.7109375" bestFit="1" customWidth="1"/>
    <col min="64" max="64" width="9.85546875" bestFit="1" customWidth="1"/>
    <col min="65" max="65" width="18" bestFit="1" customWidth="1"/>
    <col min="66" max="66" width="8.85546875" bestFit="1" customWidth="1"/>
    <col min="67" max="67" width="7.85546875" bestFit="1" customWidth="1"/>
  </cols>
  <sheetData>
    <row r="2" spans="1:73" ht="15" customHeight="1" x14ac:dyDescent="0.25">
      <c r="A2" s="20" t="s">
        <v>21</v>
      </c>
      <c r="B2" s="20" t="s">
        <v>22</v>
      </c>
      <c r="D2" s="20" t="s">
        <v>23</v>
      </c>
      <c r="E2" s="21" t="s">
        <v>64</v>
      </c>
    </row>
    <row r="3" spans="1:73" x14ac:dyDescent="0.25">
      <c r="A3" s="20"/>
      <c r="B3" s="20"/>
      <c r="C3" t="s">
        <v>39</v>
      </c>
      <c r="D3" s="20"/>
      <c r="E3" s="21"/>
    </row>
    <row r="4" spans="1:73" x14ac:dyDescent="0.25">
      <c r="A4">
        <v>1</v>
      </c>
      <c r="B4" s="1" t="s">
        <v>0</v>
      </c>
      <c r="C4" t="s">
        <v>40</v>
      </c>
      <c r="D4" s="3">
        <v>11</v>
      </c>
      <c r="E4" s="2">
        <f>INDEX($C$32:$V$52,D4,D5)</f>
        <v>140</v>
      </c>
      <c r="F4" s="1"/>
      <c r="G4" s="1"/>
      <c r="H4" s="1"/>
      <c r="I4" s="1"/>
      <c r="J4" s="1"/>
      <c r="K4" s="3">
        <v>1</v>
      </c>
      <c r="L4" s="2">
        <f>INDEX($C$32:$V$52,K4,K5)</f>
        <v>200</v>
      </c>
      <c r="M4" s="1"/>
      <c r="N4" s="3">
        <v>11</v>
      </c>
      <c r="O4" s="2">
        <f>INDEX($C$32:$V$52,N4,N5)</f>
        <v>140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5">
      <c r="A5">
        <v>2</v>
      </c>
      <c r="B5" s="1" t="s">
        <v>1</v>
      </c>
      <c r="C5" t="s">
        <v>41</v>
      </c>
      <c r="D5" s="3">
        <v>19</v>
      </c>
      <c r="E5" s="2">
        <f t="shared" ref="E5:E22" si="0">INDEX($C$32:$V$52,D5,D6)</f>
        <v>120</v>
      </c>
      <c r="F5" s="2"/>
      <c r="G5" s="2"/>
      <c r="H5" s="2"/>
      <c r="I5" s="2"/>
      <c r="J5" s="2"/>
      <c r="K5" s="3">
        <v>2</v>
      </c>
      <c r="L5" s="2">
        <f t="shared" ref="L5:L22" si="1">INDEX($C$32:$V$52,K5,K6)</f>
        <v>180</v>
      </c>
      <c r="M5" s="2"/>
      <c r="N5" s="3">
        <v>19</v>
      </c>
      <c r="O5" s="2">
        <f t="shared" ref="O5:O22" si="2">INDEX($C$32:$V$52,N5,N6)</f>
        <v>120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73" x14ac:dyDescent="0.25">
      <c r="A6">
        <v>3</v>
      </c>
      <c r="B6" s="1" t="s">
        <v>2</v>
      </c>
      <c r="C6" t="s">
        <v>42</v>
      </c>
      <c r="D6" s="3">
        <v>16</v>
      </c>
      <c r="E6" s="2">
        <f t="shared" si="0"/>
        <v>180</v>
      </c>
      <c r="F6" s="2"/>
      <c r="G6" s="2"/>
      <c r="H6" s="2"/>
      <c r="I6" s="2"/>
      <c r="J6" s="2"/>
      <c r="K6" s="3">
        <v>3</v>
      </c>
      <c r="L6" s="2">
        <f t="shared" si="1"/>
        <v>160</v>
      </c>
      <c r="M6" s="2"/>
      <c r="N6" s="3">
        <v>16</v>
      </c>
      <c r="O6" s="2">
        <f t="shared" si="2"/>
        <v>180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73" x14ac:dyDescent="0.25">
      <c r="A7">
        <v>4</v>
      </c>
      <c r="B7" s="1" t="s">
        <v>3</v>
      </c>
      <c r="C7" t="s">
        <v>43</v>
      </c>
      <c r="D7" s="3">
        <v>17</v>
      </c>
      <c r="E7" s="2">
        <f t="shared" si="0"/>
        <v>160</v>
      </c>
      <c r="F7" s="2"/>
      <c r="G7" s="2"/>
      <c r="H7" s="2"/>
      <c r="I7" s="2"/>
      <c r="J7" s="2"/>
      <c r="K7" s="3">
        <v>4</v>
      </c>
      <c r="L7" s="2">
        <f t="shared" si="1"/>
        <v>140</v>
      </c>
      <c r="M7" s="2"/>
      <c r="N7" s="3">
        <v>17</v>
      </c>
      <c r="O7" s="2">
        <f t="shared" si="2"/>
        <v>160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73" x14ac:dyDescent="0.25">
      <c r="A8">
        <v>5</v>
      </c>
      <c r="B8" s="1" t="s">
        <v>4</v>
      </c>
      <c r="C8" t="s">
        <v>44</v>
      </c>
      <c r="D8" s="3">
        <v>10</v>
      </c>
      <c r="E8" s="2">
        <f t="shared" si="0"/>
        <v>160</v>
      </c>
      <c r="F8" s="2"/>
      <c r="G8" s="2"/>
      <c r="H8" s="2"/>
      <c r="I8" s="2"/>
      <c r="J8" s="2"/>
      <c r="K8" s="3">
        <v>5</v>
      </c>
      <c r="L8" s="2">
        <f t="shared" si="1"/>
        <v>120</v>
      </c>
      <c r="M8" s="2"/>
      <c r="N8" s="3">
        <v>10</v>
      </c>
      <c r="O8" s="2">
        <f t="shared" si="2"/>
        <v>160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73" x14ac:dyDescent="0.25">
      <c r="A9">
        <v>6</v>
      </c>
      <c r="B9" s="1" t="s">
        <v>5</v>
      </c>
      <c r="C9" t="s">
        <v>45</v>
      </c>
      <c r="D9" s="3">
        <v>15</v>
      </c>
      <c r="E9" s="2">
        <f t="shared" si="0"/>
        <v>200</v>
      </c>
      <c r="F9" s="2"/>
      <c r="G9" s="2"/>
      <c r="H9" s="2"/>
      <c r="I9" s="2"/>
      <c r="J9" s="2"/>
      <c r="K9" s="3">
        <v>6</v>
      </c>
      <c r="L9" s="2">
        <f t="shared" si="1"/>
        <v>110</v>
      </c>
      <c r="M9" s="2"/>
      <c r="N9" s="3">
        <v>15</v>
      </c>
      <c r="O9" s="2">
        <f t="shared" si="2"/>
        <v>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73" x14ac:dyDescent="0.25">
      <c r="A10">
        <v>7</v>
      </c>
      <c r="B10" s="1" t="s">
        <v>6</v>
      </c>
      <c r="C10" t="s">
        <v>40</v>
      </c>
      <c r="D10" s="3">
        <v>14</v>
      </c>
      <c r="E10" s="2">
        <f t="shared" si="0"/>
        <v>100</v>
      </c>
      <c r="F10" s="2"/>
      <c r="G10" s="2"/>
      <c r="H10" s="2"/>
      <c r="I10" s="2"/>
      <c r="J10" s="2"/>
      <c r="K10" s="3">
        <v>7</v>
      </c>
      <c r="L10" s="2">
        <f t="shared" si="1"/>
        <v>100</v>
      </c>
      <c r="M10" s="2"/>
      <c r="N10" s="3">
        <v>14</v>
      </c>
      <c r="O10" s="2">
        <f t="shared" si="2"/>
        <v>100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73" x14ac:dyDescent="0.25">
      <c r="A11">
        <v>8</v>
      </c>
      <c r="B11" s="1" t="s">
        <v>7</v>
      </c>
      <c r="C11" t="s">
        <v>41</v>
      </c>
      <c r="D11" s="3">
        <v>4</v>
      </c>
      <c r="E11" s="2">
        <f t="shared" si="0"/>
        <v>140</v>
      </c>
      <c r="F11" s="2"/>
      <c r="G11" s="2"/>
      <c r="H11" s="2"/>
      <c r="I11" s="2"/>
      <c r="J11" s="2"/>
      <c r="K11" s="3">
        <v>8</v>
      </c>
      <c r="L11" s="2">
        <f t="shared" si="1"/>
        <v>200</v>
      </c>
      <c r="M11" s="2"/>
      <c r="N11" s="3">
        <v>4</v>
      </c>
      <c r="O11" s="2">
        <f t="shared" si="2"/>
        <v>140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73" x14ac:dyDescent="0.25">
      <c r="A12">
        <v>9</v>
      </c>
      <c r="B12" s="1" t="s">
        <v>8</v>
      </c>
      <c r="C12" t="s">
        <v>42</v>
      </c>
      <c r="D12" s="3">
        <v>18</v>
      </c>
      <c r="E12" s="2">
        <f t="shared" si="0"/>
        <v>140</v>
      </c>
      <c r="F12" s="2"/>
      <c r="G12" s="2"/>
      <c r="H12" s="2"/>
      <c r="I12" s="2"/>
      <c r="J12" s="2"/>
      <c r="K12" s="3">
        <v>9</v>
      </c>
      <c r="L12" s="2">
        <f t="shared" si="1"/>
        <v>180</v>
      </c>
      <c r="M12" s="2"/>
      <c r="N12" s="3">
        <v>18</v>
      </c>
      <c r="O12" s="2">
        <f t="shared" si="2"/>
        <v>140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73" x14ac:dyDescent="0.25">
      <c r="A13">
        <v>10</v>
      </c>
      <c r="B13" s="1" t="s">
        <v>9</v>
      </c>
      <c r="C13" t="s">
        <v>43</v>
      </c>
      <c r="D13" s="3">
        <v>7</v>
      </c>
      <c r="E13" s="2">
        <f t="shared" si="0"/>
        <v>100</v>
      </c>
      <c r="F13" s="2"/>
      <c r="G13" s="2"/>
      <c r="H13" s="2"/>
      <c r="I13" s="2"/>
      <c r="J13" s="2"/>
      <c r="K13" s="3">
        <v>10</v>
      </c>
      <c r="L13" s="2">
        <f t="shared" si="1"/>
        <v>160</v>
      </c>
      <c r="M13" s="2"/>
      <c r="N13" s="3">
        <v>7</v>
      </c>
      <c r="O13" s="2">
        <f t="shared" si="2"/>
        <v>100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73" x14ac:dyDescent="0.25">
      <c r="A14">
        <v>11</v>
      </c>
      <c r="B14" s="1" t="s">
        <v>10</v>
      </c>
      <c r="C14" t="s">
        <v>44</v>
      </c>
      <c r="D14" s="3">
        <v>13</v>
      </c>
      <c r="E14" s="2">
        <f t="shared" si="0"/>
        <v>110</v>
      </c>
      <c r="F14" s="2"/>
      <c r="G14" s="2"/>
      <c r="H14" s="2"/>
      <c r="I14" s="2"/>
      <c r="J14" s="2"/>
      <c r="K14" s="3">
        <v>11</v>
      </c>
      <c r="L14" s="2">
        <f t="shared" si="1"/>
        <v>140</v>
      </c>
      <c r="M14" s="2"/>
      <c r="N14" s="3">
        <v>13</v>
      </c>
      <c r="O14" s="2">
        <f t="shared" si="2"/>
        <v>110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73" x14ac:dyDescent="0.25">
      <c r="A15">
        <v>12</v>
      </c>
      <c r="B15" s="1" t="s">
        <v>11</v>
      </c>
      <c r="C15" t="s">
        <v>45</v>
      </c>
      <c r="D15" s="3">
        <v>12</v>
      </c>
      <c r="E15" s="2">
        <f t="shared" si="0"/>
        <v>120</v>
      </c>
      <c r="F15" s="2"/>
      <c r="G15" s="2"/>
      <c r="H15" s="2"/>
      <c r="I15" s="2"/>
      <c r="J15" s="2"/>
      <c r="K15" s="3">
        <v>12</v>
      </c>
      <c r="L15" s="2">
        <f t="shared" si="1"/>
        <v>120</v>
      </c>
      <c r="M15" s="2"/>
      <c r="N15" s="3">
        <v>12</v>
      </c>
      <c r="O15" s="2">
        <f t="shared" si="2"/>
        <v>120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73" x14ac:dyDescent="0.25">
      <c r="A16">
        <v>13</v>
      </c>
      <c r="B16" s="1" t="s">
        <v>12</v>
      </c>
      <c r="C16" t="s">
        <v>40</v>
      </c>
      <c r="D16" s="3">
        <v>3</v>
      </c>
      <c r="E16" s="2">
        <f t="shared" si="0"/>
        <v>160</v>
      </c>
      <c r="F16" s="2"/>
      <c r="G16" s="2"/>
      <c r="H16" s="2"/>
      <c r="I16" s="2"/>
      <c r="J16" s="2"/>
      <c r="K16" s="3">
        <v>13</v>
      </c>
      <c r="L16" s="2">
        <f t="shared" si="1"/>
        <v>110</v>
      </c>
      <c r="M16" s="2"/>
      <c r="N16" s="3">
        <v>3</v>
      </c>
      <c r="O16" s="2">
        <f t="shared" si="2"/>
        <v>160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x14ac:dyDescent="0.25">
      <c r="A17">
        <v>14</v>
      </c>
      <c r="B17" s="1" t="s">
        <v>13</v>
      </c>
      <c r="C17" t="s">
        <v>41</v>
      </c>
      <c r="D17" s="3">
        <v>20</v>
      </c>
      <c r="E17" s="2">
        <f t="shared" si="0"/>
        <v>110</v>
      </c>
      <c r="F17" s="2"/>
      <c r="G17" s="2"/>
      <c r="H17" s="2"/>
      <c r="I17" s="2"/>
      <c r="J17" s="2"/>
      <c r="K17" s="3">
        <v>14</v>
      </c>
      <c r="L17" s="2">
        <f t="shared" si="1"/>
        <v>100</v>
      </c>
      <c r="M17" s="2"/>
      <c r="N17" s="3">
        <v>20</v>
      </c>
      <c r="O17" s="2">
        <f t="shared" si="2"/>
        <v>110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x14ac:dyDescent="0.25">
      <c r="A18">
        <v>15</v>
      </c>
      <c r="B18" s="1" t="s">
        <v>14</v>
      </c>
      <c r="C18" t="s">
        <v>42</v>
      </c>
      <c r="D18" s="3">
        <v>2</v>
      </c>
      <c r="E18" s="2">
        <f t="shared" si="0"/>
        <v>180</v>
      </c>
      <c r="F18" s="2"/>
      <c r="G18" s="2"/>
      <c r="H18" s="2"/>
      <c r="I18" s="2"/>
      <c r="J18" s="2"/>
      <c r="K18" s="3">
        <v>15</v>
      </c>
      <c r="L18" s="2">
        <f t="shared" si="1"/>
        <v>200</v>
      </c>
      <c r="M18" s="2"/>
      <c r="N18" s="3">
        <v>2</v>
      </c>
      <c r="O18" s="2">
        <f t="shared" si="2"/>
        <v>180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x14ac:dyDescent="0.25">
      <c r="A19">
        <v>16</v>
      </c>
      <c r="B19" s="1" t="s">
        <v>15</v>
      </c>
      <c r="C19" t="s">
        <v>43</v>
      </c>
      <c r="D19" s="3">
        <v>5</v>
      </c>
      <c r="E19" s="2">
        <f t="shared" si="0"/>
        <v>120</v>
      </c>
      <c r="F19" s="2"/>
      <c r="G19" s="2"/>
      <c r="H19" s="2"/>
      <c r="I19" s="2"/>
      <c r="J19" s="2"/>
      <c r="K19" s="3">
        <v>16</v>
      </c>
      <c r="L19" s="2">
        <f t="shared" si="1"/>
        <v>180</v>
      </c>
      <c r="M19" s="2"/>
      <c r="N19" s="3">
        <v>5</v>
      </c>
      <c r="O19" s="2">
        <f t="shared" si="2"/>
        <v>120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x14ac:dyDescent="0.25">
      <c r="A20">
        <v>17</v>
      </c>
      <c r="B20" s="1" t="s">
        <v>16</v>
      </c>
      <c r="C20" t="s">
        <v>44</v>
      </c>
      <c r="D20" s="3">
        <v>9</v>
      </c>
      <c r="E20" s="2">
        <f t="shared" si="0"/>
        <v>180</v>
      </c>
      <c r="F20" s="2"/>
      <c r="G20" s="2"/>
      <c r="H20" s="2"/>
      <c r="I20" s="2"/>
      <c r="J20" s="2"/>
      <c r="K20" s="3">
        <v>17</v>
      </c>
      <c r="L20" s="2">
        <f t="shared" si="1"/>
        <v>160</v>
      </c>
      <c r="M20" s="2"/>
      <c r="N20" s="3">
        <v>9</v>
      </c>
      <c r="O20" s="2">
        <f t="shared" si="2"/>
        <v>180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x14ac:dyDescent="0.25">
      <c r="A21">
        <v>18</v>
      </c>
      <c r="B21" s="1" t="s">
        <v>17</v>
      </c>
      <c r="C21" t="s">
        <v>45</v>
      </c>
      <c r="D21" s="3">
        <v>8</v>
      </c>
      <c r="E21" s="2">
        <f t="shared" si="0"/>
        <v>200</v>
      </c>
      <c r="F21" s="2"/>
      <c r="G21" s="2"/>
      <c r="H21" s="2"/>
      <c r="I21" s="2"/>
      <c r="J21" s="2"/>
      <c r="K21" s="3">
        <v>18</v>
      </c>
      <c r="L21" s="2">
        <f t="shared" si="1"/>
        <v>140</v>
      </c>
      <c r="M21" s="2"/>
      <c r="N21" s="3">
        <v>8</v>
      </c>
      <c r="O21" s="2">
        <f t="shared" si="2"/>
        <v>200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x14ac:dyDescent="0.25">
      <c r="A22">
        <v>19</v>
      </c>
      <c r="B22" s="1" t="s">
        <v>18</v>
      </c>
      <c r="C22" t="s">
        <v>40</v>
      </c>
      <c r="D22" s="3">
        <v>6</v>
      </c>
      <c r="E22" s="2">
        <f t="shared" si="0"/>
        <v>110</v>
      </c>
      <c r="F22" s="2"/>
      <c r="G22" s="2"/>
      <c r="H22" s="2"/>
      <c r="I22" s="2"/>
      <c r="J22" s="2"/>
      <c r="K22" s="3">
        <v>19</v>
      </c>
      <c r="L22" s="2">
        <f t="shared" si="1"/>
        <v>120</v>
      </c>
      <c r="M22" s="2"/>
      <c r="N22" s="3">
        <v>6</v>
      </c>
      <c r="O22" s="2">
        <f t="shared" si="2"/>
        <v>110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 x14ac:dyDescent="0.25">
      <c r="A23">
        <v>20</v>
      </c>
      <c r="B23" s="1" t="s">
        <v>19</v>
      </c>
      <c r="C23" t="s">
        <v>41</v>
      </c>
      <c r="D23" s="3">
        <v>1</v>
      </c>
      <c r="E23" s="2"/>
      <c r="F23" s="2"/>
      <c r="G23" s="2"/>
      <c r="H23" s="2"/>
      <c r="I23" s="2"/>
      <c r="J23" s="2"/>
      <c r="K23" s="3">
        <v>20</v>
      </c>
      <c r="L23" s="2"/>
      <c r="M23" s="2"/>
      <c r="N23" s="3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1:65" x14ac:dyDescent="0.25">
      <c r="E24" s="2">
        <f>SUM(E4:E23)</f>
        <v>2730</v>
      </c>
      <c r="F24" s="2"/>
      <c r="G24" s="2"/>
      <c r="H24" s="2"/>
      <c r="I24" s="2"/>
      <c r="J24" s="2"/>
      <c r="L24" s="2">
        <f>SUM(L4:L23)</f>
        <v>2820</v>
      </c>
      <c r="M24" s="2"/>
      <c r="O24" s="2">
        <f>SUM(O4:O23)</f>
        <v>2730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 spans="1:65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5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5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5" x14ac:dyDescent="0.2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5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5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5" x14ac:dyDescent="0.25">
      <c r="B31" s="1"/>
      <c r="C31" s="1" t="s">
        <v>0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7</v>
      </c>
      <c r="K31" s="1" t="s">
        <v>8</v>
      </c>
      <c r="L31" s="1" t="s">
        <v>9</v>
      </c>
      <c r="M31" s="1" t="s">
        <v>10</v>
      </c>
      <c r="N31" s="1" t="s">
        <v>11</v>
      </c>
      <c r="O31" s="1" t="s">
        <v>12</v>
      </c>
      <c r="P31" s="1" t="s">
        <v>13</v>
      </c>
      <c r="Q31" s="1" t="s">
        <v>14</v>
      </c>
      <c r="R31" s="1" t="s">
        <v>15</v>
      </c>
      <c r="S31" s="1" t="s">
        <v>16</v>
      </c>
      <c r="T31" s="1" t="s">
        <v>17</v>
      </c>
      <c r="U31" s="1" t="s">
        <v>18</v>
      </c>
      <c r="V31" s="1" t="s">
        <v>19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5" x14ac:dyDescent="0.25">
      <c r="B32" t="s">
        <v>40</v>
      </c>
      <c r="C32" s="2">
        <v>200</v>
      </c>
      <c r="D32" s="2">
        <v>200</v>
      </c>
      <c r="E32" s="2">
        <v>200</v>
      </c>
      <c r="F32" s="2">
        <v>200</v>
      </c>
      <c r="G32" s="2">
        <v>200</v>
      </c>
      <c r="H32" s="2">
        <v>200</v>
      </c>
      <c r="I32" s="2">
        <v>200</v>
      </c>
      <c r="J32" s="2">
        <v>200</v>
      </c>
      <c r="K32" s="2">
        <v>200</v>
      </c>
      <c r="L32" s="2">
        <v>200</v>
      </c>
      <c r="M32" s="2">
        <v>200</v>
      </c>
      <c r="N32" s="2">
        <v>200</v>
      </c>
      <c r="O32" s="2">
        <v>200</v>
      </c>
      <c r="P32" s="2">
        <v>200</v>
      </c>
      <c r="Q32" s="2">
        <v>200</v>
      </c>
      <c r="R32" s="2">
        <v>200</v>
      </c>
      <c r="S32" s="2">
        <v>200</v>
      </c>
      <c r="T32" s="2">
        <v>200</v>
      </c>
      <c r="U32" s="2">
        <v>200</v>
      </c>
      <c r="V32" s="2">
        <v>200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2:61" x14ac:dyDescent="0.25">
      <c r="B33" t="s">
        <v>41</v>
      </c>
      <c r="C33" s="2">
        <v>180</v>
      </c>
      <c r="D33" s="2">
        <v>180</v>
      </c>
      <c r="E33" s="2">
        <v>180</v>
      </c>
      <c r="F33" s="2">
        <v>180</v>
      </c>
      <c r="G33" s="2">
        <v>180</v>
      </c>
      <c r="H33" s="2">
        <v>180</v>
      </c>
      <c r="I33" s="2">
        <v>180</v>
      </c>
      <c r="J33" s="2">
        <v>180</v>
      </c>
      <c r="K33" s="2">
        <v>180</v>
      </c>
      <c r="L33" s="2">
        <v>180</v>
      </c>
      <c r="M33" s="2">
        <v>180</v>
      </c>
      <c r="N33" s="2">
        <v>180</v>
      </c>
      <c r="O33" s="2">
        <v>180</v>
      </c>
      <c r="P33" s="2">
        <v>180</v>
      </c>
      <c r="Q33" s="2">
        <v>180</v>
      </c>
      <c r="R33" s="2">
        <v>180</v>
      </c>
      <c r="S33" s="2">
        <v>180</v>
      </c>
      <c r="T33" s="2">
        <v>180</v>
      </c>
      <c r="U33" s="2">
        <v>180</v>
      </c>
      <c r="V33" s="2">
        <v>180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2:61" x14ac:dyDescent="0.25">
      <c r="B34" t="s">
        <v>42</v>
      </c>
      <c r="C34" s="2">
        <v>160</v>
      </c>
      <c r="D34" s="2">
        <v>160</v>
      </c>
      <c r="E34" s="2">
        <v>160</v>
      </c>
      <c r="F34" s="2">
        <v>160</v>
      </c>
      <c r="G34" s="2">
        <v>160</v>
      </c>
      <c r="H34" s="2">
        <v>160</v>
      </c>
      <c r="I34" s="2">
        <v>160</v>
      </c>
      <c r="J34" s="2">
        <v>160</v>
      </c>
      <c r="K34" s="2">
        <v>160</v>
      </c>
      <c r="L34" s="2">
        <v>160</v>
      </c>
      <c r="M34" s="2">
        <v>160</v>
      </c>
      <c r="N34" s="2">
        <v>160</v>
      </c>
      <c r="O34" s="2">
        <v>160</v>
      </c>
      <c r="P34" s="2">
        <v>160</v>
      </c>
      <c r="Q34" s="2">
        <v>160</v>
      </c>
      <c r="R34" s="2">
        <v>160</v>
      </c>
      <c r="S34" s="2">
        <v>160</v>
      </c>
      <c r="T34" s="2">
        <v>160</v>
      </c>
      <c r="U34" s="2">
        <v>160</v>
      </c>
      <c r="V34" s="2">
        <v>160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2:61" x14ac:dyDescent="0.25">
      <c r="B35" t="s">
        <v>43</v>
      </c>
      <c r="C35" s="2">
        <v>140</v>
      </c>
      <c r="D35" s="2">
        <v>140</v>
      </c>
      <c r="E35" s="2">
        <v>140</v>
      </c>
      <c r="F35" s="2">
        <v>140</v>
      </c>
      <c r="G35" s="2">
        <v>140</v>
      </c>
      <c r="H35" s="2">
        <v>140</v>
      </c>
      <c r="I35" s="2">
        <v>140</v>
      </c>
      <c r="J35" s="2">
        <v>140</v>
      </c>
      <c r="K35" s="2">
        <v>140</v>
      </c>
      <c r="L35" s="2">
        <v>140</v>
      </c>
      <c r="M35" s="2">
        <v>140</v>
      </c>
      <c r="N35" s="2">
        <v>140</v>
      </c>
      <c r="O35" s="2">
        <v>140</v>
      </c>
      <c r="P35" s="2">
        <v>140</v>
      </c>
      <c r="Q35" s="2">
        <v>140</v>
      </c>
      <c r="R35" s="2">
        <v>140</v>
      </c>
      <c r="S35" s="2">
        <v>140</v>
      </c>
      <c r="T35" s="2">
        <v>140</v>
      </c>
      <c r="U35" s="2">
        <v>140</v>
      </c>
      <c r="V35" s="2">
        <v>140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2:61" x14ac:dyDescent="0.25">
      <c r="B36" t="s">
        <v>44</v>
      </c>
      <c r="C36" s="2">
        <v>120</v>
      </c>
      <c r="D36" s="2">
        <v>120</v>
      </c>
      <c r="E36" s="2">
        <v>120</v>
      </c>
      <c r="F36" s="2">
        <v>120</v>
      </c>
      <c r="G36" s="2">
        <v>120</v>
      </c>
      <c r="H36" s="2">
        <v>120</v>
      </c>
      <c r="I36" s="2">
        <v>120</v>
      </c>
      <c r="J36" s="2">
        <v>120</v>
      </c>
      <c r="K36" s="2">
        <v>120</v>
      </c>
      <c r="L36" s="2">
        <v>120</v>
      </c>
      <c r="M36" s="2">
        <v>120</v>
      </c>
      <c r="N36" s="2">
        <v>120</v>
      </c>
      <c r="O36" s="2">
        <v>120</v>
      </c>
      <c r="P36" s="2">
        <v>120</v>
      </c>
      <c r="Q36" s="2">
        <v>120</v>
      </c>
      <c r="R36" s="2">
        <v>120</v>
      </c>
      <c r="S36" s="2">
        <v>120</v>
      </c>
      <c r="T36" s="2">
        <v>120</v>
      </c>
      <c r="U36" s="2">
        <v>120</v>
      </c>
      <c r="V36" s="2">
        <v>120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2:61" x14ac:dyDescent="0.25">
      <c r="B37" t="s">
        <v>45</v>
      </c>
      <c r="C37" s="2">
        <v>110</v>
      </c>
      <c r="D37" s="2">
        <v>110</v>
      </c>
      <c r="E37" s="2">
        <v>110</v>
      </c>
      <c r="F37" s="2">
        <v>110</v>
      </c>
      <c r="G37" s="2">
        <v>110</v>
      </c>
      <c r="H37" s="2">
        <v>110</v>
      </c>
      <c r="I37" s="2">
        <v>110</v>
      </c>
      <c r="J37" s="2">
        <v>110</v>
      </c>
      <c r="K37" s="2">
        <v>110</v>
      </c>
      <c r="L37" s="2">
        <v>110</v>
      </c>
      <c r="M37" s="2">
        <v>110</v>
      </c>
      <c r="N37" s="2">
        <v>110</v>
      </c>
      <c r="O37" s="2">
        <v>110</v>
      </c>
      <c r="P37" s="2">
        <v>110</v>
      </c>
      <c r="Q37" s="2">
        <v>110</v>
      </c>
      <c r="R37" s="2">
        <v>110</v>
      </c>
      <c r="S37" s="2">
        <v>110</v>
      </c>
      <c r="T37" s="2">
        <v>110</v>
      </c>
      <c r="U37" s="2">
        <v>110</v>
      </c>
      <c r="V37" s="2">
        <v>110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2:61" x14ac:dyDescent="0.25">
      <c r="B38" s="1" t="s">
        <v>46</v>
      </c>
      <c r="C38" s="2">
        <v>100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100</v>
      </c>
      <c r="P38" s="2">
        <v>100</v>
      </c>
      <c r="Q38" s="2">
        <v>100</v>
      </c>
      <c r="R38" s="2">
        <v>100</v>
      </c>
      <c r="S38" s="2">
        <v>100</v>
      </c>
      <c r="T38" s="2">
        <v>100</v>
      </c>
      <c r="U38" s="2">
        <v>100</v>
      </c>
      <c r="V38" s="2">
        <v>100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2:61" x14ac:dyDescent="0.25">
      <c r="B39" t="s">
        <v>40</v>
      </c>
      <c r="C39" s="2">
        <v>200</v>
      </c>
      <c r="D39" s="2">
        <v>200</v>
      </c>
      <c r="E39" s="2">
        <v>200</v>
      </c>
      <c r="F39" s="2">
        <v>200</v>
      </c>
      <c r="G39" s="2">
        <v>200</v>
      </c>
      <c r="H39" s="2">
        <v>200</v>
      </c>
      <c r="I39" s="2">
        <v>200</v>
      </c>
      <c r="J39" s="2">
        <v>200</v>
      </c>
      <c r="K39" s="2">
        <v>200</v>
      </c>
      <c r="L39" s="2">
        <v>200</v>
      </c>
      <c r="M39" s="2">
        <v>200</v>
      </c>
      <c r="N39" s="2">
        <v>200</v>
      </c>
      <c r="O39" s="2">
        <v>200</v>
      </c>
      <c r="P39" s="2">
        <v>200</v>
      </c>
      <c r="Q39" s="2">
        <v>200</v>
      </c>
      <c r="R39" s="2">
        <v>200</v>
      </c>
      <c r="S39" s="2">
        <v>200</v>
      </c>
      <c r="T39" s="2">
        <v>200</v>
      </c>
      <c r="U39" s="2">
        <v>200</v>
      </c>
      <c r="V39" s="2">
        <v>200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2:61" x14ac:dyDescent="0.25">
      <c r="B40" t="s">
        <v>41</v>
      </c>
      <c r="C40" s="2">
        <v>180</v>
      </c>
      <c r="D40" s="2">
        <v>180</v>
      </c>
      <c r="E40" s="2">
        <v>180</v>
      </c>
      <c r="F40" s="2">
        <v>180</v>
      </c>
      <c r="G40" s="2">
        <v>180</v>
      </c>
      <c r="H40" s="2">
        <v>180</v>
      </c>
      <c r="I40" s="2">
        <v>180</v>
      </c>
      <c r="J40" s="2">
        <v>180</v>
      </c>
      <c r="K40" s="2">
        <v>180</v>
      </c>
      <c r="L40" s="2">
        <v>180</v>
      </c>
      <c r="M40" s="2">
        <v>180</v>
      </c>
      <c r="N40" s="2">
        <v>180</v>
      </c>
      <c r="O40" s="2">
        <v>180</v>
      </c>
      <c r="P40" s="2">
        <v>180</v>
      </c>
      <c r="Q40" s="2">
        <v>180</v>
      </c>
      <c r="R40" s="2">
        <v>180</v>
      </c>
      <c r="S40" s="2">
        <v>180</v>
      </c>
      <c r="T40" s="2">
        <v>180</v>
      </c>
      <c r="U40" s="2">
        <v>180</v>
      </c>
      <c r="V40" s="2">
        <v>180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2:61" x14ac:dyDescent="0.25">
      <c r="B41" t="s">
        <v>42</v>
      </c>
      <c r="C41" s="2">
        <v>160</v>
      </c>
      <c r="D41" s="2">
        <v>160</v>
      </c>
      <c r="E41" s="2">
        <v>160</v>
      </c>
      <c r="F41" s="2">
        <v>160</v>
      </c>
      <c r="G41" s="2">
        <v>160</v>
      </c>
      <c r="H41" s="2">
        <v>160</v>
      </c>
      <c r="I41" s="2">
        <v>160</v>
      </c>
      <c r="J41" s="2">
        <v>160</v>
      </c>
      <c r="K41" s="2">
        <v>160</v>
      </c>
      <c r="L41" s="2">
        <v>160</v>
      </c>
      <c r="M41" s="2">
        <v>160</v>
      </c>
      <c r="N41" s="2">
        <v>160</v>
      </c>
      <c r="O41" s="2">
        <v>160</v>
      </c>
      <c r="P41" s="2">
        <v>160</v>
      </c>
      <c r="Q41" s="2">
        <v>160</v>
      </c>
      <c r="R41" s="2">
        <v>160</v>
      </c>
      <c r="S41" s="2">
        <v>160</v>
      </c>
      <c r="T41" s="2">
        <v>160</v>
      </c>
      <c r="U41" s="2">
        <v>160</v>
      </c>
      <c r="V41" s="2">
        <v>160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2:61" x14ac:dyDescent="0.25">
      <c r="B42" t="s">
        <v>43</v>
      </c>
      <c r="C42" s="2">
        <v>140</v>
      </c>
      <c r="D42" s="2">
        <v>140</v>
      </c>
      <c r="E42" s="2">
        <v>140</v>
      </c>
      <c r="F42" s="2">
        <v>140</v>
      </c>
      <c r="G42" s="2">
        <v>140</v>
      </c>
      <c r="H42" s="2">
        <v>140</v>
      </c>
      <c r="I42" s="2">
        <v>140</v>
      </c>
      <c r="J42" s="2">
        <v>140</v>
      </c>
      <c r="K42" s="2">
        <v>140</v>
      </c>
      <c r="L42" s="2">
        <v>140</v>
      </c>
      <c r="M42" s="2">
        <v>140</v>
      </c>
      <c r="N42" s="2">
        <v>140</v>
      </c>
      <c r="O42" s="2">
        <v>140</v>
      </c>
      <c r="P42" s="2">
        <v>140</v>
      </c>
      <c r="Q42" s="2">
        <v>140</v>
      </c>
      <c r="R42" s="2">
        <v>140</v>
      </c>
      <c r="S42" s="2">
        <v>140</v>
      </c>
      <c r="T42" s="2">
        <v>140</v>
      </c>
      <c r="U42" s="2">
        <v>140</v>
      </c>
      <c r="V42" s="2">
        <v>140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2:61" x14ac:dyDescent="0.25">
      <c r="B43" t="s">
        <v>44</v>
      </c>
      <c r="C43" s="2">
        <v>120</v>
      </c>
      <c r="D43" s="2">
        <v>120</v>
      </c>
      <c r="E43" s="2">
        <v>120</v>
      </c>
      <c r="F43" s="2">
        <v>120</v>
      </c>
      <c r="G43" s="2">
        <v>120</v>
      </c>
      <c r="H43" s="2">
        <v>120</v>
      </c>
      <c r="I43" s="2">
        <v>120</v>
      </c>
      <c r="J43" s="2">
        <v>120</v>
      </c>
      <c r="K43" s="2">
        <v>120</v>
      </c>
      <c r="L43" s="2">
        <v>120</v>
      </c>
      <c r="M43" s="2">
        <v>120</v>
      </c>
      <c r="N43" s="2">
        <v>120</v>
      </c>
      <c r="O43" s="2">
        <v>120</v>
      </c>
      <c r="P43" s="2">
        <v>120</v>
      </c>
      <c r="Q43" s="2">
        <v>120</v>
      </c>
      <c r="R43" s="2">
        <v>120</v>
      </c>
      <c r="S43" s="2">
        <v>120</v>
      </c>
      <c r="T43" s="2">
        <v>120</v>
      </c>
      <c r="U43" s="2">
        <v>120</v>
      </c>
      <c r="V43" s="2">
        <v>120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2:61" x14ac:dyDescent="0.25">
      <c r="B44" t="s">
        <v>45</v>
      </c>
      <c r="C44" s="2">
        <v>110</v>
      </c>
      <c r="D44" s="2">
        <v>110</v>
      </c>
      <c r="E44" s="2">
        <v>110</v>
      </c>
      <c r="F44" s="2">
        <v>110</v>
      </c>
      <c r="G44" s="2">
        <v>110</v>
      </c>
      <c r="H44" s="2">
        <v>110</v>
      </c>
      <c r="I44" s="2">
        <v>110</v>
      </c>
      <c r="J44" s="2">
        <v>110</v>
      </c>
      <c r="K44" s="2">
        <v>110</v>
      </c>
      <c r="L44" s="2">
        <v>110</v>
      </c>
      <c r="M44" s="2">
        <v>110</v>
      </c>
      <c r="N44" s="2">
        <v>110</v>
      </c>
      <c r="O44" s="2">
        <v>110</v>
      </c>
      <c r="P44" s="2">
        <v>110</v>
      </c>
      <c r="Q44" s="2">
        <v>110</v>
      </c>
      <c r="R44" s="2">
        <v>110</v>
      </c>
      <c r="S44" s="2">
        <v>110</v>
      </c>
      <c r="T44" s="2">
        <v>110</v>
      </c>
      <c r="U44" s="2">
        <v>110</v>
      </c>
      <c r="V44" s="2">
        <v>110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2:61" x14ac:dyDescent="0.25">
      <c r="B45" s="1" t="s">
        <v>46</v>
      </c>
      <c r="C45" s="2">
        <v>100</v>
      </c>
      <c r="D45" s="2">
        <v>100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100</v>
      </c>
      <c r="S45" s="2">
        <v>100</v>
      </c>
      <c r="T45" s="2">
        <v>100</v>
      </c>
      <c r="U45" s="2">
        <v>100</v>
      </c>
      <c r="V45" s="2">
        <v>100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2:61" x14ac:dyDescent="0.25">
      <c r="B46" t="s">
        <v>40</v>
      </c>
      <c r="C46" s="2">
        <v>200</v>
      </c>
      <c r="D46" s="2">
        <v>200</v>
      </c>
      <c r="E46" s="2">
        <v>200</v>
      </c>
      <c r="F46" s="2">
        <v>200</v>
      </c>
      <c r="G46" s="2">
        <v>200</v>
      </c>
      <c r="H46" s="2">
        <v>200</v>
      </c>
      <c r="I46" s="2">
        <v>200</v>
      </c>
      <c r="J46" s="2">
        <v>200</v>
      </c>
      <c r="K46" s="2">
        <v>200</v>
      </c>
      <c r="L46" s="2">
        <v>200</v>
      </c>
      <c r="M46" s="2">
        <v>200</v>
      </c>
      <c r="N46" s="2">
        <v>200</v>
      </c>
      <c r="O46" s="2">
        <v>200</v>
      </c>
      <c r="P46" s="2">
        <v>200</v>
      </c>
      <c r="Q46" s="2">
        <v>200</v>
      </c>
      <c r="R46" s="2">
        <v>200</v>
      </c>
      <c r="S46" s="2">
        <v>200</v>
      </c>
      <c r="T46" s="2">
        <v>200</v>
      </c>
      <c r="U46" s="2">
        <v>200</v>
      </c>
      <c r="V46" s="2">
        <v>200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2:61" x14ac:dyDescent="0.25">
      <c r="B47" t="s">
        <v>41</v>
      </c>
      <c r="C47" s="2">
        <v>180</v>
      </c>
      <c r="D47" s="2">
        <v>180</v>
      </c>
      <c r="E47" s="2">
        <v>180</v>
      </c>
      <c r="F47" s="2">
        <v>180</v>
      </c>
      <c r="G47" s="2">
        <v>180</v>
      </c>
      <c r="H47" s="2">
        <v>180</v>
      </c>
      <c r="I47" s="2">
        <v>180</v>
      </c>
      <c r="J47" s="2">
        <v>180</v>
      </c>
      <c r="K47" s="2">
        <v>180</v>
      </c>
      <c r="L47" s="2">
        <v>180</v>
      </c>
      <c r="M47" s="2">
        <v>180</v>
      </c>
      <c r="N47" s="2">
        <v>180</v>
      </c>
      <c r="O47" s="2">
        <v>180</v>
      </c>
      <c r="P47" s="2">
        <v>180</v>
      </c>
      <c r="Q47" s="2">
        <v>180</v>
      </c>
      <c r="R47" s="2">
        <v>180</v>
      </c>
      <c r="S47" s="2">
        <v>180</v>
      </c>
      <c r="T47" s="2">
        <v>180</v>
      </c>
      <c r="U47" s="2">
        <v>180</v>
      </c>
      <c r="V47" s="2">
        <v>180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2:61" x14ac:dyDescent="0.25">
      <c r="B48" t="s">
        <v>42</v>
      </c>
      <c r="C48" s="2">
        <v>160</v>
      </c>
      <c r="D48" s="2">
        <v>160</v>
      </c>
      <c r="E48" s="2">
        <v>160</v>
      </c>
      <c r="F48" s="2">
        <v>160</v>
      </c>
      <c r="G48" s="2">
        <v>160</v>
      </c>
      <c r="H48" s="2">
        <v>160</v>
      </c>
      <c r="I48" s="2">
        <v>160</v>
      </c>
      <c r="J48" s="2">
        <v>160</v>
      </c>
      <c r="K48" s="2">
        <v>160</v>
      </c>
      <c r="L48" s="2">
        <v>160</v>
      </c>
      <c r="M48" s="2">
        <v>160</v>
      </c>
      <c r="N48" s="2">
        <v>160</v>
      </c>
      <c r="O48" s="2">
        <v>160</v>
      </c>
      <c r="P48" s="2">
        <v>160</v>
      </c>
      <c r="Q48" s="2">
        <v>160</v>
      </c>
      <c r="R48" s="2">
        <v>160</v>
      </c>
      <c r="S48" s="2">
        <v>160</v>
      </c>
      <c r="T48" s="2">
        <v>160</v>
      </c>
      <c r="U48" s="2">
        <v>160</v>
      </c>
      <c r="V48" s="2">
        <v>160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2:61" x14ac:dyDescent="0.25">
      <c r="B49" t="s">
        <v>43</v>
      </c>
      <c r="C49" s="2">
        <v>140</v>
      </c>
      <c r="D49" s="2">
        <v>140</v>
      </c>
      <c r="E49" s="2">
        <v>140</v>
      </c>
      <c r="F49" s="2">
        <v>140</v>
      </c>
      <c r="G49" s="2">
        <v>140</v>
      </c>
      <c r="H49" s="2">
        <v>140</v>
      </c>
      <c r="I49" s="2">
        <v>140</v>
      </c>
      <c r="J49" s="2">
        <v>140</v>
      </c>
      <c r="K49" s="2">
        <v>140</v>
      </c>
      <c r="L49" s="2">
        <v>140</v>
      </c>
      <c r="M49" s="2">
        <v>140</v>
      </c>
      <c r="N49" s="2">
        <v>140</v>
      </c>
      <c r="O49" s="2">
        <v>140</v>
      </c>
      <c r="P49" s="2">
        <v>140</v>
      </c>
      <c r="Q49" s="2">
        <v>140</v>
      </c>
      <c r="R49" s="2">
        <v>140</v>
      </c>
      <c r="S49" s="2">
        <v>140</v>
      </c>
      <c r="T49" s="2">
        <v>140</v>
      </c>
      <c r="U49" s="2">
        <v>140</v>
      </c>
      <c r="V49" s="2">
        <v>140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2:61" x14ac:dyDescent="0.25">
      <c r="B50" t="s">
        <v>44</v>
      </c>
      <c r="C50" s="2">
        <v>120</v>
      </c>
      <c r="D50" s="2">
        <v>120</v>
      </c>
      <c r="E50" s="2">
        <v>120</v>
      </c>
      <c r="F50" s="2">
        <v>120</v>
      </c>
      <c r="G50" s="2">
        <v>120</v>
      </c>
      <c r="H50" s="2">
        <v>120</v>
      </c>
      <c r="I50" s="2">
        <v>120</v>
      </c>
      <c r="J50" s="2">
        <v>120</v>
      </c>
      <c r="K50" s="2">
        <v>120</v>
      </c>
      <c r="L50" s="2">
        <v>120</v>
      </c>
      <c r="M50" s="2">
        <v>120</v>
      </c>
      <c r="N50" s="2">
        <v>120</v>
      </c>
      <c r="O50" s="2">
        <v>120</v>
      </c>
      <c r="P50" s="2">
        <v>120</v>
      </c>
      <c r="Q50" s="2">
        <v>120</v>
      </c>
      <c r="R50" s="2">
        <v>120</v>
      </c>
      <c r="S50" s="2">
        <v>120</v>
      </c>
      <c r="T50" s="2">
        <v>120</v>
      </c>
      <c r="U50" s="2">
        <v>120</v>
      </c>
      <c r="V50" s="2">
        <v>120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2:61" x14ac:dyDescent="0.25">
      <c r="B51" t="s">
        <v>45</v>
      </c>
      <c r="C51" s="2">
        <v>110</v>
      </c>
      <c r="D51" s="2">
        <v>110</v>
      </c>
      <c r="E51" s="2">
        <v>110</v>
      </c>
      <c r="F51" s="2">
        <v>110</v>
      </c>
      <c r="G51" s="2">
        <v>110</v>
      </c>
      <c r="H51" s="2">
        <v>110</v>
      </c>
      <c r="I51" s="2">
        <v>110</v>
      </c>
      <c r="J51" s="2">
        <v>110</v>
      </c>
      <c r="K51" s="2">
        <v>110</v>
      </c>
      <c r="L51" s="2">
        <v>110</v>
      </c>
      <c r="M51" s="2">
        <v>110</v>
      </c>
      <c r="N51" s="2">
        <v>110</v>
      </c>
      <c r="O51" s="2">
        <v>110</v>
      </c>
      <c r="P51" s="2">
        <v>110</v>
      </c>
      <c r="Q51" s="2">
        <v>110</v>
      </c>
      <c r="R51" s="2">
        <v>110</v>
      </c>
      <c r="S51" s="2">
        <v>110</v>
      </c>
      <c r="T51" s="2">
        <v>110</v>
      </c>
      <c r="U51" s="2">
        <v>110</v>
      </c>
      <c r="V51" s="2">
        <v>110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2:61" x14ac:dyDescent="0.25">
      <c r="B52" s="1" t="s">
        <v>46</v>
      </c>
      <c r="C52" s="2">
        <v>100</v>
      </c>
      <c r="D52" s="2">
        <v>100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100</v>
      </c>
      <c r="T52" s="2">
        <v>100</v>
      </c>
      <c r="U52" s="2">
        <v>100</v>
      </c>
      <c r="V52" s="2">
        <v>100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2:61" x14ac:dyDescent="0.2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2:61" x14ac:dyDescent="0.25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2:61" x14ac:dyDescent="0.2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2:61" x14ac:dyDescent="0.2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2:61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2:61" x14ac:dyDescent="0.2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2:61" x14ac:dyDescent="0.2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2:61" x14ac:dyDescent="0.2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2:61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2:61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2:61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2:61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2:61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2:61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2:61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</sheetData>
  <mergeCells count="4">
    <mergeCell ref="A2:A3"/>
    <mergeCell ref="B2:B3"/>
    <mergeCell ref="D2:D3"/>
    <mergeCell ref="E2:E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E6BA-E16F-4088-BFF1-CABB88876B66}">
  <dimension ref="A2:BU67"/>
  <sheetViews>
    <sheetView topLeftCell="A22" workbookViewId="0">
      <selection activeCell="C32" sqref="C32"/>
    </sheetView>
  </sheetViews>
  <sheetFormatPr defaultRowHeight="15" x14ac:dyDescent="0.25"/>
  <cols>
    <col min="2" max="2" width="23.28515625" bestFit="1" customWidth="1"/>
    <col min="3" max="3" width="12.85546875" bestFit="1" customWidth="1"/>
    <col min="4" max="4" width="10.5703125" bestFit="1" customWidth="1"/>
    <col min="5" max="5" width="18.28515625" bestFit="1" customWidth="1"/>
    <col min="6" max="6" width="11.85546875" bestFit="1" customWidth="1"/>
    <col min="7" max="7" width="10.7109375" bestFit="1" customWidth="1"/>
    <col min="8" max="8" width="7.42578125" bestFit="1" customWidth="1"/>
    <col min="9" max="9" width="9" bestFit="1" customWidth="1"/>
    <col min="10" max="10" width="5.42578125" bestFit="1" customWidth="1"/>
    <col min="11" max="11" width="13.5703125" bestFit="1" customWidth="1"/>
    <col min="12" max="12" width="10" bestFit="1" customWidth="1"/>
    <col min="13" max="14" width="8.85546875" bestFit="1" customWidth="1"/>
    <col min="15" max="15" width="20.28515625" bestFit="1" customWidth="1"/>
    <col min="16" max="16" width="8" bestFit="1" customWidth="1"/>
    <col min="17" max="17" width="13" bestFit="1" customWidth="1"/>
    <col min="18" max="18" width="8" bestFit="1" customWidth="1"/>
    <col min="19" max="19" width="9.42578125" bestFit="1" customWidth="1"/>
    <col min="20" max="20" width="8.42578125" bestFit="1" customWidth="1"/>
    <col min="21" max="21" width="12.85546875" bestFit="1" customWidth="1"/>
    <col min="22" max="22" width="8.7109375" bestFit="1" customWidth="1"/>
    <col min="23" max="23" width="8" bestFit="1" customWidth="1"/>
    <col min="24" max="25" width="11.7109375" bestFit="1" customWidth="1"/>
    <col min="26" max="27" width="8" bestFit="1" customWidth="1"/>
    <col min="28" max="29" width="8.42578125" bestFit="1" customWidth="1"/>
    <col min="30" max="30" width="11.42578125" bestFit="1" customWidth="1"/>
    <col min="31" max="31" width="10" bestFit="1" customWidth="1"/>
    <col min="32" max="32" width="10.28515625" bestFit="1" customWidth="1"/>
    <col min="33" max="33" width="11.42578125" bestFit="1" customWidth="1"/>
    <col min="34" max="34" width="9.28515625" bestFit="1" customWidth="1"/>
    <col min="35" max="35" width="8" bestFit="1" customWidth="1"/>
    <col min="36" max="36" width="9.42578125" bestFit="1" customWidth="1"/>
    <col min="37" max="37" width="12.85546875" bestFit="1" customWidth="1"/>
    <col min="38" max="38" width="9.5703125" bestFit="1" customWidth="1"/>
    <col min="39" max="39" width="8" bestFit="1" customWidth="1"/>
    <col min="40" max="40" width="15.85546875" bestFit="1" customWidth="1"/>
    <col min="41" max="41" width="8" bestFit="1" customWidth="1"/>
    <col min="42" max="42" width="15.42578125" bestFit="1" customWidth="1"/>
    <col min="43" max="43" width="19.42578125" bestFit="1" customWidth="1"/>
    <col min="44" max="44" width="12.42578125" bestFit="1" customWidth="1"/>
    <col min="45" max="45" width="8.140625" bestFit="1" customWidth="1"/>
    <col min="46" max="46" width="15.85546875" bestFit="1" customWidth="1"/>
    <col min="47" max="47" width="9.85546875" bestFit="1" customWidth="1"/>
    <col min="48" max="48" width="8" bestFit="1" customWidth="1"/>
    <col min="49" max="49" width="8.140625" bestFit="1" customWidth="1"/>
    <col min="50" max="50" width="11.140625" bestFit="1" customWidth="1"/>
    <col min="51" max="51" width="13.7109375" bestFit="1" customWidth="1"/>
    <col min="52" max="52" width="17.5703125" bestFit="1" customWidth="1"/>
    <col min="53" max="53" width="11.140625" bestFit="1" customWidth="1"/>
    <col min="54" max="54" width="8" bestFit="1" customWidth="1"/>
    <col min="55" max="55" width="12.85546875" bestFit="1" customWidth="1"/>
    <col min="56" max="56" width="8" bestFit="1" customWidth="1"/>
    <col min="57" max="57" width="12.5703125" bestFit="1" customWidth="1"/>
    <col min="58" max="58" width="10.42578125" bestFit="1" customWidth="1"/>
    <col min="59" max="59" width="8.28515625" bestFit="1" customWidth="1"/>
    <col min="60" max="60" width="16.5703125" bestFit="1" customWidth="1"/>
    <col min="61" max="61" width="21.28515625" bestFit="1" customWidth="1"/>
    <col min="62" max="62" width="23.28515625" bestFit="1" customWidth="1"/>
    <col min="63" max="63" width="10.7109375" bestFit="1" customWidth="1"/>
    <col min="64" max="64" width="9.85546875" bestFit="1" customWidth="1"/>
    <col min="65" max="65" width="18" bestFit="1" customWidth="1"/>
    <col min="66" max="66" width="8.85546875" bestFit="1" customWidth="1"/>
    <col min="67" max="67" width="7.85546875" bestFit="1" customWidth="1"/>
  </cols>
  <sheetData>
    <row r="2" spans="1:73" ht="15" customHeight="1" x14ac:dyDescent="0.25">
      <c r="A2" s="20" t="s">
        <v>21</v>
      </c>
      <c r="B2" s="20" t="s">
        <v>22</v>
      </c>
      <c r="D2" s="20" t="s">
        <v>23</v>
      </c>
      <c r="E2" s="21" t="s">
        <v>60</v>
      </c>
    </row>
    <row r="3" spans="1:73" x14ac:dyDescent="0.25">
      <c r="A3" s="20"/>
      <c r="B3" s="20"/>
      <c r="C3" t="s">
        <v>39</v>
      </c>
      <c r="D3" s="20"/>
      <c r="E3" s="21"/>
    </row>
    <row r="4" spans="1:73" x14ac:dyDescent="0.25">
      <c r="A4">
        <v>1</v>
      </c>
      <c r="B4" s="1" t="s">
        <v>0</v>
      </c>
      <c r="C4" t="s">
        <v>40</v>
      </c>
      <c r="D4" s="3">
        <v>1</v>
      </c>
      <c r="E4" s="2">
        <v>2607.3199999999997</v>
      </c>
      <c r="F4" s="15"/>
      <c r="G4" s="2"/>
      <c r="H4" s="1"/>
      <c r="I4" s="1"/>
      <c r="J4" s="1"/>
      <c r="K4" s="3">
        <v>1</v>
      </c>
      <c r="L4" s="2">
        <f>INDEX($C$32:$V$52,K4,K5)</f>
        <v>200</v>
      </c>
      <c r="M4" s="1"/>
      <c r="N4" s="3">
        <v>1</v>
      </c>
      <c r="O4" s="2">
        <v>2607.3199999999997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5">
      <c r="A5">
        <v>2</v>
      </c>
      <c r="B5" s="1" t="s">
        <v>1</v>
      </c>
      <c r="C5" t="s">
        <v>41</v>
      </c>
      <c r="D5" s="3">
        <v>2</v>
      </c>
      <c r="E5" s="2">
        <v>2134.09</v>
      </c>
      <c r="F5" s="15"/>
      <c r="G5" s="2"/>
      <c r="H5" s="2"/>
      <c r="I5" s="2"/>
      <c r="J5" s="2"/>
      <c r="K5" s="3">
        <v>2</v>
      </c>
      <c r="L5" s="2">
        <f t="shared" ref="L5:L22" si="0">INDEX($C$32:$V$52,K5,K6)</f>
        <v>180</v>
      </c>
      <c r="M5" s="2"/>
      <c r="N5" s="3">
        <v>2</v>
      </c>
      <c r="O5" s="2">
        <v>2134.09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73" x14ac:dyDescent="0.25">
      <c r="A6">
        <v>3</v>
      </c>
      <c r="B6" s="1" t="s">
        <v>2</v>
      </c>
      <c r="C6" t="s">
        <v>42</v>
      </c>
      <c r="D6" s="3">
        <v>3</v>
      </c>
      <c r="E6" s="2">
        <v>494.34999999999997</v>
      </c>
      <c r="F6" s="15"/>
      <c r="G6" s="2"/>
      <c r="H6" s="2"/>
      <c r="I6" s="2"/>
      <c r="J6" s="2"/>
      <c r="K6" s="3">
        <v>3</v>
      </c>
      <c r="L6" s="2">
        <f t="shared" si="0"/>
        <v>160</v>
      </c>
      <c r="M6" s="2"/>
      <c r="N6" s="3">
        <v>3</v>
      </c>
      <c r="O6" s="2">
        <v>494.34999999999997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73" x14ac:dyDescent="0.25">
      <c r="A7">
        <v>4</v>
      </c>
      <c r="B7" s="1" t="s">
        <v>3</v>
      </c>
      <c r="C7" t="s">
        <v>43</v>
      </c>
      <c r="D7" s="3">
        <v>4</v>
      </c>
      <c r="E7" s="2">
        <v>1417.96</v>
      </c>
      <c r="F7" s="15"/>
      <c r="G7" s="2"/>
      <c r="H7" s="2"/>
      <c r="I7" s="2"/>
      <c r="J7" s="2"/>
      <c r="K7" s="3">
        <v>4</v>
      </c>
      <c r="L7" s="2">
        <f t="shared" si="0"/>
        <v>140</v>
      </c>
      <c r="M7" s="2"/>
      <c r="N7" s="3">
        <v>4</v>
      </c>
      <c r="O7" s="2">
        <v>1417.96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73" x14ac:dyDescent="0.25">
      <c r="A8">
        <v>5</v>
      </c>
      <c r="B8" s="1" t="s">
        <v>4</v>
      </c>
      <c r="C8" t="s">
        <v>44</v>
      </c>
      <c r="D8" s="3">
        <v>5</v>
      </c>
      <c r="E8" s="2">
        <v>2259.84</v>
      </c>
      <c r="F8" s="15"/>
      <c r="G8" s="2"/>
      <c r="H8" s="2"/>
      <c r="I8" s="2"/>
      <c r="J8" s="2"/>
      <c r="K8" s="3">
        <v>5</v>
      </c>
      <c r="L8" s="2">
        <f t="shared" si="0"/>
        <v>120</v>
      </c>
      <c r="M8" s="2"/>
      <c r="N8" s="3">
        <v>5</v>
      </c>
      <c r="O8" s="2">
        <v>2259.84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73" x14ac:dyDescent="0.25">
      <c r="A9">
        <v>6</v>
      </c>
      <c r="B9" s="1" t="s">
        <v>5</v>
      </c>
      <c r="C9" t="s">
        <v>45</v>
      </c>
      <c r="D9" s="3">
        <v>6</v>
      </c>
      <c r="E9" s="2">
        <v>3238.0299999999997</v>
      </c>
      <c r="F9" s="15"/>
      <c r="G9" s="2"/>
      <c r="H9" s="2"/>
      <c r="I9" s="2"/>
      <c r="J9" s="2"/>
      <c r="K9" s="3">
        <v>6</v>
      </c>
      <c r="L9" s="2">
        <f t="shared" si="0"/>
        <v>110</v>
      </c>
      <c r="M9" s="2"/>
      <c r="N9" s="3">
        <v>6</v>
      </c>
      <c r="O9" s="2">
        <v>3238.0299999999997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73" x14ac:dyDescent="0.25">
      <c r="A10">
        <v>7</v>
      </c>
      <c r="B10" s="1" t="s">
        <v>6</v>
      </c>
      <c r="C10" t="s">
        <v>40</v>
      </c>
      <c r="D10" s="3">
        <v>7</v>
      </c>
      <c r="E10" s="2">
        <v>1103.05</v>
      </c>
      <c r="F10" s="15"/>
      <c r="G10" s="2"/>
      <c r="H10" s="2"/>
      <c r="I10" s="2"/>
      <c r="J10" s="2"/>
      <c r="K10" s="3">
        <v>7</v>
      </c>
      <c r="L10" s="2">
        <f t="shared" si="0"/>
        <v>100</v>
      </c>
      <c r="M10" s="2"/>
      <c r="N10" s="3">
        <v>7</v>
      </c>
      <c r="O10" s="2">
        <v>1103.05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73" x14ac:dyDescent="0.25">
      <c r="A11">
        <v>8</v>
      </c>
      <c r="B11" s="1" t="s">
        <v>7</v>
      </c>
      <c r="C11" t="s">
        <v>41</v>
      </c>
      <c r="D11" s="3">
        <v>8</v>
      </c>
      <c r="E11" s="2">
        <v>2466.15</v>
      </c>
      <c r="F11" s="15"/>
      <c r="G11" s="2"/>
      <c r="H11" s="2"/>
      <c r="I11" s="2"/>
      <c r="J11" s="2"/>
      <c r="K11" s="3">
        <v>8</v>
      </c>
      <c r="L11" s="2">
        <f t="shared" si="0"/>
        <v>200</v>
      </c>
      <c r="M11" s="2"/>
      <c r="N11" s="3">
        <v>8</v>
      </c>
      <c r="O11" s="2">
        <v>2466.15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73" x14ac:dyDescent="0.25">
      <c r="A12">
        <v>9</v>
      </c>
      <c r="B12" s="1" t="s">
        <v>8</v>
      </c>
      <c r="C12" t="s">
        <v>42</v>
      </c>
      <c r="D12" s="3">
        <v>9</v>
      </c>
      <c r="E12" s="2">
        <v>1584.27</v>
      </c>
      <c r="F12" s="15"/>
      <c r="G12" s="2"/>
      <c r="H12" s="2"/>
      <c r="I12" s="2"/>
      <c r="J12" s="2"/>
      <c r="K12" s="3">
        <v>9</v>
      </c>
      <c r="L12" s="2">
        <f t="shared" si="0"/>
        <v>180</v>
      </c>
      <c r="M12" s="2"/>
      <c r="N12" s="3">
        <v>9</v>
      </c>
      <c r="O12" s="2">
        <v>1584.27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73" x14ac:dyDescent="0.25">
      <c r="A13">
        <v>10</v>
      </c>
      <c r="B13" s="1" t="s">
        <v>9</v>
      </c>
      <c r="C13" t="s">
        <v>43</v>
      </c>
      <c r="D13" s="3">
        <v>10</v>
      </c>
      <c r="E13" s="2">
        <v>2760.5</v>
      </c>
      <c r="F13" s="15"/>
      <c r="G13" s="2"/>
      <c r="H13" s="2"/>
      <c r="I13" s="2"/>
      <c r="J13" s="2"/>
      <c r="K13" s="3">
        <v>10</v>
      </c>
      <c r="L13" s="2">
        <f t="shared" si="0"/>
        <v>160</v>
      </c>
      <c r="M13" s="2"/>
      <c r="N13" s="3">
        <v>10</v>
      </c>
      <c r="O13" s="2">
        <v>2760.5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73" x14ac:dyDescent="0.25">
      <c r="A14">
        <v>11</v>
      </c>
      <c r="B14" s="1" t="s">
        <v>10</v>
      </c>
      <c r="C14" t="s">
        <v>44</v>
      </c>
      <c r="D14" s="3">
        <v>11</v>
      </c>
      <c r="E14" s="2">
        <v>2034.6499999999999</v>
      </c>
      <c r="F14" s="15"/>
      <c r="G14" s="2"/>
      <c r="H14" s="2"/>
      <c r="I14" s="2"/>
      <c r="J14" s="2"/>
      <c r="K14" s="3">
        <v>11</v>
      </c>
      <c r="L14" s="2">
        <f t="shared" si="0"/>
        <v>140</v>
      </c>
      <c r="M14" s="2"/>
      <c r="N14" s="3">
        <v>11</v>
      </c>
      <c r="O14" s="2">
        <v>2034.6499999999999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73" x14ac:dyDescent="0.25">
      <c r="A15">
        <v>12</v>
      </c>
      <c r="B15" s="1" t="s">
        <v>11</v>
      </c>
      <c r="C15" t="s">
        <v>45</v>
      </c>
      <c r="D15" s="3">
        <v>12</v>
      </c>
      <c r="E15" s="2">
        <v>692.11</v>
      </c>
      <c r="F15" s="15"/>
      <c r="G15" s="2"/>
      <c r="H15" s="2"/>
      <c r="I15" s="2"/>
      <c r="J15" s="2"/>
      <c r="K15" s="3">
        <v>12</v>
      </c>
      <c r="L15" s="2">
        <f t="shared" si="0"/>
        <v>120</v>
      </c>
      <c r="M15" s="2"/>
      <c r="N15" s="3">
        <v>12</v>
      </c>
      <c r="O15" s="2">
        <v>692.11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73" x14ac:dyDescent="0.25">
      <c r="A16">
        <v>13</v>
      </c>
      <c r="B16" s="1" t="s">
        <v>12</v>
      </c>
      <c r="C16" t="s">
        <v>40</v>
      </c>
      <c r="D16" s="3">
        <v>13</v>
      </c>
      <c r="E16" s="2">
        <v>466.64</v>
      </c>
      <c r="F16" s="15"/>
      <c r="G16" s="2"/>
      <c r="H16" s="2"/>
      <c r="I16" s="2"/>
      <c r="J16" s="2"/>
      <c r="K16" s="3">
        <v>13</v>
      </c>
      <c r="L16" s="2">
        <f t="shared" si="0"/>
        <v>110</v>
      </c>
      <c r="M16" s="2"/>
      <c r="N16" s="3">
        <v>13</v>
      </c>
      <c r="O16" s="2">
        <v>466.64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x14ac:dyDescent="0.25">
      <c r="A17">
        <v>14</v>
      </c>
      <c r="B17" s="1" t="s">
        <v>13</v>
      </c>
      <c r="C17" t="s">
        <v>41</v>
      </c>
      <c r="D17" s="3">
        <v>14</v>
      </c>
      <c r="E17" s="2">
        <v>850.43</v>
      </c>
      <c r="F17" s="15"/>
      <c r="G17" s="2"/>
      <c r="H17" s="2"/>
      <c r="I17" s="2"/>
      <c r="J17" s="2"/>
      <c r="K17" s="3">
        <v>14</v>
      </c>
      <c r="L17" s="2">
        <f t="shared" si="0"/>
        <v>100</v>
      </c>
      <c r="M17" s="2"/>
      <c r="N17" s="3">
        <v>14</v>
      </c>
      <c r="O17" s="2">
        <v>850.43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x14ac:dyDescent="0.25">
      <c r="A18">
        <v>15</v>
      </c>
      <c r="B18" s="1" t="s">
        <v>14</v>
      </c>
      <c r="C18" t="s">
        <v>42</v>
      </c>
      <c r="D18" s="3">
        <v>15</v>
      </c>
      <c r="E18" s="2">
        <v>3216.58</v>
      </c>
      <c r="F18" s="15"/>
      <c r="G18" s="2"/>
      <c r="H18" s="2"/>
      <c r="I18" s="2"/>
      <c r="J18" s="2"/>
      <c r="K18" s="3">
        <v>15</v>
      </c>
      <c r="L18" s="2">
        <f t="shared" si="0"/>
        <v>200</v>
      </c>
      <c r="M18" s="2"/>
      <c r="N18" s="3">
        <v>15</v>
      </c>
      <c r="O18" s="2">
        <v>3216.58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x14ac:dyDescent="0.25">
      <c r="A19">
        <v>16</v>
      </c>
      <c r="B19" s="1" t="s">
        <v>15</v>
      </c>
      <c r="C19" t="s">
        <v>43</v>
      </c>
      <c r="D19" s="3">
        <v>16</v>
      </c>
      <c r="E19" s="2">
        <v>462.34</v>
      </c>
      <c r="F19" s="15"/>
      <c r="G19" s="2"/>
      <c r="H19" s="2"/>
      <c r="I19" s="2"/>
      <c r="J19" s="2"/>
      <c r="K19" s="3">
        <v>16</v>
      </c>
      <c r="L19" s="2">
        <f t="shared" si="0"/>
        <v>180</v>
      </c>
      <c r="M19" s="2"/>
      <c r="N19" s="3">
        <v>16</v>
      </c>
      <c r="O19" s="2">
        <v>462.34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x14ac:dyDescent="0.25">
      <c r="A20">
        <v>17</v>
      </c>
      <c r="B20" s="1" t="s">
        <v>16</v>
      </c>
      <c r="C20" t="s">
        <v>44</v>
      </c>
      <c r="D20" s="3">
        <v>17</v>
      </c>
      <c r="E20" s="2">
        <v>2151.2399999999998</v>
      </c>
      <c r="F20" s="15"/>
      <c r="G20" s="2"/>
      <c r="H20" s="2"/>
      <c r="I20" s="2"/>
      <c r="J20" s="2"/>
      <c r="K20" s="3">
        <v>17</v>
      </c>
      <c r="L20" s="2">
        <f t="shared" si="0"/>
        <v>160</v>
      </c>
      <c r="M20" s="2"/>
      <c r="N20" s="3">
        <v>17</v>
      </c>
      <c r="O20" s="2">
        <v>2151.2399999999998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x14ac:dyDescent="0.25">
      <c r="A21">
        <v>18</v>
      </c>
      <c r="B21" s="1" t="s">
        <v>17</v>
      </c>
      <c r="C21" t="s">
        <v>45</v>
      </c>
      <c r="D21" s="3">
        <v>18</v>
      </c>
      <c r="E21" s="2">
        <v>3446.35</v>
      </c>
      <c r="F21" s="15"/>
      <c r="G21" s="2"/>
      <c r="H21" s="2"/>
      <c r="I21" s="2"/>
      <c r="J21" s="2"/>
      <c r="K21" s="3">
        <v>18</v>
      </c>
      <c r="L21" s="2">
        <f t="shared" si="0"/>
        <v>140</v>
      </c>
      <c r="M21" s="2"/>
      <c r="N21" s="3">
        <v>18</v>
      </c>
      <c r="O21" s="2">
        <v>3446.35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x14ac:dyDescent="0.25">
      <c r="A22">
        <v>19</v>
      </c>
      <c r="B22" s="1" t="s">
        <v>18</v>
      </c>
      <c r="C22" t="s">
        <v>40</v>
      </c>
      <c r="D22" s="3">
        <v>19</v>
      </c>
      <c r="E22" s="2">
        <v>647.53</v>
      </c>
      <c r="F22" s="15"/>
      <c r="G22" s="2"/>
      <c r="H22" s="2"/>
      <c r="I22" s="2"/>
      <c r="J22" s="2"/>
      <c r="K22" s="3">
        <v>19</v>
      </c>
      <c r="L22" s="2">
        <f t="shared" si="0"/>
        <v>120</v>
      </c>
      <c r="M22" s="2"/>
      <c r="N22" s="3">
        <v>19</v>
      </c>
      <c r="O22" s="2">
        <v>647.53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 x14ac:dyDescent="0.25">
      <c r="A23">
        <v>20</v>
      </c>
      <c r="B23" s="1" t="s">
        <v>19</v>
      </c>
      <c r="C23" t="s">
        <v>41</v>
      </c>
      <c r="D23" s="3">
        <v>20</v>
      </c>
      <c r="E23" s="2">
        <v>0</v>
      </c>
      <c r="F23" s="15"/>
      <c r="G23" s="2"/>
      <c r="H23" s="2"/>
      <c r="I23" s="2"/>
      <c r="J23" s="2"/>
      <c r="K23" s="3">
        <v>20</v>
      </c>
      <c r="L23" s="2"/>
      <c r="M23" s="2"/>
      <c r="N23" s="3">
        <v>20</v>
      </c>
      <c r="O23" s="2"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1:65" x14ac:dyDescent="0.25">
      <c r="E24" s="2">
        <f>SUM(E4:E23)</f>
        <v>34033.43</v>
      </c>
      <c r="F24" s="2"/>
      <c r="G24" s="2"/>
      <c r="H24" s="2"/>
      <c r="I24" s="2"/>
      <c r="J24" s="2"/>
      <c r="L24" s="2">
        <f>SUM(L4:L23)</f>
        <v>2820</v>
      </c>
      <c r="M24" s="2"/>
      <c r="O24" s="2">
        <f>SUM(O4:O23)</f>
        <v>34033.43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 spans="1:65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5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5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5" x14ac:dyDescent="0.2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5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5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5" x14ac:dyDescent="0.25">
      <c r="B31" s="1"/>
      <c r="C31" s="1" t="s">
        <v>0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7</v>
      </c>
      <c r="K31" s="1" t="s">
        <v>8</v>
      </c>
      <c r="L31" s="1" t="s">
        <v>9</v>
      </c>
      <c r="M31" s="1" t="s">
        <v>10</v>
      </c>
      <c r="N31" s="1" t="s">
        <v>11</v>
      </c>
      <c r="O31" s="1" t="s">
        <v>12</v>
      </c>
      <c r="P31" s="1" t="s">
        <v>13</v>
      </c>
      <c r="Q31" s="1" t="s">
        <v>14</v>
      </c>
      <c r="R31" s="1" t="s">
        <v>15</v>
      </c>
      <c r="S31" s="1" t="s">
        <v>16</v>
      </c>
      <c r="T31" s="1" t="s">
        <v>17</v>
      </c>
      <c r="U31" s="1" t="s">
        <v>18</v>
      </c>
      <c r="V31" s="1" t="s">
        <v>19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5" x14ac:dyDescent="0.25">
      <c r="B32" t="s">
        <v>40</v>
      </c>
      <c r="C32" s="2">
        <v>200</v>
      </c>
      <c r="D32" s="2">
        <v>200</v>
      </c>
      <c r="E32" s="2">
        <v>200</v>
      </c>
      <c r="F32" s="2">
        <v>200</v>
      </c>
      <c r="G32" s="2">
        <v>200</v>
      </c>
      <c r="H32" s="2">
        <v>200</v>
      </c>
      <c r="I32" s="2">
        <v>200</v>
      </c>
      <c r="J32" s="2">
        <v>200</v>
      </c>
      <c r="K32" s="2">
        <v>200</v>
      </c>
      <c r="L32" s="2">
        <v>200</v>
      </c>
      <c r="M32" s="2">
        <v>200</v>
      </c>
      <c r="N32" s="2">
        <v>200</v>
      </c>
      <c r="O32" s="2">
        <v>200</v>
      </c>
      <c r="P32" s="2">
        <v>200</v>
      </c>
      <c r="Q32" s="2">
        <v>200</v>
      </c>
      <c r="R32" s="2">
        <v>200</v>
      </c>
      <c r="S32" s="2">
        <v>200</v>
      </c>
      <c r="T32" s="2">
        <v>200</v>
      </c>
      <c r="U32" s="2">
        <v>200</v>
      </c>
      <c r="V32" s="2">
        <v>200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2:61" x14ac:dyDescent="0.25">
      <c r="B33" t="s">
        <v>41</v>
      </c>
      <c r="C33" s="2">
        <v>180</v>
      </c>
      <c r="D33" s="2">
        <v>180</v>
      </c>
      <c r="E33" s="2">
        <v>180</v>
      </c>
      <c r="F33" s="2">
        <v>180</v>
      </c>
      <c r="G33" s="2">
        <v>180</v>
      </c>
      <c r="H33" s="2">
        <v>180</v>
      </c>
      <c r="I33" s="2">
        <v>180</v>
      </c>
      <c r="J33" s="2">
        <v>180</v>
      </c>
      <c r="K33" s="2">
        <v>180</v>
      </c>
      <c r="L33" s="2">
        <v>180</v>
      </c>
      <c r="M33" s="2">
        <v>180</v>
      </c>
      <c r="N33" s="2">
        <v>180</v>
      </c>
      <c r="O33" s="2">
        <v>180</v>
      </c>
      <c r="P33" s="2">
        <v>180</v>
      </c>
      <c r="Q33" s="2">
        <v>180</v>
      </c>
      <c r="R33" s="2">
        <v>180</v>
      </c>
      <c r="S33" s="2">
        <v>180</v>
      </c>
      <c r="T33" s="2">
        <v>180</v>
      </c>
      <c r="U33" s="2">
        <v>180</v>
      </c>
      <c r="V33" s="2">
        <v>180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2:61" x14ac:dyDescent="0.25">
      <c r="B34" t="s">
        <v>42</v>
      </c>
      <c r="C34" s="2">
        <v>160</v>
      </c>
      <c r="D34" s="2">
        <v>160</v>
      </c>
      <c r="E34" s="2">
        <v>160</v>
      </c>
      <c r="F34" s="2">
        <v>160</v>
      </c>
      <c r="G34" s="2">
        <v>160</v>
      </c>
      <c r="H34" s="2">
        <v>160</v>
      </c>
      <c r="I34" s="2">
        <v>160</v>
      </c>
      <c r="J34" s="2">
        <v>160</v>
      </c>
      <c r="K34" s="2">
        <v>160</v>
      </c>
      <c r="L34" s="2">
        <v>160</v>
      </c>
      <c r="M34" s="2">
        <v>160</v>
      </c>
      <c r="N34" s="2">
        <v>160</v>
      </c>
      <c r="O34" s="2">
        <v>160</v>
      </c>
      <c r="P34" s="2">
        <v>160</v>
      </c>
      <c r="Q34" s="2">
        <v>160</v>
      </c>
      <c r="R34" s="2">
        <v>160</v>
      </c>
      <c r="S34" s="2">
        <v>160</v>
      </c>
      <c r="T34" s="2">
        <v>160</v>
      </c>
      <c r="U34" s="2">
        <v>160</v>
      </c>
      <c r="V34" s="2">
        <v>160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2:61" x14ac:dyDescent="0.25">
      <c r="B35" t="s">
        <v>43</v>
      </c>
      <c r="C35" s="2">
        <v>140</v>
      </c>
      <c r="D35" s="2">
        <v>140</v>
      </c>
      <c r="E35" s="2">
        <v>140</v>
      </c>
      <c r="F35" s="2">
        <v>140</v>
      </c>
      <c r="G35" s="2">
        <v>140</v>
      </c>
      <c r="H35" s="2">
        <v>140</v>
      </c>
      <c r="I35" s="2">
        <v>140</v>
      </c>
      <c r="J35" s="2">
        <v>140</v>
      </c>
      <c r="K35" s="2">
        <v>140</v>
      </c>
      <c r="L35" s="2">
        <v>140</v>
      </c>
      <c r="M35" s="2">
        <v>140</v>
      </c>
      <c r="N35" s="2">
        <v>140</v>
      </c>
      <c r="O35" s="2">
        <v>140</v>
      </c>
      <c r="P35" s="2">
        <v>140</v>
      </c>
      <c r="Q35" s="2">
        <v>140</v>
      </c>
      <c r="R35" s="2">
        <v>140</v>
      </c>
      <c r="S35" s="2">
        <v>140</v>
      </c>
      <c r="T35" s="2">
        <v>140</v>
      </c>
      <c r="U35" s="2">
        <v>140</v>
      </c>
      <c r="V35" s="2">
        <v>140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2:61" x14ac:dyDescent="0.25">
      <c r="B36" t="s">
        <v>44</v>
      </c>
      <c r="C36" s="2">
        <v>120</v>
      </c>
      <c r="D36" s="2">
        <v>120</v>
      </c>
      <c r="E36" s="2">
        <v>120</v>
      </c>
      <c r="F36" s="2">
        <v>120</v>
      </c>
      <c r="G36" s="2">
        <v>120</v>
      </c>
      <c r="H36" s="2">
        <v>120</v>
      </c>
      <c r="I36" s="2">
        <v>120</v>
      </c>
      <c r="J36" s="2">
        <v>120</v>
      </c>
      <c r="K36" s="2">
        <v>120</v>
      </c>
      <c r="L36" s="2">
        <v>120</v>
      </c>
      <c r="M36" s="2">
        <v>120</v>
      </c>
      <c r="N36" s="2">
        <v>120</v>
      </c>
      <c r="O36" s="2">
        <v>120</v>
      </c>
      <c r="P36" s="2">
        <v>120</v>
      </c>
      <c r="Q36" s="2">
        <v>120</v>
      </c>
      <c r="R36" s="2">
        <v>120</v>
      </c>
      <c r="S36" s="2">
        <v>120</v>
      </c>
      <c r="T36" s="2">
        <v>120</v>
      </c>
      <c r="U36" s="2">
        <v>120</v>
      </c>
      <c r="V36" s="2">
        <v>120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2:61" x14ac:dyDescent="0.25">
      <c r="B37" t="s">
        <v>45</v>
      </c>
      <c r="C37" s="2">
        <v>110</v>
      </c>
      <c r="D37" s="2">
        <v>110</v>
      </c>
      <c r="E37" s="2">
        <v>110</v>
      </c>
      <c r="F37" s="2">
        <v>110</v>
      </c>
      <c r="G37" s="2">
        <v>110</v>
      </c>
      <c r="H37" s="2">
        <v>110</v>
      </c>
      <c r="I37" s="2">
        <v>110</v>
      </c>
      <c r="J37" s="2">
        <v>110</v>
      </c>
      <c r="K37" s="2">
        <v>110</v>
      </c>
      <c r="L37" s="2">
        <v>110</v>
      </c>
      <c r="M37" s="2">
        <v>110</v>
      </c>
      <c r="N37" s="2">
        <v>110</v>
      </c>
      <c r="O37" s="2">
        <v>110</v>
      </c>
      <c r="P37" s="2">
        <v>110</v>
      </c>
      <c r="Q37" s="2">
        <v>110</v>
      </c>
      <c r="R37" s="2">
        <v>110</v>
      </c>
      <c r="S37" s="2">
        <v>110</v>
      </c>
      <c r="T37" s="2">
        <v>110</v>
      </c>
      <c r="U37" s="2">
        <v>110</v>
      </c>
      <c r="V37" s="2">
        <v>110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2:61" x14ac:dyDescent="0.25">
      <c r="B38" s="1" t="s">
        <v>46</v>
      </c>
      <c r="C38" s="2">
        <v>100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100</v>
      </c>
      <c r="P38" s="2">
        <v>100</v>
      </c>
      <c r="Q38" s="2">
        <v>100</v>
      </c>
      <c r="R38" s="2">
        <v>100</v>
      </c>
      <c r="S38" s="2">
        <v>100</v>
      </c>
      <c r="T38" s="2">
        <v>100</v>
      </c>
      <c r="U38" s="2">
        <v>100</v>
      </c>
      <c r="V38" s="2">
        <v>100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2:61" x14ac:dyDescent="0.25">
      <c r="B39" t="s">
        <v>40</v>
      </c>
      <c r="C39" s="2">
        <v>200</v>
      </c>
      <c r="D39" s="2">
        <v>200</v>
      </c>
      <c r="E39" s="2">
        <v>200</v>
      </c>
      <c r="F39" s="2">
        <v>200</v>
      </c>
      <c r="G39" s="2">
        <v>200</v>
      </c>
      <c r="H39" s="2">
        <v>200</v>
      </c>
      <c r="I39" s="2">
        <v>200</v>
      </c>
      <c r="J39" s="2">
        <v>200</v>
      </c>
      <c r="K39" s="2">
        <v>200</v>
      </c>
      <c r="L39" s="2">
        <v>200</v>
      </c>
      <c r="M39" s="2">
        <v>200</v>
      </c>
      <c r="N39" s="2">
        <v>200</v>
      </c>
      <c r="O39" s="2">
        <v>200</v>
      </c>
      <c r="P39" s="2">
        <v>200</v>
      </c>
      <c r="Q39" s="2">
        <v>200</v>
      </c>
      <c r="R39" s="2">
        <v>200</v>
      </c>
      <c r="S39" s="2">
        <v>200</v>
      </c>
      <c r="T39" s="2">
        <v>200</v>
      </c>
      <c r="U39" s="2">
        <v>200</v>
      </c>
      <c r="V39" s="2">
        <v>200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2:61" x14ac:dyDescent="0.25">
      <c r="B40" t="s">
        <v>41</v>
      </c>
      <c r="C40" s="2">
        <v>180</v>
      </c>
      <c r="D40" s="2">
        <v>180</v>
      </c>
      <c r="E40" s="2">
        <v>180</v>
      </c>
      <c r="F40" s="2">
        <v>180</v>
      </c>
      <c r="G40" s="2">
        <v>180</v>
      </c>
      <c r="H40" s="2">
        <v>180</v>
      </c>
      <c r="I40" s="2">
        <v>180</v>
      </c>
      <c r="J40" s="2">
        <v>180</v>
      </c>
      <c r="K40" s="2">
        <v>180</v>
      </c>
      <c r="L40" s="2">
        <v>180</v>
      </c>
      <c r="M40" s="2">
        <v>180</v>
      </c>
      <c r="N40" s="2">
        <v>180</v>
      </c>
      <c r="O40" s="2">
        <v>180</v>
      </c>
      <c r="P40" s="2">
        <v>180</v>
      </c>
      <c r="Q40" s="2">
        <v>180</v>
      </c>
      <c r="R40" s="2">
        <v>180</v>
      </c>
      <c r="S40" s="2">
        <v>180</v>
      </c>
      <c r="T40" s="2">
        <v>180</v>
      </c>
      <c r="U40" s="2">
        <v>180</v>
      </c>
      <c r="V40" s="2">
        <v>180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2:61" x14ac:dyDescent="0.25">
      <c r="B41" t="s">
        <v>42</v>
      </c>
      <c r="C41" s="2">
        <v>160</v>
      </c>
      <c r="D41" s="2">
        <v>160</v>
      </c>
      <c r="E41" s="2">
        <v>160</v>
      </c>
      <c r="F41" s="2">
        <v>160</v>
      </c>
      <c r="G41" s="2">
        <v>160</v>
      </c>
      <c r="H41" s="2">
        <v>160</v>
      </c>
      <c r="I41" s="2">
        <v>160</v>
      </c>
      <c r="J41" s="2">
        <v>160</v>
      </c>
      <c r="K41" s="2">
        <v>160</v>
      </c>
      <c r="L41" s="2">
        <v>160</v>
      </c>
      <c r="M41" s="2">
        <v>160</v>
      </c>
      <c r="N41" s="2">
        <v>160</v>
      </c>
      <c r="O41" s="2">
        <v>160</v>
      </c>
      <c r="P41" s="2">
        <v>160</v>
      </c>
      <c r="Q41" s="2">
        <v>160</v>
      </c>
      <c r="R41" s="2">
        <v>160</v>
      </c>
      <c r="S41" s="2">
        <v>160</v>
      </c>
      <c r="T41" s="2">
        <v>160</v>
      </c>
      <c r="U41" s="2">
        <v>160</v>
      </c>
      <c r="V41" s="2">
        <v>160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2:61" x14ac:dyDescent="0.25">
      <c r="B42" t="s">
        <v>43</v>
      </c>
      <c r="C42" s="2">
        <v>140</v>
      </c>
      <c r="D42" s="2">
        <v>140</v>
      </c>
      <c r="E42" s="2">
        <v>140</v>
      </c>
      <c r="F42" s="2">
        <v>140</v>
      </c>
      <c r="G42" s="2">
        <v>140</v>
      </c>
      <c r="H42" s="2">
        <v>140</v>
      </c>
      <c r="I42" s="2">
        <v>140</v>
      </c>
      <c r="J42" s="2">
        <v>140</v>
      </c>
      <c r="K42" s="2">
        <v>140</v>
      </c>
      <c r="L42" s="2">
        <v>140</v>
      </c>
      <c r="M42" s="2">
        <v>140</v>
      </c>
      <c r="N42" s="2">
        <v>140</v>
      </c>
      <c r="O42" s="2">
        <v>140</v>
      </c>
      <c r="P42" s="2">
        <v>140</v>
      </c>
      <c r="Q42" s="2">
        <v>140</v>
      </c>
      <c r="R42" s="2">
        <v>140</v>
      </c>
      <c r="S42" s="2">
        <v>140</v>
      </c>
      <c r="T42" s="2">
        <v>140</v>
      </c>
      <c r="U42" s="2">
        <v>140</v>
      </c>
      <c r="V42" s="2">
        <v>140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2:61" x14ac:dyDescent="0.25">
      <c r="B43" t="s">
        <v>44</v>
      </c>
      <c r="C43" s="2">
        <v>120</v>
      </c>
      <c r="D43" s="2">
        <v>120</v>
      </c>
      <c r="E43" s="2">
        <v>120</v>
      </c>
      <c r="F43" s="2">
        <v>120</v>
      </c>
      <c r="G43" s="2">
        <v>120</v>
      </c>
      <c r="H43" s="2">
        <v>120</v>
      </c>
      <c r="I43" s="2">
        <v>120</v>
      </c>
      <c r="J43" s="2">
        <v>120</v>
      </c>
      <c r="K43" s="2">
        <v>120</v>
      </c>
      <c r="L43" s="2">
        <v>120</v>
      </c>
      <c r="M43" s="2">
        <v>120</v>
      </c>
      <c r="N43" s="2">
        <v>120</v>
      </c>
      <c r="O43" s="2">
        <v>120</v>
      </c>
      <c r="P43" s="2">
        <v>120</v>
      </c>
      <c r="Q43" s="2">
        <v>120</v>
      </c>
      <c r="R43" s="2">
        <v>120</v>
      </c>
      <c r="S43" s="2">
        <v>120</v>
      </c>
      <c r="T43" s="2">
        <v>120</v>
      </c>
      <c r="U43" s="2">
        <v>120</v>
      </c>
      <c r="V43" s="2">
        <v>120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2:61" x14ac:dyDescent="0.25">
      <c r="B44" t="s">
        <v>45</v>
      </c>
      <c r="C44" s="2">
        <v>110</v>
      </c>
      <c r="D44" s="2">
        <v>110</v>
      </c>
      <c r="E44" s="2">
        <v>110</v>
      </c>
      <c r="F44" s="2">
        <v>110</v>
      </c>
      <c r="G44" s="2">
        <v>110</v>
      </c>
      <c r="H44" s="2">
        <v>110</v>
      </c>
      <c r="I44" s="2">
        <v>110</v>
      </c>
      <c r="J44" s="2">
        <v>110</v>
      </c>
      <c r="K44" s="2">
        <v>110</v>
      </c>
      <c r="L44" s="2">
        <v>110</v>
      </c>
      <c r="M44" s="2">
        <v>110</v>
      </c>
      <c r="N44" s="2">
        <v>110</v>
      </c>
      <c r="O44" s="2">
        <v>110</v>
      </c>
      <c r="P44" s="2">
        <v>110</v>
      </c>
      <c r="Q44" s="2">
        <v>110</v>
      </c>
      <c r="R44" s="2">
        <v>110</v>
      </c>
      <c r="S44" s="2">
        <v>110</v>
      </c>
      <c r="T44" s="2">
        <v>110</v>
      </c>
      <c r="U44" s="2">
        <v>110</v>
      </c>
      <c r="V44" s="2">
        <v>110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2:61" x14ac:dyDescent="0.25">
      <c r="B45" s="1" t="s">
        <v>46</v>
      </c>
      <c r="C45" s="2">
        <v>100</v>
      </c>
      <c r="D45" s="2">
        <v>100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100</v>
      </c>
      <c r="S45" s="2">
        <v>100</v>
      </c>
      <c r="T45" s="2">
        <v>100</v>
      </c>
      <c r="U45" s="2">
        <v>100</v>
      </c>
      <c r="V45" s="2">
        <v>100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2:61" x14ac:dyDescent="0.25">
      <c r="B46" t="s">
        <v>40</v>
      </c>
      <c r="C46" s="2">
        <v>200</v>
      </c>
      <c r="D46" s="2">
        <v>200</v>
      </c>
      <c r="E46" s="2">
        <v>200</v>
      </c>
      <c r="F46" s="2">
        <v>200</v>
      </c>
      <c r="G46" s="2">
        <v>200</v>
      </c>
      <c r="H46" s="2">
        <v>200</v>
      </c>
      <c r="I46" s="2">
        <v>200</v>
      </c>
      <c r="J46" s="2">
        <v>200</v>
      </c>
      <c r="K46" s="2">
        <v>200</v>
      </c>
      <c r="L46" s="2">
        <v>200</v>
      </c>
      <c r="M46" s="2">
        <v>200</v>
      </c>
      <c r="N46" s="2">
        <v>200</v>
      </c>
      <c r="O46" s="2">
        <v>200</v>
      </c>
      <c r="P46" s="2">
        <v>200</v>
      </c>
      <c r="Q46" s="2">
        <v>200</v>
      </c>
      <c r="R46" s="2">
        <v>200</v>
      </c>
      <c r="S46" s="2">
        <v>200</v>
      </c>
      <c r="T46" s="2">
        <v>200</v>
      </c>
      <c r="U46" s="2">
        <v>200</v>
      </c>
      <c r="V46" s="2">
        <v>200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2:61" x14ac:dyDescent="0.25">
      <c r="B47" t="s">
        <v>41</v>
      </c>
      <c r="C47" s="2">
        <v>180</v>
      </c>
      <c r="D47" s="2">
        <v>180</v>
      </c>
      <c r="E47" s="2">
        <v>180</v>
      </c>
      <c r="F47" s="2">
        <v>180</v>
      </c>
      <c r="G47" s="2">
        <v>180</v>
      </c>
      <c r="H47" s="2">
        <v>180</v>
      </c>
      <c r="I47" s="2">
        <v>180</v>
      </c>
      <c r="J47" s="2">
        <v>180</v>
      </c>
      <c r="K47" s="2">
        <v>180</v>
      </c>
      <c r="L47" s="2">
        <v>180</v>
      </c>
      <c r="M47" s="2">
        <v>180</v>
      </c>
      <c r="N47" s="2">
        <v>180</v>
      </c>
      <c r="O47" s="2">
        <v>180</v>
      </c>
      <c r="P47" s="2">
        <v>180</v>
      </c>
      <c r="Q47" s="2">
        <v>180</v>
      </c>
      <c r="R47" s="2">
        <v>180</v>
      </c>
      <c r="S47" s="2">
        <v>180</v>
      </c>
      <c r="T47" s="2">
        <v>180</v>
      </c>
      <c r="U47" s="2">
        <v>180</v>
      </c>
      <c r="V47" s="2">
        <v>180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2:61" x14ac:dyDescent="0.25">
      <c r="B48" t="s">
        <v>42</v>
      </c>
      <c r="C48" s="2">
        <v>160</v>
      </c>
      <c r="D48" s="2">
        <v>160</v>
      </c>
      <c r="E48" s="2">
        <v>160</v>
      </c>
      <c r="F48" s="2">
        <v>160</v>
      </c>
      <c r="G48" s="2">
        <v>160</v>
      </c>
      <c r="H48" s="2">
        <v>160</v>
      </c>
      <c r="I48" s="2">
        <v>160</v>
      </c>
      <c r="J48" s="2">
        <v>160</v>
      </c>
      <c r="K48" s="2">
        <v>160</v>
      </c>
      <c r="L48" s="2">
        <v>160</v>
      </c>
      <c r="M48" s="2">
        <v>160</v>
      </c>
      <c r="N48" s="2">
        <v>160</v>
      </c>
      <c r="O48" s="2">
        <v>160</v>
      </c>
      <c r="P48" s="2">
        <v>160</v>
      </c>
      <c r="Q48" s="2">
        <v>160</v>
      </c>
      <c r="R48" s="2">
        <v>160</v>
      </c>
      <c r="S48" s="2">
        <v>160</v>
      </c>
      <c r="T48" s="2">
        <v>160</v>
      </c>
      <c r="U48" s="2">
        <v>160</v>
      </c>
      <c r="V48" s="2">
        <v>160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2:61" x14ac:dyDescent="0.25">
      <c r="B49" t="s">
        <v>43</v>
      </c>
      <c r="C49" s="2">
        <v>140</v>
      </c>
      <c r="D49" s="2">
        <v>140</v>
      </c>
      <c r="E49" s="2">
        <v>140</v>
      </c>
      <c r="F49" s="2">
        <v>140</v>
      </c>
      <c r="G49" s="2">
        <v>140</v>
      </c>
      <c r="H49" s="2">
        <v>140</v>
      </c>
      <c r="I49" s="2">
        <v>140</v>
      </c>
      <c r="J49" s="2">
        <v>140</v>
      </c>
      <c r="K49" s="2">
        <v>140</v>
      </c>
      <c r="L49" s="2">
        <v>140</v>
      </c>
      <c r="M49" s="2">
        <v>140</v>
      </c>
      <c r="N49" s="2">
        <v>140</v>
      </c>
      <c r="O49" s="2">
        <v>140</v>
      </c>
      <c r="P49" s="2">
        <v>140</v>
      </c>
      <c r="Q49" s="2">
        <v>140</v>
      </c>
      <c r="R49" s="2">
        <v>140</v>
      </c>
      <c r="S49" s="2">
        <v>140</v>
      </c>
      <c r="T49" s="2">
        <v>140</v>
      </c>
      <c r="U49" s="2">
        <v>140</v>
      </c>
      <c r="V49" s="2">
        <v>140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2:61" x14ac:dyDescent="0.25">
      <c r="B50" t="s">
        <v>44</v>
      </c>
      <c r="C50" s="2">
        <v>120</v>
      </c>
      <c r="D50" s="2">
        <v>120</v>
      </c>
      <c r="E50" s="2">
        <v>120</v>
      </c>
      <c r="F50" s="2">
        <v>120</v>
      </c>
      <c r="G50" s="2">
        <v>120</v>
      </c>
      <c r="H50" s="2">
        <v>120</v>
      </c>
      <c r="I50" s="2">
        <v>120</v>
      </c>
      <c r="J50" s="2">
        <v>120</v>
      </c>
      <c r="K50" s="2">
        <v>120</v>
      </c>
      <c r="L50" s="2">
        <v>120</v>
      </c>
      <c r="M50" s="2">
        <v>120</v>
      </c>
      <c r="N50" s="2">
        <v>120</v>
      </c>
      <c r="O50" s="2">
        <v>120</v>
      </c>
      <c r="P50" s="2">
        <v>120</v>
      </c>
      <c r="Q50" s="2">
        <v>120</v>
      </c>
      <c r="R50" s="2">
        <v>120</v>
      </c>
      <c r="S50" s="2">
        <v>120</v>
      </c>
      <c r="T50" s="2">
        <v>120</v>
      </c>
      <c r="U50" s="2">
        <v>120</v>
      </c>
      <c r="V50" s="2">
        <v>120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2:61" x14ac:dyDescent="0.25">
      <c r="B51" t="s">
        <v>45</v>
      </c>
      <c r="C51" s="2">
        <v>110</v>
      </c>
      <c r="D51" s="2">
        <v>110</v>
      </c>
      <c r="E51" s="2">
        <v>110</v>
      </c>
      <c r="F51" s="2">
        <v>110</v>
      </c>
      <c r="G51" s="2">
        <v>110</v>
      </c>
      <c r="H51" s="2">
        <v>110</v>
      </c>
      <c r="I51" s="2">
        <v>110</v>
      </c>
      <c r="J51" s="2">
        <v>110</v>
      </c>
      <c r="K51" s="2">
        <v>110</v>
      </c>
      <c r="L51" s="2">
        <v>110</v>
      </c>
      <c r="M51" s="2">
        <v>110</v>
      </c>
      <c r="N51" s="2">
        <v>110</v>
      </c>
      <c r="O51" s="2">
        <v>110</v>
      </c>
      <c r="P51" s="2">
        <v>110</v>
      </c>
      <c r="Q51" s="2">
        <v>110</v>
      </c>
      <c r="R51" s="2">
        <v>110</v>
      </c>
      <c r="S51" s="2">
        <v>110</v>
      </c>
      <c r="T51" s="2">
        <v>110</v>
      </c>
      <c r="U51" s="2">
        <v>110</v>
      </c>
      <c r="V51" s="2">
        <v>110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2:61" x14ac:dyDescent="0.25">
      <c r="B52" s="1" t="s">
        <v>46</v>
      </c>
      <c r="C52" s="2">
        <v>100</v>
      </c>
      <c r="D52" s="2">
        <v>100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100</v>
      </c>
      <c r="T52" s="2">
        <v>100</v>
      </c>
      <c r="U52" s="2">
        <v>100</v>
      </c>
      <c r="V52" s="2">
        <v>100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2:61" x14ac:dyDescent="0.2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2:61" x14ac:dyDescent="0.25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2:61" x14ac:dyDescent="0.2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2:61" x14ac:dyDescent="0.2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2:61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2:61" x14ac:dyDescent="0.2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2:61" x14ac:dyDescent="0.2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2:61" x14ac:dyDescent="0.2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2:61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2:61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2:61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2:61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2:61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2:61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2:61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</sheetData>
  <mergeCells count="4">
    <mergeCell ref="A2:A3"/>
    <mergeCell ref="B2:B3"/>
    <mergeCell ref="D2:D3"/>
    <mergeCell ref="E2:E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B2DF-EE53-4B49-8EE6-ACABB52871CD}">
  <dimension ref="A1:CU89"/>
  <sheetViews>
    <sheetView workbookViewId="0">
      <selection activeCell="G4" sqref="G4"/>
    </sheetView>
  </sheetViews>
  <sheetFormatPr defaultRowHeight="15" x14ac:dyDescent="0.25"/>
  <cols>
    <col min="2" max="2" width="23.28515625" bestFit="1" customWidth="1"/>
    <col min="3" max="3" width="13" bestFit="1" customWidth="1"/>
    <col min="4" max="4" width="9.5703125" bestFit="1" customWidth="1"/>
    <col min="5" max="5" width="10.28515625" customWidth="1"/>
    <col min="6" max="6" width="12" customWidth="1"/>
    <col min="7" max="7" width="13.42578125" customWidth="1"/>
    <col min="8" max="8" width="11.42578125" bestFit="1" customWidth="1"/>
    <col min="9" max="9" width="20.5703125" bestFit="1" customWidth="1"/>
    <col min="10" max="10" width="21.140625" bestFit="1" customWidth="1"/>
    <col min="11" max="15" width="9.5703125" bestFit="1" customWidth="1"/>
    <col min="16" max="16" width="14.28515625" bestFit="1" customWidth="1"/>
    <col min="17" max="17" width="9.7109375" bestFit="1" customWidth="1"/>
    <col min="18" max="18" width="12.42578125" bestFit="1" customWidth="1"/>
    <col min="19" max="22" width="9.5703125" bestFit="1" customWidth="1"/>
    <col min="23" max="24" width="8" bestFit="1" customWidth="1"/>
    <col min="25" max="25" width="14.5703125" bestFit="1" customWidth="1"/>
    <col min="26" max="26" width="10.85546875" bestFit="1" customWidth="1"/>
    <col min="27" max="30" width="8" bestFit="1" customWidth="1"/>
    <col min="31" max="31" width="15.140625" bestFit="1" customWidth="1"/>
    <col min="32" max="33" width="8" bestFit="1" customWidth="1"/>
    <col min="34" max="34" width="8.28515625" bestFit="1" customWidth="1"/>
    <col min="35" max="35" width="12.85546875" bestFit="1" customWidth="1"/>
    <col min="36" max="36" width="19.42578125" bestFit="1" customWidth="1"/>
    <col min="37" max="37" width="13.5703125" bestFit="1" customWidth="1"/>
    <col min="38" max="38" width="10" bestFit="1" customWidth="1"/>
    <col min="39" max="40" width="8.85546875" bestFit="1" customWidth="1"/>
    <col min="41" max="41" width="20.28515625" bestFit="1" customWidth="1"/>
    <col min="42" max="42" width="8" bestFit="1" customWidth="1"/>
    <col min="43" max="43" width="13" bestFit="1" customWidth="1"/>
    <col min="44" max="44" width="8" bestFit="1" customWidth="1"/>
    <col min="45" max="45" width="9.42578125" bestFit="1" customWidth="1"/>
    <col min="46" max="46" width="8.42578125" bestFit="1" customWidth="1"/>
    <col min="47" max="47" width="12.85546875" bestFit="1" customWidth="1"/>
    <col min="48" max="48" width="8.7109375" bestFit="1" customWidth="1"/>
    <col min="49" max="49" width="8" bestFit="1" customWidth="1"/>
    <col min="50" max="51" width="11.7109375" bestFit="1" customWidth="1"/>
    <col min="52" max="53" width="8" bestFit="1" customWidth="1"/>
    <col min="54" max="55" width="8.42578125" bestFit="1" customWidth="1"/>
    <col min="56" max="56" width="11.42578125" bestFit="1" customWidth="1"/>
    <col min="57" max="57" width="10" bestFit="1" customWidth="1"/>
    <col min="58" max="58" width="10.28515625" bestFit="1" customWidth="1"/>
    <col min="59" max="59" width="11.42578125" bestFit="1" customWidth="1"/>
    <col min="60" max="60" width="9.28515625" bestFit="1" customWidth="1"/>
    <col min="61" max="61" width="8" bestFit="1" customWidth="1"/>
    <col min="62" max="62" width="9.42578125" bestFit="1" customWidth="1"/>
    <col min="63" max="63" width="12.85546875" bestFit="1" customWidth="1"/>
    <col min="64" max="64" width="9.5703125" bestFit="1" customWidth="1"/>
    <col min="65" max="65" width="8" bestFit="1" customWidth="1"/>
    <col min="66" max="66" width="15.85546875" bestFit="1" customWidth="1"/>
    <col min="67" max="67" width="8" bestFit="1" customWidth="1"/>
    <col min="68" max="68" width="15.42578125" bestFit="1" customWidth="1"/>
    <col min="69" max="69" width="19.42578125" bestFit="1" customWidth="1"/>
    <col min="70" max="70" width="12.42578125" bestFit="1" customWidth="1"/>
    <col min="71" max="71" width="8.140625" bestFit="1" customWidth="1"/>
    <col min="72" max="72" width="15.85546875" bestFit="1" customWidth="1"/>
    <col min="73" max="73" width="9.85546875" bestFit="1" customWidth="1"/>
    <col min="74" max="74" width="8" bestFit="1" customWidth="1"/>
    <col min="75" max="75" width="8.140625" bestFit="1" customWidth="1"/>
    <col min="76" max="76" width="11.140625" bestFit="1" customWidth="1"/>
    <col min="77" max="77" width="13.7109375" bestFit="1" customWidth="1"/>
    <col min="78" max="78" width="17.5703125" bestFit="1" customWidth="1"/>
    <col min="79" max="79" width="11.140625" bestFit="1" customWidth="1"/>
    <col min="80" max="80" width="8" bestFit="1" customWidth="1"/>
    <col min="81" max="81" width="12.85546875" bestFit="1" customWidth="1"/>
    <col min="82" max="82" width="8" bestFit="1" customWidth="1"/>
    <col min="83" max="83" width="12.5703125" bestFit="1" customWidth="1"/>
    <col min="84" max="84" width="10.42578125" bestFit="1" customWidth="1"/>
    <col min="85" max="85" width="8.28515625" bestFit="1" customWidth="1"/>
    <col min="86" max="86" width="16.5703125" bestFit="1" customWidth="1"/>
    <col min="87" max="87" width="21.28515625" bestFit="1" customWidth="1"/>
    <col min="88" max="88" width="23.28515625" bestFit="1" customWidth="1"/>
    <col min="89" max="89" width="10.7109375" bestFit="1" customWidth="1"/>
    <col min="90" max="90" width="9.85546875" bestFit="1" customWidth="1"/>
    <col min="91" max="91" width="18" bestFit="1" customWidth="1"/>
    <col min="92" max="92" width="8.85546875" bestFit="1" customWidth="1"/>
    <col min="93" max="93" width="7.85546875" bestFit="1" customWidth="1"/>
  </cols>
  <sheetData>
    <row r="1" spans="1:99" x14ac:dyDescent="0.25">
      <c r="O1" t="s">
        <v>30</v>
      </c>
    </row>
    <row r="2" spans="1:99" ht="15" customHeight="1" x14ac:dyDescent="0.25">
      <c r="A2" s="20" t="s">
        <v>21</v>
      </c>
      <c r="B2" s="20" t="s">
        <v>22</v>
      </c>
      <c r="D2" s="20" t="s">
        <v>23</v>
      </c>
      <c r="E2" s="21" t="s">
        <v>62</v>
      </c>
      <c r="F2" s="21" t="s">
        <v>61</v>
      </c>
      <c r="G2" s="21" t="s">
        <v>60</v>
      </c>
      <c r="H2" s="18" t="s">
        <v>38</v>
      </c>
      <c r="I2" s="18" t="s">
        <v>49</v>
      </c>
      <c r="J2" s="11" t="s">
        <v>56</v>
      </c>
      <c r="L2" s="10" t="s">
        <v>57</v>
      </c>
    </row>
    <row r="3" spans="1:99" x14ac:dyDescent="0.25">
      <c r="A3" s="20"/>
      <c r="B3" s="20"/>
      <c r="C3" t="s">
        <v>39</v>
      </c>
      <c r="D3" s="20"/>
      <c r="E3" s="21"/>
      <c r="F3" s="21"/>
      <c r="G3" s="21"/>
      <c r="H3" s="18"/>
      <c r="I3" s="18"/>
      <c r="J3" s="11"/>
      <c r="L3">
        <f>7.43</f>
        <v>7.43</v>
      </c>
      <c r="O3" t="s">
        <v>25</v>
      </c>
      <c r="P3" t="s">
        <v>26</v>
      </c>
      <c r="R3" s="3">
        <v>1</v>
      </c>
      <c r="S3" s="2">
        <f t="array" ref="S3">INDEX($C$28:$V$47,R3,R4)</f>
        <v>2407.3199999999997</v>
      </c>
      <c r="T3" s="3">
        <v>6</v>
      </c>
      <c r="U3" s="2">
        <f t="array" ref="U3">INDEX($C$28:$V$47,T3,T4)</f>
        <v>1181.3699999999999</v>
      </c>
      <c r="V3" s="3"/>
      <c r="Y3" s="4"/>
      <c r="AA3" s="3"/>
      <c r="AC3" s="3"/>
    </row>
    <row r="4" spans="1:99" x14ac:dyDescent="0.25">
      <c r="A4">
        <v>1</v>
      </c>
      <c r="B4" s="1" t="s">
        <v>0</v>
      </c>
      <c r="C4" t="s">
        <v>40</v>
      </c>
      <c r="D4" s="3">
        <v>6</v>
      </c>
      <c r="E4" s="2">
        <f t="array" ref="E4">INDEX($C$28:$V$47,D4,D5)</f>
        <v>1181.3699999999999</v>
      </c>
      <c r="F4">
        <f>H4+I4</f>
        <v>200</v>
      </c>
      <c r="G4" s="2">
        <f t="shared" ref="G4:G22" si="0">SUM(H4:J4)</f>
        <v>8977.579099999999</v>
      </c>
      <c r="H4">
        <v>120</v>
      </c>
      <c r="I4">
        <v>80</v>
      </c>
      <c r="J4" s="2">
        <f t="shared" ref="J4:J22" si="1">E4*$L$3</f>
        <v>8777.579099999999</v>
      </c>
      <c r="O4" s="5" t="s">
        <v>20</v>
      </c>
      <c r="R4" s="3">
        <v>2</v>
      </c>
      <c r="S4" s="2">
        <f t="array" ref="S4">INDEX($C$28:$V$47,R4,R5)</f>
        <v>1954.09</v>
      </c>
      <c r="T4" s="3">
        <v>4</v>
      </c>
      <c r="U4" s="2">
        <f t="array" ref="U4">INDEX($C$28:$V$47,T4,T5)</f>
        <v>334.34999999999997</v>
      </c>
      <c r="V4" s="3"/>
      <c r="Y4" s="4"/>
      <c r="AA4" s="3"/>
      <c r="AC4" s="3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>
        <v>2</v>
      </c>
      <c r="B5" s="1" t="s">
        <v>1</v>
      </c>
      <c r="C5" t="s">
        <v>41</v>
      </c>
      <c r="D5" s="3">
        <v>4</v>
      </c>
      <c r="E5" s="2">
        <f t="array" ref="E5">INDEX($C$28:$V$47,D5,D6)</f>
        <v>334.34999999999997</v>
      </c>
      <c r="F5">
        <f t="shared" ref="F5:F22" si="2">H5+I5</f>
        <v>190</v>
      </c>
      <c r="G5" s="2">
        <f t="shared" si="0"/>
        <v>2674.2204999999994</v>
      </c>
      <c r="H5">
        <v>110</v>
      </c>
      <c r="I5">
        <v>80</v>
      </c>
      <c r="J5" s="2">
        <f t="shared" si="1"/>
        <v>2484.2204999999994</v>
      </c>
      <c r="O5" s="6">
        <f>SUM(E4:E23)</f>
        <v>14057.559999999998</v>
      </c>
      <c r="R5" s="3">
        <v>3</v>
      </c>
      <c r="S5" s="2">
        <f t="array" ref="S5">INDEX($C$28:$V$47,R5,R6)</f>
        <v>334.34999999999997</v>
      </c>
      <c r="T5" s="3">
        <v>3</v>
      </c>
      <c r="U5" s="2">
        <f t="array" ref="U5">INDEX($C$28:$V$47,T5,T6)</f>
        <v>237.76</v>
      </c>
      <c r="V5" s="3"/>
      <c r="Y5" s="4"/>
      <c r="AA5" s="3"/>
      <c r="AC5" s="3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9" x14ac:dyDescent="0.25">
      <c r="A6">
        <v>3</v>
      </c>
      <c r="B6" s="1" t="s">
        <v>2</v>
      </c>
      <c r="C6" t="s">
        <v>42</v>
      </c>
      <c r="D6" s="3">
        <v>3</v>
      </c>
      <c r="E6" s="2">
        <f t="array" ref="E6">INDEX($C$28:$V$47,D6,D7)</f>
        <v>237.76</v>
      </c>
      <c r="F6">
        <f t="shared" si="2"/>
        <v>180</v>
      </c>
      <c r="G6" s="2">
        <f t="shared" si="0"/>
        <v>1946.5567999999998</v>
      </c>
      <c r="H6">
        <v>100</v>
      </c>
      <c r="I6">
        <v>80</v>
      </c>
      <c r="J6" s="2">
        <f t="shared" si="1"/>
        <v>1766.5567999999998</v>
      </c>
      <c r="R6" s="3">
        <v>4</v>
      </c>
      <c r="S6" s="2">
        <f t="array" ref="S6">INDEX($C$28:$V$47,R6,R7)</f>
        <v>1277.96</v>
      </c>
      <c r="T6" s="3">
        <v>15</v>
      </c>
      <c r="U6" s="2">
        <f t="array" ref="U6">INDEX($C$28:$V$47,T6,T7)</f>
        <v>750.43</v>
      </c>
      <c r="V6" s="3"/>
      <c r="Y6" s="4"/>
      <c r="AA6" s="3"/>
      <c r="AC6" s="3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9" x14ac:dyDescent="0.25">
      <c r="A7">
        <v>4</v>
      </c>
      <c r="B7" s="1" t="s">
        <v>3</v>
      </c>
      <c r="C7" t="s">
        <v>43</v>
      </c>
      <c r="D7" s="3">
        <v>15</v>
      </c>
      <c r="E7" s="2">
        <f t="array" ref="E7">INDEX($C$28:$V$47,D7,D8)</f>
        <v>750.43</v>
      </c>
      <c r="F7">
        <f t="shared" si="2"/>
        <v>170</v>
      </c>
      <c r="G7" s="2">
        <f t="shared" si="0"/>
        <v>5745.6948999999995</v>
      </c>
      <c r="H7">
        <v>90</v>
      </c>
      <c r="I7">
        <v>80</v>
      </c>
      <c r="J7" s="2">
        <f t="shared" si="1"/>
        <v>5575.6948999999995</v>
      </c>
      <c r="R7" s="3">
        <v>5</v>
      </c>
      <c r="S7" s="2">
        <f t="array" ref="S7">INDEX($C$28:$V$47,R7,R8)</f>
        <v>2139.84</v>
      </c>
      <c r="T7" s="3">
        <v>14</v>
      </c>
      <c r="U7" s="2">
        <f t="array" ref="U7">INDEX($C$28:$V$47,T7,T8)</f>
        <v>356.64</v>
      </c>
      <c r="V7" s="3"/>
      <c r="Y7" s="4"/>
      <c r="AA7" s="3"/>
      <c r="AC7" s="3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9" x14ac:dyDescent="0.25">
      <c r="A8">
        <v>5</v>
      </c>
      <c r="B8" s="1" t="s">
        <v>4</v>
      </c>
      <c r="C8" t="s">
        <v>44</v>
      </c>
      <c r="D8" s="3">
        <v>14</v>
      </c>
      <c r="E8" s="2">
        <f t="array" ref="E8">INDEX($C$28:$V$47,D8,D9)</f>
        <v>356.64</v>
      </c>
      <c r="F8">
        <f t="shared" si="2"/>
        <v>130</v>
      </c>
      <c r="G8" s="2">
        <f t="shared" si="0"/>
        <v>2779.8352</v>
      </c>
      <c r="H8">
        <v>50</v>
      </c>
      <c r="I8">
        <v>80</v>
      </c>
      <c r="J8" s="2">
        <f t="shared" si="1"/>
        <v>2649.8352</v>
      </c>
      <c r="O8" t="s">
        <v>48</v>
      </c>
      <c r="R8" s="3">
        <v>6</v>
      </c>
      <c r="S8" s="2">
        <f t="array" ref="S8">INDEX($C$28:$V$47,R8,R9)</f>
        <v>3128.0299999999997</v>
      </c>
      <c r="T8" s="3">
        <v>13</v>
      </c>
      <c r="U8" s="2">
        <f t="array" ref="U8">INDEX($C$28:$V$47,T8,T9)</f>
        <v>282.33999999999997</v>
      </c>
      <c r="V8" s="3"/>
      <c r="Y8" s="4"/>
      <c r="AA8" s="3"/>
      <c r="AC8" s="3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9" x14ac:dyDescent="0.25">
      <c r="A9">
        <v>6</v>
      </c>
      <c r="B9" s="1" t="s">
        <v>5</v>
      </c>
      <c r="C9" t="s">
        <v>45</v>
      </c>
      <c r="D9" s="3">
        <v>13</v>
      </c>
      <c r="E9" s="2">
        <f t="array" ref="E9">INDEX($C$28:$V$47,D9,D10)</f>
        <v>282.33999999999997</v>
      </c>
      <c r="F9">
        <f t="shared" si="2"/>
        <v>310</v>
      </c>
      <c r="G9" s="2">
        <f t="shared" si="0"/>
        <v>2407.7861999999996</v>
      </c>
      <c r="H9" s="9">
        <v>150</v>
      </c>
      <c r="I9">
        <v>160</v>
      </c>
      <c r="J9" s="2">
        <f t="shared" si="1"/>
        <v>2097.7861999999996</v>
      </c>
      <c r="O9" s="12" t="s">
        <v>50</v>
      </c>
      <c r="R9" s="3">
        <v>7</v>
      </c>
      <c r="S9" s="2">
        <f t="array" ref="S9">INDEX($C$28:$V$47,R9,R10)</f>
        <v>1003.05</v>
      </c>
      <c r="T9" s="3">
        <v>9</v>
      </c>
      <c r="U9" s="2">
        <f t="array" ref="U9">INDEX($C$28:$V$47,T9,T10)</f>
        <v>289.77</v>
      </c>
      <c r="V9" s="3"/>
      <c r="Y9" s="4"/>
      <c r="AA9" s="3"/>
      <c r="AC9" s="3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9" x14ac:dyDescent="0.25">
      <c r="A10">
        <v>7</v>
      </c>
      <c r="B10" s="1" t="s">
        <v>6</v>
      </c>
      <c r="C10" t="s">
        <v>40</v>
      </c>
      <c r="D10" s="3">
        <v>9</v>
      </c>
      <c r="E10" s="2">
        <f t="array" ref="E10">INDEX($C$28:$V$47,D10,D11)</f>
        <v>289.77</v>
      </c>
      <c r="F10">
        <f t="shared" si="2"/>
        <v>200</v>
      </c>
      <c r="G10" s="2">
        <f t="shared" si="0"/>
        <v>2352.9910999999997</v>
      </c>
      <c r="H10">
        <v>120</v>
      </c>
      <c r="I10">
        <v>80</v>
      </c>
      <c r="J10" s="2">
        <f t="shared" si="1"/>
        <v>2152.9910999999997</v>
      </c>
      <c r="R10" s="3">
        <v>8</v>
      </c>
      <c r="S10" s="2">
        <f t="array" ref="S10">INDEX($C$28:$V$47,R10,R11)</f>
        <v>2266.15</v>
      </c>
      <c r="T10" s="3">
        <v>12</v>
      </c>
      <c r="U10" s="2">
        <f t="array" ref="U10">INDEX($C$28:$V$47,T10,T11)</f>
        <v>824.73</v>
      </c>
      <c r="V10" s="3"/>
      <c r="Y10" s="4"/>
      <c r="AA10" s="3"/>
      <c r="AC10" s="3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9" x14ac:dyDescent="0.25">
      <c r="A11">
        <v>8</v>
      </c>
      <c r="B11" s="1" t="s">
        <v>7</v>
      </c>
      <c r="C11" t="s">
        <v>41</v>
      </c>
      <c r="D11" s="3">
        <v>12</v>
      </c>
      <c r="E11" s="2">
        <f t="array" ref="E11">INDEX($C$28:$V$47,D11,D12)</f>
        <v>824.73</v>
      </c>
      <c r="F11">
        <f t="shared" si="2"/>
        <v>190</v>
      </c>
      <c r="G11" s="2">
        <f t="shared" si="0"/>
        <v>6317.7438999999995</v>
      </c>
      <c r="H11">
        <v>110</v>
      </c>
      <c r="I11">
        <v>80</v>
      </c>
      <c r="J11" s="2">
        <f t="shared" si="1"/>
        <v>6127.7438999999995</v>
      </c>
      <c r="R11" s="3">
        <v>9</v>
      </c>
      <c r="S11" s="2">
        <f t="array" ref="S11">INDEX($C$28:$V$47,R11,R12)</f>
        <v>1404.27</v>
      </c>
      <c r="T11" s="3">
        <v>20</v>
      </c>
      <c r="U11" s="2">
        <f t="array" ref="U11">INDEX($C$28:$V$47,T11,T12)</f>
        <v>527.53</v>
      </c>
      <c r="V11" s="3"/>
      <c r="Y11" s="4"/>
      <c r="AA11" s="3"/>
      <c r="AC11" s="3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9" x14ac:dyDescent="0.25">
      <c r="A12">
        <v>9</v>
      </c>
      <c r="B12" s="1" t="s">
        <v>8</v>
      </c>
      <c r="C12" t="s">
        <v>42</v>
      </c>
      <c r="D12" s="3">
        <v>20</v>
      </c>
      <c r="E12" s="2">
        <f t="array" ref="E12">INDEX($C$28:$V$47,D12,D13)</f>
        <v>527.53</v>
      </c>
      <c r="F12">
        <f t="shared" si="2"/>
        <v>180</v>
      </c>
      <c r="G12" s="2">
        <f t="shared" si="0"/>
        <v>4099.5478999999996</v>
      </c>
      <c r="H12">
        <v>100</v>
      </c>
      <c r="I12">
        <v>80</v>
      </c>
      <c r="J12" s="2">
        <f t="shared" si="1"/>
        <v>3919.5478999999996</v>
      </c>
      <c r="R12" s="3">
        <v>10</v>
      </c>
      <c r="S12" s="2">
        <f t="array" ref="S12">INDEX($C$28:$V$47,R12,R13)</f>
        <v>2600.5</v>
      </c>
      <c r="T12" s="3">
        <v>19</v>
      </c>
      <c r="U12" s="2">
        <f t="array" ref="U12">INDEX($C$28:$V$47,T12,T13)</f>
        <v>2124.98</v>
      </c>
      <c r="V12" s="3"/>
      <c r="Y12" s="4"/>
      <c r="AA12" s="3"/>
      <c r="AC12" s="3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9" x14ac:dyDescent="0.25">
      <c r="A13">
        <v>10</v>
      </c>
      <c r="B13" s="1" t="s">
        <v>9</v>
      </c>
      <c r="C13" t="s">
        <v>43</v>
      </c>
      <c r="D13" s="3">
        <v>19</v>
      </c>
      <c r="E13" s="2">
        <f t="array" ref="E13">INDEX($C$28:$V$47,D13,D14)</f>
        <v>2124.98</v>
      </c>
      <c r="F13">
        <f t="shared" si="2"/>
        <v>170</v>
      </c>
      <c r="G13" s="2">
        <f t="shared" si="0"/>
        <v>15958.6014</v>
      </c>
      <c r="H13">
        <v>90</v>
      </c>
      <c r="I13">
        <v>80</v>
      </c>
      <c r="J13" s="2">
        <f t="shared" si="1"/>
        <v>15788.6014</v>
      </c>
      <c r="L13" s="10" t="s">
        <v>51</v>
      </c>
      <c r="M13" s="10"/>
      <c r="N13" s="10"/>
      <c r="R13" s="3">
        <v>11</v>
      </c>
      <c r="S13" s="2">
        <f t="array" ref="S13">INDEX($C$28:$V$47,R13,R14)</f>
        <v>1894.6499999999999</v>
      </c>
      <c r="T13" s="3">
        <v>10</v>
      </c>
      <c r="U13" s="2">
        <f t="array" ref="U13">INDEX($C$28:$V$47,T13,T14)</f>
        <v>267.48</v>
      </c>
      <c r="V13" s="3"/>
      <c r="Y13" s="4"/>
      <c r="AA13" s="3"/>
      <c r="AC13" s="3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9" x14ac:dyDescent="0.25">
      <c r="A14">
        <v>11</v>
      </c>
      <c r="B14" s="1" t="s">
        <v>10</v>
      </c>
      <c r="C14" t="s">
        <v>44</v>
      </c>
      <c r="D14" s="3">
        <v>10</v>
      </c>
      <c r="E14" s="2">
        <f t="array" ref="E14">INDEX($C$28:$V$47,D14,D15)</f>
        <v>267.48</v>
      </c>
      <c r="F14">
        <f t="shared" si="2"/>
        <v>130</v>
      </c>
      <c r="G14" s="2">
        <f t="shared" si="0"/>
        <v>2117.3764000000001</v>
      </c>
      <c r="H14">
        <v>50</v>
      </c>
      <c r="I14">
        <v>80</v>
      </c>
      <c r="J14" s="2">
        <f t="shared" si="1"/>
        <v>1987.3764000000001</v>
      </c>
      <c r="L14" s="10">
        <v>1</v>
      </c>
      <c r="M14" s="10">
        <v>2</v>
      </c>
      <c r="N14" s="10">
        <v>3</v>
      </c>
      <c r="R14" s="3">
        <v>12</v>
      </c>
      <c r="S14" s="2">
        <f t="array" ref="S14">INDEX($C$28:$V$47,R14,R15)</f>
        <v>572.11</v>
      </c>
      <c r="T14" s="3">
        <v>2</v>
      </c>
      <c r="U14" s="2">
        <f t="array" ref="U14">INDEX($C$28:$V$47,T14,T15)</f>
        <v>1337.3999999999999</v>
      </c>
      <c r="V14" s="3"/>
      <c r="Y14" s="4"/>
      <c r="AA14" s="3"/>
      <c r="AC14" s="3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9" x14ac:dyDescent="0.25">
      <c r="A15">
        <v>12</v>
      </c>
      <c r="B15" s="1" t="s">
        <v>11</v>
      </c>
      <c r="C15" t="s">
        <v>45</v>
      </c>
      <c r="D15" s="3">
        <v>2</v>
      </c>
      <c r="E15" s="2">
        <f t="array" ref="E15">INDEX($C$28:$V$47,D15,D16)</f>
        <v>1337.3999999999999</v>
      </c>
      <c r="F15">
        <f t="shared" si="2"/>
        <v>310</v>
      </c>
      <c r="G15" s="2">
        <f t="shared" si="0"/>
        <v>10246.881999999998</v>
      </c>
      <c r="H15" s="9">
        <v>150</v>
      </c>
      <c r="I15">
        <v>160</v>
      </c>
      <c r="J15" s="2">
        <f t="shared" si="1"/>
        <v>9936.8819999999978</v>
      </c>
      <c r="L15" t="s">
        <v>52</v>
      </c>
      <c r="M15" t="s">
        <v>54</v>
      </c>
      <c r="N15" t="s">
        <v>58</v>
      </c>
      <c r="R15" s="3">
        <v>13</v>
      </c>
      <c r="S15" s="2">
        <f t="array" ref="S15">INDEX($C$28:$V$47,R15,R16)</f>
        <v>356.64</v>
      </c>
      <c r="T15" s="3">
        <v>18</v>
      </c>
      <c r="U15" s="2">
        <f t="array" ref="U15">INDEX($C$28:$V$47,T15,T16)</f>
        <v>720.70999999999992</v>
      </c>
      <c r="V15" s="3"/>
      <c r="Y15" s="4"/>
      <c r="AA15" s="3"/>
      <c r="AC15" s="3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9" x14ac:dyDescent="0.25">
      <c r="A16">
        <v>13</v>
      </c>
      <c r="B16" s="1" t="s">
        <v>12</v>
      </c>
      <c r="C16" t="s">
        <v>40</v>
      </c>
      <c r="D16" s="3">
        <v>18</v>
      </c>
      <c r="E16" s="2">
        <f t="array" ref="E16">INDEX($C$28:$V$47,D16,D17)</f>
        <v>720.70999999999992</v>
      </c>
      <c r="F16">
        <f t="shared" si="2"/>
        <v>200</v>
      </c>
      <c r="G16" s="2">
        <f t="shared" si="0"/>
        <v>5554.8752999999988</v>
      </c>
      <c r="H16">
        <v>120</v>
      </c>
      <c r="I16">
        <v>80</v>
      </c>
      <c r="J16" s="2">
        <f t="shared" si="1"/>
        <v>5354.8752999999988</v>
      </c>
      <c r="L16" t="s">
        <v>53</v>
      </c>
      <c r="M16" t="s">
        <v>55</v>
      </c>
      <c r="N16" t="s">
        <v>59</v>
      </c>
      <c r="R16" s="3">
        <v>14</v>
      </c>
      <c r="S16" s="2">
        <f t="array" ref="S16">INDEX($C$28:$V$47,R16,R17)</f>
        <v>750.43</v>
      </c>
      <c r="T16" s="3">
        <v>5</v>
      </c>
      <c r="U16" s="2">
        <f t="array" ref="U16">INDEX($C$28:$V$47,T16,T17)</f>
        <v>594.4</v>
      </c>
      <c r="V16" s="3"/>
      <c r="Y16" s="4"/>
      <c r="AA16" s="3"/>
      <c r="AC16" s="3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A17">
        <v>14</v>
      </c>
      <c r="B17" s="1" t="s">
        <v>13</v>
      </c>
      <c r="C17" t="s">
        <v>41</v>
      </c>
      <c r="D17" s="3">
        <v>5</v>
      </c>
      <c r="E17" s="2">
        <f t="array" ref="E17">INDEX($C$28:$V$47,D17,D18)</f>
        <v>594.4</v>
      </c>
      <c r="F17">
        <f t="shared" si="2"/>
        <v>190</v>
      </c>
      <c r="G17" s="2">
        <f t="shared" si="0"/>
        <v>4606.3919999999998</v>
      </c>
      <c r="H17">
        <v>110</v>
      </c>
      <c r="I17">
        <v>80</v>
      </c>
      <c r="J17" s="2">
        <f t="shared" si="1"/>
        <v>4416.3919999999998</v>
      </c>
      <c r="R17" s="3">
        <v>15</v>
      </c>
      <c r="S17" s="2">
        <f t="array" ref="S17">INDEX($C$28:$V$47,R17,R18)</f>
        <v>3016.58</v>
      </c>
      <c r="T17" s="3">
        <v>1</v>
      </c>
      <c r="U17" s="2">
        <f t="array" ref="U17">INDEX($C$28:$V$47,T17,T18)</f>
        <v>371.5</v>
      </c>
      <c r="V17" s="3"/>
      <c r="Y17" s="4"/>
      <c r="AA17" s="3"/>
      <c r="AC17" s="3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A18">
        <v>15</v>
      </c>
      <c r="B18" s="1" t="s">
        <v>14</v>
      </c>
      <c r="C18" t="s">
        <v>42</v>
      </c>
      <c r="D18" s="3">
        <v>1</v>
      </c>
      <c r="E18" s="2">
        <f t="array" ref="E18">INDEX($C$28:$V$47,D18,D19)</f>
        <v>371.5</v>
      </c>
      <c r="F18">
        <f t="shared" si="2"/>
        <v>180</v>
      </c>
      <c r="G18" s="2">
        <f t="shared" si="0"/>
        <v>2940.2449999999999</v>
      </c>
      <c r="H18">
        <v>100</v>
      </c>
      <c r="I18">
        <v>80</v>
      </c>
      <c r="J18" s="2">
        <f t="shared" si="1"/>
        <v>2760.2449999999999</v>
      </c>
      <c r="R18" s="3">
        <v>16</v>
      </c>
      <c r="S18" s="2">
        <f t="array" ref="S18">INDEX($C$28:$V$47,R18,R19)</f>
        <v>282.33999999999997</v>
      </c>
      <c r="T18" s="3">
        <v>11</v>
      </c>
      <c r="U18" s="2">
        <f t="array" ref="U18">INDEX($C$28:$V$47,T18,T19)</f>
        <v>661.27</v>
      </c>
      <c r="V18" s="3"/>
      <c r="Y18" s="4"/>
      <c r="AA18" s="3"/>
      <c r="AC18" s="3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A19">
        <v>16</v>
      </c>
      <c r="B19" s="1" t="s">
        <v>15</v>
      </c>
      <c r="C19" t="s">
        <v>43</v>
      </c>
      <c r="D19" s="3">
        <v>11</v>
      </c>
      <c r="E19" s="2">
        <f t="array" ref="E19">INDEX($C$28:$V$47,D19,D20)</f>
        <v>661.27</v>
      </c>
      <c r="F19">
        <f t="shared" si="2"/>
        <v>170</v>
      </c>
      <c r="G19" s="2">
        <f t="shared" si="0"/>
        <v>5083.2361000000001</v>
      </c>
      <c r="H19">
        <v>90</v>
      </c>
      <c r="I19">
        <v>80</v>
      </c>
      <c r="J19" s="2">
        <f t="shared" si="1"/>
        <v>4913.2361000000001</v>
      </c>
      <c r="R19" s="3">
        <v>17</v>
      </c>
      <c r="S19" s="2">
        <f t="array" ref="S19">INDEX($C$28:$V$47,R19,R20)</f>
        <v>1991.24</v>
      </c>
      <c r="T19" s="3">
        <v>8</v>
      </c>
      <c r="U19" s="2">
        <f t="array" ref="U19">INDEX($C$28:$V$47,T19,T20)</f>
        <v>1003.05</v>
      </c>
      <c r="V19" s="3"/>
      <c r="Y19" s="4"/>
      <c r="AA19" s="3"/>
      <c r="AC19" s="3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x14ac:dyDescent="0.25">
      <c r="A20">
        <v>17</v>
      </c>
      <c r="B20" s="1" t="s">
        <v>16</v>
      </c>
      <c r="C20" t="s">
        <v>44</v>
      </c>
      <c r="D20" s="3">
        <v>8</v>
      </c>
      <c r="E20" s="2">
        <f t="array" ref="E20">INDEX($C$28:$V$47,D20,D21)</f>
        <v>1003.05</v>
      </c>
      <c r="F20">
        <f t="shared" si="2"/>
        <v>130</v>
      </c>
      <c r="G20" s="2">
        <f t="shared" si="0"/>
        <v>7582.6614999999993</v>
      </c>
      <c r="H20">
        <v>50</v>
      </c>
      <c r="I20">
        <v>80</v>
      </c>
      <c r="J20" s="2">
        <f t="shared" si="1"/>
        <v>7452.6614999999993</v>
      </c>
      <c r="R20" s="3">
        <v>18</v>
      </c>
      <c r="S20" s="2">
        <f t="array" ref="S20">INDEX($C$28:$V$47,R20,R21)</f>
        <v>3306.35</v>
      </c>
      <c r="T20" s="3">
        <v>7</v>
      </c>
      <c r="U20" s="2">
        <f t="array" ref="U20">INDEX($C$28:$V$47,T20,T21)</f>
        <v>1909.51</v>
      </c>
      <c r="V20" s="3"/>
      <c r="Y20" s="4"/>
      <c r="AA20" s="3"/>
      <c r="AC20" s="3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x14ac:dyDescent="0.25">
      <c r="A21">
        <v>18</v>
      </c>
      <c r="B21" s="1" t="s">
        <v>17</v>
      </c>
      <c r="C21" t="s">
        <v>45</v>
      </c>
      <c r="D21" s="3">
        <v>7</v>
      </c>
      <c r="E21" s="2">
        <f t="array" ref="E21">INDEX($C$28:$V$47,D21,D22)</f>
        <v>1909.51</v>
      </c>
      <c r="F21">
        <f t="shared" si="2"/>
        <v>310</v>
      </c>
      <c r="G21" s="2">
        <f t="shared" si="0"/>
        <v>14497.659299999999</v>
      </c>
      <c r="H21" s="9">
        <v>150</v>
      </c>
      <c r="I21">
        <v>160</v>
      </c>
      <c r="J21" s="2">
        <f t="shared" si="1"/>
        <v>14187.659299999999</v>
      </c>
      <c r="R21" s="3">
        <v>19</v>
      </c>
      <c r="S21" s="2">
        <f t="array" ref="S21">INDEX($C$28:$V$47,R21,R22)</f>
        <v>527.53</v>
      </c>
      <c r="T21" s="3">
        <v>16</v>
      </c>
      <c r="U21" s="2">
        <f t="array" ref="U21">INDEX($C$28:$V$47,T21,T22)</f>
        <v>282.33999999999997</v>
      </c>
      <c r="V21" s="3"/>
      <c r="Y21" s="4"/>
      <c r="AA21" s="3"/>
      <c r="AC21" s="3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>
        <v>19</v>
      </c>
      <c r="B22" s="1" t="s">
        <v>18</v>
      </c>
      <c r="C22" t="s">
        <v>40</v>
      </c>
      <c r="D22" s="3">
        <v>16</v>
      </c>
      <c r="E22" s="2">
        <f t="array" ref="E22">INDEX($C$28:$V$47,D22,D23)</f>
        <v>282.33999999999997</v>
      </c>
      <c r="F22">
        <f t="shared" si="2"/>
        <v>200</v>
      </c>
      <c r="G22" s="2">
        <f t="shared" si="0"/>
        <v>2297.7861999999996</v>
      </c>
      <c r="H22">
        <v>120</v>
      </c>
      <c r="I22">
        <v>80</v>
      </c>
      <c r="J22" s="2">
        <f t="shared" si="1"/>
        <v>2097.7861999999996</v>
      </c>
      <c r="R22" s="3">
        <v>20</v>
      </c>
      <c r="T22" s="3">
        <v>17</v>
      </c>
      <c r="V22" s="3"/>
      <c r="Y22" s="4"/>
      <c r="AA22" s="3"/>
      <c r="AC22" s="3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A23">
        <v>20</v>
      </c>
      <c r="B23" s="1" t="s">
        <v>19</v>
      </c>
      <c r="C23" t="s">
        <v>41</v>
      </c>
      <c r="D23" s="3">
        <v>17</v>
      </c>
      <c r="R23" s="6"/>
      <c r="S23" s="6">
        <f>SUM(S3:S22)</f>
        <v>31213.43</v>
      </c>
      <c r="T23" s="6"/>
      <c r="U23" s="6">
        <f>SUM(U3:U22)</f>
        <v>14057.559999999998</v>
      </c>
      <c r="W23" s="6"/>
      <c r="Y23" s="4"/>
      <c r="Z23" s="6"/>
      <c r="AA23" s="3"/>
      <c r="AB23" s="6"/>
      <c r="AC23" s="3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</row>
    <row r="26" spans="1:91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</row>
    <row r="27" spans="1:91" x14ac:dyDescent="0.25"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15</v>
      </c>
      <c r="S27" s="1" t="s">
        <v>16</v>
      </c>
      <c r="T27" s="1" t="s">
        <v>17</v>
      </c>
      <c r="U27" s="1" t="s">
        <v>18</v>
      </c>
      <c r="V27" s="1" t="s">
        <v>19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91" x14ac:dyDescent="0.25">
      <c r="B28" s="1" t="s">
        <v>0</v>
      </c>
      <c r="C28" s="2">
        <f>0*(7.43)</f>
        <v>0</v>
      </c>
      <c r="D28" s="2">
        <f>324*(7.43)</f>
        <v>2407.3199999999997</v>
      </c>
      <c r="E28" s="2">
        <f>91*(7.43)</f>
        <v>676.13</v>
      </c>
      <c r="F28" s="2">
        <f>93*(7.43)</f>
        <v>690.99</v>
      </c>
      <c r="G28" s="2">
        <f>80*(7.43)</f>
        <v>594.4</v>
      </c>
      <c r="H28" s="2">
        <f>230*(7.43)</f>
        <v>1708.8999999999999</v>
      </c>
      <c r="I28" s="2">
        <f>214*(7.43)</f>
        <v>1590.02</v>
      </c>
      <c r="J28" s="2">
        <f>136*(7.43)</f>
        <v>1010.48</v>
      </c>
      <c r="K28" s="2">
        <f>177*(7.43)</f>
        <v>1315.11</v>
      </c>
      <c r="L28" s="2">
        <f>360*(7.43)</f>
        <v>2674.7999999999997</v>
      </c>
      <c r="M28" s="2">
        <f>50*(7.43)</f>
        <v>371.5</v>
      </c>
      <c r="N28" s="2">
        <f>216*(7.43)</f>
        <v>1604.8799999999999</v>
      </c>
      <c r="O28" s="2">
        <f>174*(7.43)</f>
        <v>1292.82</v>
      </c>
      <c r="P28" s="2">
        <f>148*(7.43)</f>
        <v>1099.6399999999999</v>
      </c>
      <c r="Q28" s="2">
        <f>100*(7.43)</f>
        <v>743</v>
      </c>
      <c r="R28" s="2">
        <f>375*(7.43)</f>
        <v>2786.25</v>
      </c>
      <c r="S28" s="2">
        <f>409*(7.43)</f>
        <v>3038.87</v>
      </c>
      <c r="T28" s="2">
        <f>218*(7.43)</f>
        <v>1619.74</v>
      </c>
      <c r="U28" s="2">
        <f>333*(7.43)</f>
        <v>2474.19</v>
      </c>
      <c r="V28" s="2">
        <f>262*(7.43)</f>
        <v>1946.6599999999999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91" x14ac:dyDescent="0.25">
      <c r="B29" s="1" t="s">
        <v>1</v>
      </c>
      <c r="C29" s="2">
        <f>324*(7.43)</f>
        <v>2407.3199999999997</v>
      </c>
      <c r="D29" s="2">
        <f>0*(7.43)</f>
        <v>0</v>
      </c>
      <c r="E29" s="2">
        <f>263*(7.43)</f>
        <v>1954.09</v>
      </c>
      <c r="F29" s="2">
        <f>186*(7.43)</f>
        <v>1381.98</v>
      </c>
      <c r="G29" s="2">
        <f>266*(7.43)</f>
        <v>1976.3799999999999</v>
      </c>
      <c r="H29" s="2">
        <f>403*(7.43)</f>
        <v>2994.29</v>
      </c>
      <c r="I29" s="2">
        <f>427*(7.43)</f>
        <v>3172.6099999999997</v>
      </c>
      <c r="J29" s="2">
        <f>413*(7.43)</f>
        <v>3068.5899999999997</v>
      </c>
      <c r="K29" s="2">
        <f>214*(7.43)</f>
        <v>1590.02</v>
      </c>
      <c r="L29" s="2">
        <f>36*(7.43)</f>
        <v>267.48</v>
      </c>
      <c r="M29" s="2">
        <f>314*(7.43)</f>
        <v>2333.02</v>
      </c>
      <c r="N29" s="2">
        <f>178*(7.43)</f>
        <v>1322.54</v>
      </c>
      <c r="O29" s="2">
        <f>196*(7.43)</f>
        <v>1456.28</v>
      </c>
      <c r="P29" s="2">
        <f>177*(7.43)</f>
        <v>1315.11</v>
      </c>
      <c r="Q29" s="2">
        <f>265*(7.43)</f>
        <v>1968.9499999999998</v>
      </c>
      <c r="R29" s="2">
        <f>336*(7.43)</f>
        <v>2496.48</v>
      </c>
      <c r="S29" s="2">
        <f>342*(7.43)</f>
        <v>2541.06</v>
      </c>
      <c r="T29" s="2">
        <f>180*(7.43)</f>
        <v>1337.3999999999999</v>
      </c>
      <c r="U29" s="2">
        <f>312*(7.43)</f>
        <v>2318.16</v>
      </c>
      <c r="V29" s="2">
        <f>239*(7.43)</f>
        <v>1775.77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91" x14ac:dyDescent="0.25">
      <c r="B30" s="1" t="s">
        <v>2</v>
      </c>
      <c r="C30" s="2">
        <f>91*(7.43)</f>
        <v>676.13</v>
      </c>
      <c r="D30" s="2">
        <f>263*(7.43)</f>
        <v>1954.09</v>
      </c>
      <c r="E30" s="2">
        <f>0*(7.43)</f>
        <v>0</v>
      </c>
      <c r="F30" s="2">
        <f>45*(7.43)</f>
        <v>334.34999999999997</v>
      </c>
      <c r="G30" s="2">
        <f>150*(7.43)</f>
        <v>1114.5</v>
      </c>
      <c r="H30" s="2">
        <f>142*(7.43)</f>
        <v>1055.06</v>
      </c>
      <c r="I30" s="2">
        <f>305*(7.43)</f>
        <v>2266.15</v>
      </c>
      <c r="J30" s="2">
        <f>227*(7.43)</f>
        <v>1686.61</v>
      </c>
      <c r="K30" s="2">
        <f>86*(7.43)</f>
        <v>638.98</v>
      </c>
      <c r="L30" s="2">
        <f>274*(7.43)</f>
        <v>2035.82</v>
      </c>
      <c r="M30" s="2">
        <f>139*(7.43)</f>
        <v>1032.77</v>
      </c>
      <c r="N30" s="2">
        <f>125*(7.43)</f>
        <v>928.75</v>
      </c>
      <c r="O30" s="2">
        <f>69*(7.43)</f>
        <v>512.66999999999996</v>
      </c>
      <c r="P30" s="2">
        <f>115*(7.43)</f>
        <v>854.44999999999993</v>
      </c>
      <c r="Q30" s="2">
        <f>32*(7.43)</f>
        <v>237.76</v>
      </c>
      <c r="R30" s="2">
        <f>437*(7.43)</f>
        <v>3246.91</v>
      </c>
      <c r="S30" s="2">
        <f>472*(7.43)</f>
        <v>3506.96</v>
      </c>
      <c r="T30" s="2">
        <f>203*(7.43)</f>
        <v>1508.29</v>
      </c>
      <c r="U30" s="2">
        <f>244*(7.43)</f>
        <v>1812.9199999999998</v>
      </c>
      <c r="V30" s="2">
        <f>174*(7.43)</f>
        <v>1292.82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91" x14ac:dyDescent="0.25">
      <c r="B31" s="1" t="s">
        <v>3</v>
      </c>
      <c r="C31" s="2">
        <f>93*(7.43)</f>
        <v>690.99</v>
      </c>
      <c r="D31" s="2">
        <f>186*(7.43)</f>
        <v>1381.98</v>
      </c>
      <c r="E31" s="2">
        <f>45*(7.43)</f>
        <v>334.34999999999997</v>
      </c>
      <c r="F31" s="2">
        <f>0*(7.43)</f>
        <v>0</v>
      </c>
      <c r="G31" s="2">
        <f>172*(7.43)</f>
        <v>1277.96</v>
      </c>
      <c r="H31" s="2">
        <f>159*(7.43)</f>
        <v>1181.3699999999999</v>
      </c>
      <c r="I31" s="2">
        <f>307*(7.43)</f>
        <v>2281.0099999999998</v>
      </c>
      <c r="J31" s="2">
        <f>208*(7.43)</f>
        <v>1545.44</v>
      </c>
      <c r="K31" s="2">
        <f>130*(7.43)</f>
        <v>965.9</v>
      </c>
      <c r="L31" s="2">
        <f>319*(7.43)</f>
        <v>2370.17</v>
      </c>
      <c r="M31" s="2">
        <f>141*(7.43)</f>
        <v>1047.6299999999999</v>
      </c>
      <c r="N31" s="2">
        <f>196*(7.43)</f>
        <v>1456.28</v>
      </c>
      <c r="O31" s="2">
        <f>114*(7.43)</f>
        <v>847.02</v>
      </c>
      <c r="P31" s="2">
        <f>154*(7.43)</f>
        <v>1144.22</v>
      </c>
      <c r="Q31" s="2">
        <f>53*(7.43)</f>
        <v>393.78999999999996</v>
      </c>
      <c r="R31" s="2">
        <f>460*(7.43)</f>
        <v>3417.7999999999997</v>
      </c>
      <c r="S31" s="2">
        <f>494*(7.43)</f>
        <v>3670.42</v>
      </c>
      <c r="T31" s="2">
        <f>225*(7.43)</f>
        <v>1671.75</v>
      </c>
      <c r="U31" s="2">
        <f>261*(7.43)</f>
        <v>1939.23</v>
      </c>
      <c r="V31" s="2">
        <f>191*(7.43)</f>
        <v>1419.1299999999999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1:91" x14ac:dyDescent="0.25">
      <c r="B32" s="1" t="s">
        <v>4</v>
      </c>
      <c r="C32" s="2">
        <f>80*(7.43)</f>
        <v>594.4</v>
      </c>
      <c r="D32" s="2">
        <f>266*(7.43)</f>
        <v>1976.3799999999999</v>
      </c>
      <c r="E32" s="2">
        <f>150*(7.43)</f>
        <v>1114.5</v>
      </c>
      <c r="F32" s="2">
        <f>172*(7.43)</f>
        <v>1277.96</v>
      </c>
      <c r="G32" s="2">
        <f>0*(7.43)</f>
        <v>0</v>
      </c>
      <c r="H32" s="2">
        <f>288*(7.43)</f>
        <v>2139.84</v>
      </c>
      <c r="I32" s="2">
        <f>173*(7.43)</f>
        <v>1285.3899999999999</v>
      </c>
      <c r="J32" s="2">
        <f>150*(7.43)</f>
        <v>1114.5</v>
      </c>
      <c r="K32" s="2">
        <f>157*(7.43)</f>
        <v>1166.51</v>
      </c>
      <c r="L32" s="2">
        <f>301*(7.43)</f>
        <v>2236.4299999999998</v>
      </c>
      <c r="M32" s="2">
        <f>61*(7.43)</f>
        <v>453.22999999999996</v>
      </c>
      <c r="N32" s="2">
        <f>197*(7.43)</f>
        <v>1463.71</v>
      </c>
      <c r="O32" s="2">
        <f>122*(7.43)</f>
        <v>906.45999999999992</v>
      </c>
      <c r="P32" s="2">
        <f>89*(7.43)</f>
        <v>661.27</v>
      </c>
      <c r="Q32" s="2">
        <f>118*(7.43)</f>
        <v>876.74</v>
      </c>
      <c r="R32" s="2">
        <f>322*(7.43)</f>
        <v>2392.46</v>
      </c>
      <c r="S32" s="2">
        <f>356*(7.43)</f>
        <v>2645.08</v>
      </c>
      <c r="T32" s="2">
        <f>97*(7.43)</f>
        <v>720.70999999999992</v>
      </c>
      <c r="U32" s="2">
        <f>391*(7.43)</f>
        <v>2905.13</v>
      </c>
      <c r="V32" s="2">
        <f>320*(7.43)</f>
        <v>2377.6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2:87" x14ac:dyDescent="0.25">
      <c r="B33" s="1" t="s">
        <v>5</v>
      </c>
      <c r="C33" s="2">
        <f>230*(7.43)</f>
        <v>1708.8999999999999</v>
      </c>
      <c r="D33" s="2">
        <f>403*(7.43)</f>
        <v>2994.29</v>
      </c>
      <c r="E33" s="2">
        <f>142*(7.43)</f>
        <v>1055.06</v>
      </c>
      <c r="F33" s="2">
        <f>159*(7.43)</f>
        <v>1181.3699999999999</v>
      </c>
      <c r="G33" s="2">
        <f>288*(7.43)</f>
        <v>2139.84</v>
      </c>
      <c r="H33" s="2">
        <f>0*(7.43)</f>
        <v>0</v>
      </c>
      <c r="I33" s="2">
        <f>421*(7.43)</f>
        <v>3128.0299999999997</v>
      </c>
      <c r="J33" s="2">
        <f>287*(7.43)</f>
        <v>2132.41</v>
      </c>
      <c r="K33" s="2">
        <f>225*(7.43)</f>
        <v>1671.75</v>
      </c>
      <c r="L33" s="2">
        <f>355*(7.43)</f>
        <v>2637.65</v>
      </c>
      <c r="M33" s="2">
        <f>279*(7.43)</f>
        <v>2072.9699999999998</v>
      </c>
      <c r="N33" s="2">
        <f>203*(7.43)</f>
        <v>1508.29</v>
      </c>
      <c r="O33" s="2">
        <f>209*(7.43)</f>
        <v>1552.87</v>
      </c>
      <c r="P33" s="2">
        <f>255*(7.43)</f>
        <v>1894.6499999999999</v>
      </c>
      <c r="Q33" s="2">
        <f>171*(7.43)</f>
        <v>1270.53</v>
      </c>
      <c r="R33" s="2">
        <f>577*(7.43)</f>
        <v>4287.1099999999997</v>
      </c>
      <c r="S33" s="2">
        <f>611*(7.43)</f>
        <v>4539.7299999999996</v>
      </c>
      <c r="T33" s="2">
        <f>343*(7.43)</f>
        <v>2548.4899999999998</v>
      </c>
      <c r="U33" s="2">
        <f>254*(7.43)</f>
        <v>1887.22</v>
      </c>
      <c r="V33" s="2">
        <f>198*(7.43)</f>
        <v>1471.1399999999999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2:87" x14ac:dyDescent="0.25">
      <c r="B34" s="1" t="s">
        <v>6</v>
      </c>
      <c r="C34" s="2">
        <f>214*(7.43)</f>
        <v>1590.02</v>
      </c>
      <c r="D34" s="2">
        <f>427*(7.43)</f>
        <v>3172.6099999999997</v>
      </c>
      <c r="E34" s="2">
        <f>305*(7.43)</f>
        <v>2266.15</v>
      </c>
      <c r="F34" s="2">
        <f>307*(7.43)</f>
        <v>2281.0099999999998</v>
      </c>
      <c r="G34" s="2">
        <f>173*(7.43)</f>
        <v>1285.3899999999999</v>
      </c>
      <c r="H34" s="2">
        <f>421*(7.43)</f>
        <v>3128.0299999999997</v>
      </c>
      <c r="I34" s="2">
        <f>0*(7.43)</f>
        <v>0</v>
      </c>
      <c r="J34" s="2">
        <f>135*(7.43)</f>
        <v>1003.05</v>
      </c>
      <c r="K34" s="2">
        <f>328*(7.43)</f>
        <v>2437.04</v>
      </c>
      <c r="L34" s="2">
        <f>472*(7.43)</f>
        <v>3506.96</v>
      </c>
      <c r="M34" s="2">
        <f>166*(7.43)</f>
        <v>1233.3799999999999</v>
      </c>
      <c r="N34" s="2">
        <f>367*(7.43)</f>
        <v>2726.81</v>
      </c>
      <c r="O34" s="2">
        <f>292*(7.43)</f>
        <v>2169.56</v>
      </c>
      <c r="P34" s="2">
        <f>260*(7.43)</f>
        <v>1931.8</v>
      </c>
      <c r="Q34" s="2">
        <f>288*(7.43)</f>
        <v>2139.84</v>
      </c>
      <c r="R34" s="2">
        <f>257*(7.43)</f>
        <v>1909.51</v>
      </c>
      <c r="S34" s="2">
        <f>305*(7.43)</f>
        <v>2266.15</v>
      </c>
      <c r="T34" s="2">
        <f>281*(7.43)</f>
        <v>2087.83</v>
      </c>
      <c r="U34" s="2">
        <f>547*(7.43)</f>
        <v>4064.21</v>
      </c>
      <c r="V34" s="2">
        <f>476*(7.43)</f>
        <v>3536.68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2:87" x14ac:dyDescent="0.25">
      <c r="B35" s="1" t="s">
        <v>7</v>
      </c>
      <c r="C35" s="2">
        <f>136*(7.43)</f>
        <v>1010.48</v>
      </c>
      <c r="D35" s="2">
        <f>413*(7.43)</f>
        <v>3068.5899999999997</v>
      </c>
      <c r="E35" s="2">
        <f>227*(7.43)</f>
        <v>1686.61</v>
      </c>
      <c r="F35" s="2">
        <f>208*(7.43)</f>
        <v>1545.44</v>
      </c>
      <c r="G35" s="2">
        <f>150*(7.43)</f>
        <v>1114.5</v>
      </c>
      <c r="H35" s="2">
        <f>287*(7.43)</f>
        <v>2132.41</v>
      </c>
      <c r="I35" s="2">
        <f>135*(7.43)</f>
        <v>1003.05</v>
      </c>
      <c r="J35" s="2">
        <f>0*(7.43)</f>
        <v>0</v>
      </c>
      <c r="K35" s="2">
        <f>305*(7.43)</f>
        <v>2266.15</v>
      </c>
      <c r="L35" s="2">
        <f>449*(7.43)</f>
        <v>3336.0699999999997</v>
      </c>
      <c r="M35" s="2">
        <f>89*(7.43)</f>
        <v>661.27</v>
      </c>
      <c r="N35" s="2">
        <f>344*(7.43)</f>
        <v>2555.92</v>
      </c>
      <c r="O35" s="2">
        <f>269*(7.43)</f>
        <v>1998.6699999999998</v>
      </c>
      <c r="P35" s="2">
        <f>237*(7.43)</f>
        <v>1760.9099999999999</v>
      </c>
      <c r="Q35" s="2">
        <f>265*(7.43)</f>
        <v>1968.9499999999998</v>
      </c>
      <c r="R35" s="2">
        <f>362*(7.43)</f>
        <v>2689.66</v>
      </c>
      <c r="S35" s="2">
        <f>396*(7.43)</f>
        <v>2942.2799999999997</v>
      </c>
      <c r="T35" s="2">
        <f>270*(7.43)</f>
        <v>2006.1</v>
      </c>
      <c r="U35" s="2">
        <f>469*(7.43)</f>
        <v>3484.67</v>
      </c>
      <c r="V35" s="2">
        <f>399*(7.43)</f>
        <v>2964.5699999999997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2:87" x14ac:dyDescent="0.25">
      <c r="B36" s="1" t="s">
        <v>8</v>
      </c>
      <c r="C36" s="2">
        <f>177*(7.43)</f>
        <v>1315.11</v>
      </c>
      <c r="D36" s="2">
        <f>214*(7.43)</f>
        <v>1590.02</v>
      </c>
      <c r="E36" s="2">
        <f>86*(7.43)</f>
        <v>638.98</v>
      </c>
      <c r="F36" s="2">
        <f>130*(7.43)</f>
        <v>965.9</v>
      </c>
      <c r="G36" s="2">
        <f>157*(7.43)</f>
        <v>1166.51</v>
      </c>
      <c r="H36" s="2">
        <f>225*(7.43)</f>
        <v>1671.75</v>
      </c>
      <c r="I36" s="2">
        <f>328*(7.43)</f>
        <v>2437.04</v>
      </c>
      <c r="J36" s="2">
        <f>305*(7.43)</f>
        <v>2266.15</v>
      </c>
      <c r="K36" s="2">
        <f>0*(7.43)</f>
        <v>0</v>
      </c>
      <c r="L36" s="2">
        <f>189*(7.43)</f>
        <v>1404.27</v>
      </c>
      <c r="M36" s="2">
        <f>215*(7.43)</f>
        <v>1597.45</v>
      </c>
      <c r="N36" s="2">
        <f>39*(7.43)</f>
        <v>289.77</v>
      </c>
      <c r="O36" s="2">
        <f>38*(7.43)</f>
        <v>282.33999999999997</v>
      </c>
      <c r="P36" s="2">
        <f>84*(7.43)</f>
        <v>624.12</v>
      </c>
      <c r="Q36" s="2">
        <f>107*(7.43)</f>
        <v>795.01</v>
      </c>
      <c r="R36" s="2">
        <f>447*(7.43)</f>
        <v>3321.21</v>
      </c>
      <c r="S36" s="2">
        <f>452*(7.43)</f>
        <v>3358.3599999999997</v>
      </c>
      <c r="T36" s="2">
        <f>211*(7.43)</f>
        <v>1567.73</v>
      </c>
      <c r="U36" s="2">
        <f>221*(7.43)</f>
        <v>1642.03</v>
      </c>
      <c r="V36" s="2">
        <f>150*(7.43)</f>
        <v>1114.5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2:87" x14ac:dyDescent="0.25">
      <c r="B37" s="1" t="s">
        <v>9</v>
      </c>
      <c r="C37" s="2">
        <f>360*(7.43)</f>
        <v>2674.7999999999997</v>
      </c>
      <c r="D37" s="2">
        <f>36*(7.43)</f>
        <v>267.48</v>
      </c>
      <c r="E37" s="2">
        <f>274*(7.43)</f>
        <v>2035.82</v>
      </c>
      <c r="F37" s="2">
        <f>319*(7.43)</f>
        <v>2370.17</v>
      </c>
      <c r="G37" s="2">
        <f>301*(7.43)</f>
        <v>2236.4299999999998</v>
      </c>
      <c r="H37" s="2">
        <f>355*(7.43)</f>
        <v>2637.65</v>
      </c>
      <c r="I37" s="2">
        <f>472*(7.43)</f>
        <v>3506.96</v>
      </c>
      <c r="J37" s="2">
        <f>449*(7.43)</f>
        <v>3336.0699999999997</v>
      </c>
      <c r="K37" s="2">
        <f>189*(7.43)</f>
        <v>1404.27</v>
      </c>
      <c r="L37" s="2">
        <f>0*(7.43)</f>
        <v>0</v>
      </c>
      <c r="M37" s="2">
        <f>350*(7.43)</f>
        <v>2600.5</v>
      </c>
      <c r="N37" s="2">
        <f>153*(7.43)</f>
        <v>1136.79</v>
      </c>
      <c r="O37" s="2">
        <f>232*(7.43)</f>
        <v>1723.76</v>
      </c>
      <c r="P37" s="2">
        <f>213*(7.43)</f>
        <v>1582.59</v>
      </c>
      <c r="Q37" s="2">
        <f>302*(7.43)</f>
        <v>2243.86</v>
      </c>
      <c r="R37" s="2">
        <f>361*(7.43)</f>
        <v>2682.23</v>
      </c>
      <c r="S37" s="2">
        <f>367*(7.43)</f>
        <v>2726.81</v>
      </c>
      <c r="T37" s="2">
        <f>216*(7.43)</f>
        <v>1604.8799999999999</v>
      </c>
      <c r="U37" s="2">
        <f>286*(7.43)</f>
        <v>2124.98</v>
      </c>
      <c r="V37" s="2">
        <f>223*(7.43)</f>
        <v>1656.8899999999999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</row>
    <row r="38" spans="2:87" x14ac:dyDescent="0.25">
      <c r="B38" s="1" t="s">
        <v>10</v>
      </c>
      <c r="C38" s="2">
        <f>50*(7.43)</f>
        <v>371.5</v>
      </c>
      <c r="D38" s="2">
        <f>314*(7.43)</f>
        <v>2333.02</v>
      </c>
      <c r="E38" s="2">
        <f>139*(7.43)</f>
        <v>1032.77</v>
      </c>
      <c r="F38" s="2">
        <f>141*(7.43)</f>
        <v>1047.6299999999999</v>
      </c>
      <c r="G38" s="2">
        <f>61*(7.43)</f>
        <v>453.22999999999996</v>
      </c>
      <c r="H38" s="2">
        <f>279*(7.43)</f>
        <v>2072.9699999999998</v>
      </c>
      <c r="I38" s="2">
        <f>166*(7.43)</f>
        <v>1233.3799999999999</v>
      </c>
      <c r="J38" s="2">
        <f>89*(7.43)</f>
        <v>661.27</v>
      </c>
      <c r="K38" s="2">
        <f>215*(7.43)</f>
        <v>1597.45</v>
      </c>
      <c r="L38" s="2">
        <f>350*(7.43)</f>
        <v>2600.5</v>
      </c>
      <c r="M38" s="2">
        <f>0*(7.43)</f>
        <v>0</v>
      </c>
      <c r="N38" s="2">
        <f>255*(7.43)</f>
        <v>1894.6499999999999</v>
      </c>
      <c r="O38" s="2">
        <f>180*(7.43)</f>
        <v>1337.3999999999999</v>
      </c>
      <c r="P38" s="2">
        <f>147*(7.43)</f>
        <v>1092.21</v>
      </c>
      <c r="Q38" s="2">
        <f>176*(7.43)</f>
        <v>1307.6799999999998</v>
      </c>
      <c r="R38" s="2">
        <f>327*(7.43)</f>
        <v>2429.61</v>
      </c>
      <c r="S38" s="2">
        <f>362*(7.43)</f>
        <v>2689.66</v>
      </c>
      <c r="T38" s="2">
        <f>135*(7.43)</f>
        <v>1003.05</v>
      </c>
      <c r="U38" s="2">
        <f>381*(7.43)</f>
        <v>2830.83</v>
      </c>
      <c r="V38" s="2">
        <f>310*(7.43)</f>
        <v>2303.2999999999997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</row>
    <row r="39" spans="2:87" x14ac:dyDescent="0.25">
      <c r="B39" s="1" t="s">
        <v>11</v>
      </c>
      <c r="C39" s="2">
        <f>216*(7.43)</f>
        <v>1604.8799999999999</v>
      </c>
      <c r="D39" s="2">
        <f>178*(7.43)</f>
        <v>1322.54</v>
      </c>
      <c r="E39" s="2">
        <f>125*(7.43)</f>
        <v>928.75</v>
      </c>
      <c r="F39" s="2">
        <f>196*(7.43)</f>
        <v>1456.28</v>
      </c>
      <c r="G39" s="2">
        <f>197*(7.43)</f>
        <v>1463.71</v>
      </c>
      <c r="H39" s="2">
        <f>203*(7.43)</f>
        <v>1508.29</v>
      </c>
      <c r="I39" s="2">
        <f>367*(7.43)</f>
        <v>2726.81</v>
      </c>
      <c r="J39" s="2">
        <f>344*(7.43)</f>
        <v>2555.92</v>
      </c>
      <c r="K39" s="2">
        <f>39*(7.43)</f>
        <v>289.77</v>
      </c>
      <c r="L39" s="2">
        <f>153*(7.43)</f>
        <v>1136.79</v>
      </c>
      <c r="M39" s="2">
        <f>255*(7.43)</f>
        <v>1894.6499999999999</v>
      </c>
      <c r="N39" s="2">
        <f>0*(7.43)</f>
        <v>0</v>
      </c>
      <c r="O39" s="2">
        <f>77*(7.43)</f>
        <v>572.11</v>
      </c>
      <c r="P39" s="2">
        <f>123*(7.43)</f>
        <v>913.89</v>
      </c>
      <c r="Q39" s="2">
        <f>146*(7.43)</f>
        <v>1084.78</v>
      </c>
      <c r="R39" s="2">
        <f>452*(7.43)</f>
        <v>3358.3599999999997</v>
      </c>
      <c r="S39" s="2">
        <f>458*(7.43)</f>
        <v>3402.94</v>
      </c>
      <c r="T39" s="2">
        <f>247*(7.43)</f>
        <v>1835.21</v>
      </c>
      <c r="U39" s="2">
        <f>182*(7.43)</f>
        <v>1352.26</v>
      </c>
      <c r="V39" s="2">
        <f>111*(7.43)</f>
        <v>824.73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2:87" x14ac:dyDescent="0.25">
      <c r="B40" s="1" t="s">
        <v>12</v>
      </c>
      <c r="C40" s="2">
        <f>174*(7.43)</f>
        <v>1292.82</v>
      </c>
      <c r="D40" s="2">
        <f>196*(7.43)</f>
        <v>1456.28</v>
      </c>
      <c r="E40" s="2">
        <f>69*(7.43)</f>
        <v>512.66999999999996</v>
      </c>
      <c r="F40" s="2">
        <f>114*(7.43)</f>
        <v>847.02</v>
      </c>
      <c r="G40" s="2">
        <f>122*(7.43)</f>
        <v>906.45999999999992</v>
      </c>
      <c r="H40" s="2">
        <f>209*(7.43)</f>
        <v>1552.87</v>
      </c>
      <c r="I40" s="2">
        <f>292*(7.43)</f>
        <v>2169.56</v>
      </c>
      <c r="J40" s="2">
        <f>269*(7.43)</f>
        <v>1998.6699999999998</v>
      </c>
      <c r="K40" s="2">
        <f>38*(7.43)</f>
        <v>282.33999999999997</v>
      </c>
      <c r="L40" s="2">
        <f>232*(7.43)</f>
        <v>1723.76</v>
      </c>
      <c r="M40" s="2">
        <f>180*(7.43)</f>
        <v>1337.3999999999999</v>
      </c>
      <c r="N40" s="2">
        <f>77*(7.43)</f>
        <v>572.11</v>
      </c>
      <c r="O40" s="2">
        <f>0*(7.43)</f>
        <v>0</v>
      </c>
      <c r="P40" s="2">
        <f>48*(7.43)</f>
        <v>356.64</v>
      </c>
      <c r="Q40" s="2">
        <f>72*(7.43)</f>
        <v>534.96</v>
      </c>
      <c r="R40" s="2">
        <f>412*(7.43)</f>
        <v>3061.16</v>
      </c>
      <c r="S40" s="2">
        <f>417*(7.43)</f>
        <v>3098.31</v>
      </c>
      <c r="T40" s="2">
        <f>176*(7.43)</f>
        <v>1307.6799999999998</v>
      </c>
      <c r="U40" s="2">
        <f>311*(7.43)</f>
        <v>2310.73</v>
      </c>
      <c r="V40" s="2">
        <f>240*(7.43)</f>
        <v>1783.1999999999998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</row>
    <row r="41" spans="2:87" x14ac:dyDescent="0.25">
      <c r="B41" s="1" t="s">
        <v>13</v>
      </c>
      <c r="C41" s="2">
        <f>148*(7.43)</f>
        <v>1099.6399999999999</v>
      </c>
      <c r="D41" s="2">
        <f>177*(7.43)</f>
        <v>1315.11</v>
      </c>
      <c r="E41" s="2">
        <f>115*(7.43)</f>
        <v>854.44999999999993</v>
      </c>
      <c r="F41" s="2">
        <f>154*(7.43)</f>
        <v>1144.22</v>
      </c>
      <c r="G41" s="2">
        <f>89*(7.43)</f>
        <v>661.27</v>
      </c>
      <c r="H41" s="2">
        <f>255*(7.43)</f>
        <v>1894.6499999999999</v>
      </c>
      <c r="I41" s="2">
        <f>260*(7.43)</f>
        <v>1931.8</v>
      </c>
      <c r="J41" s="2">
        <f>237*(7.43)</f>
        <v>1760.9099999999999</v>
      </c>
      <c r="K41" s="2">
        <f>84*(7.43)</f>
        <v>624.12</v>
      </c>
      <c r="L41" s="2">
        <f>213*(7.43)</f>
        <v>1582.59</v>
      </c>
      <c r="M41" s="2">
        <f>147*(7.43)</f>
        <v>1092.21</v>
      </c>
      <c r="N41" s="2">
        <f>123*(7.43)</f>
        <v>913.89</v>
      </c>
      <c r="O41" s="2">
        <f>48*(7.43)</f>
        <v>356.64</v>
      </c>
      <c r="P41" s="2">
        <f>0*(7.43)</f>
        <v>0</v>
      </c>
      <c r="Q41" s="2">
        <f>101*(7.43)</f>
        <v>750.43</v>
      </c>
      <c r="R41" s="2">
        <f>363*(7.43)</f>
        <v>2697.0899999999997</v>
      </c>
      <c r="S41" s="2">
        <f>369*(7.43)</f>
        <v>2741.67</v>
      </c>
      <c r="T41" s="2">
        <f>98*(7.43)</f>
        <v>728.14</v>
      </c>
      <c r="U41" s="2">
        <f>305*(7.43)</f>
        <v>2266.15</v>
      </c>
      <c r="V41" s="2">
        <f>234*(7.43)</f>
        <v>1738.62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</row>
    <row r="42" spans="2:87" x14ac:dyDescent="0.25">
      <c r="B42" s="1" t="s">
        <v>14</v>
      </c>
      <c r="C42" s="2">
        <f>100*(7.43)</f>
        <v>743</v>
      </c>
      <c r="D42" s="2">
        <f>265*(7.43)</f>
        <v>1968.9499999999998</v>
      </c>
      <c r="E42" s="2">
        <f>32*(7.43)</f>
        <v>237.76</v>
      </c>
      <c r="F42" s="2">
        <f>53*(7.43)</f>
        <v>393.78999999999996</v>
      </c>
      <c r="G42" s="2">
        <f>118*(7.43)</f>
        <v>876.74</v>
      </c>
      <c r="H42" s="2">
        <f>171*(7.43)</f>
        <v>1270.53</v>
      </c>
      <c r="I42" s="2">
        <f>288*(7.43)</f>
        <v>2139.84</v>
      </c>
      <c r="J42" s="2">
        <f>265*(7.43)</f>
        <v>1968.9499999999998</v>
      </c>
      <c r="K42" s="2">
        <f>107*(7.43)</f>
        <v>795.01</v>
      </c>
      <c r="L42" s="2">
        <f>302*(7.43)</f>
        <v>2243.86</v>
      </c>
      <c r="M42" s="2">
        <f>176*(7.43)</f>
        <v>1307.6799999999998</v>
      </c>
      <c r="N42" s="2">
        <f>146*(7.43)</f>
        <v>1084.78</v>
      </c>
      <c r="O42" s="2">
        <f>72*(7.43)</f>
        <v>534.96</v>
      </c>
      <c r="P42" s="2">
        <f>101*(7.43)</f>
        <v>750.43</v>
      </c>
      <c r="Q42" s="2">
        <f>0*(7.43)</f>
        <v>0</v>
      </c>
      <c r="R42" s="2">
        <f>406*(7.43)</f>
        <v>3016.58</v>
      </c>
      <c r="S42" s="2">
        <f>440*(7.43)</f>
        <v>3269.2</v>
      </c>
      <c r="T42" s="2">
        <f>171*(7.43)</f>
        <v>1270.53</v>
      </c>
      <c r="U42" s="2">
        <f>273*(7.43)</f>
        <v>2028.3899999999999</v>
      </c>
      <c r="V42" s="2">
        <f>202*(7.43)</f>
        <v>1500.86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</row>
    <row r="43" spans="2:87" x14ac:dyDescent="0.25">
      <c r="B43" s="1" t="s">
        <v>15</v>
      </c>
      <c r="C43" s="2">
        <f>375*(7.43)</f>
        <v>2786.25</v>
      </c>
      <c r="D43" s="2">
        <f>336*(7.43)</f>
        <v>2496.48</v>
      </c>
      <c r="E43" s="2">
        <f>437*(7.43)</f>
        <v>3246.91</v>
      </c>
      <c r="F43" s="2">
        <f>460*(7.43)</f>
        <v>3417.7999999999997</v>
      </c>
      <c r="G43" s="2">
        <f>322*(7.43)</f>
        <v>2392.46</v>
      </c>
      <c r="H43" s="2">
        <f>577*(7.43)</f>
        <v>4287.1099999999997</v>
      </c>
      <c r="I43" s="2">
        <f>257*(7.43)</f>
        <v>1909.51</v>
      </c>
      <c r="J43" s="2">
        <f>362*(7.43)</f>
        <v>2689.66</v>
      </c>
      <c r="K43" s="2">
        <f>447*(7.43)</f>
        <v>3321.21</v>
      </c>
      <c r="L43" s="2">
        <f>361*(7.43)</f>
        <v>2682.23</v>
      </c>
      <c r="M43" s="2">
        <f>327*(7.43)</f>
        <v>2429.61</v>
      </c>
      <c r="N43" s="2">
        <f>452*(7.43)</f>
        <v>3358.3599999999997</v>
      </c>
      <c r="O43" s="2">
        <f>412*(7.43)</f>
        <v>3061.16</v>
      </c>
      <c r="P43" s="2">
        <f>363*(7.43)</f>
        <v>2697.0899999999997</v>
      </c>
      <c r="Q43" s="2">
        <f>406*(7.43)</f>
        <v>3016.58</v>
      </c>
      <c r="R43" s="2">
        <f>0*(7.43)</f>
        <v>0</v>
      </c>
      <c r="S43" s="2">
        <f>38*(7.43)</f>
        <v>282.33999999999997</v>
      </c>
      <c r="T43" s="2">
        <f>226*(7.43)</f>
        <v>1679.1799999999998</v>
      </c>
      <c r="U43" s="2">
        <f>663*(7.43)</f>
        <v>4926.09</v>
      </c>
      <c r="V43" s="2">
        <f>590*(7.43)</f>
        <v>4383.7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</row>
    <row r="44" spans="2:87" x14ac:dyDescent="0.25">
      <c r="B44" s="1" t="s">
        <v>16</v>
      </c>
      <c r="C44" s="2">
        <f>409*(7.43)</f>
        <v>3038.87</v>
      </c>
      <c r="D44" s="2">
        <f>342*(7.43)</f>
        <v>2541.06</v>
      </c>
      <c r="E44" s="2">
        <f>472*(7.43)</f>
        <v>3506.96</v>
      </c>
      <c r="F44" s="2">
        <f>494*(7.43)</f>
        <v>3670.42</v>
      </c>
      <c r="G44" s="2">
        <f>356*(7.43)</f>
        <v>2645.08</v>
      </c>
      <c r="H44" s="2">
        <f>611*(7.43)</f>
        <v>4539.7299999999996</v>
      </c>
      <c r="I44" s="2">
        <f>305*(7.43)</f>
        <v>2266.15</v>
      </c>
      <c r="J44" s="2">
        <f>396*(7.43)</f>
        <v>2942.2799999999997</v>
      </c>
      <c r="K44" s="2">
        <f>452*(7.43)</f>
        <v>3358.3599999999997</v>
      </c>
      <c r="L44" s="2">
        <f>367*(7.43)</f>
        <v>2726.81</v>
      </c>
      <c r="M44" s="2">
        <f>362*(7.43)</f>
        <v>2689.66</v>
      </c>
      <c r="N44" s="2">
        <f>458*(7.43)</f>
        <v>3402.94</v>
      </c>
      <c r="O44" s="2">
        <f>417*(7.43)</f>
        <v>3098.31</v>
      </c>
      <c r="P44" s="2">
        <f>369*(7.43)</f>
        <v>2741.67</v>
      </c>
      <c r="Q44" s="2">
        <f>440*(7.43)</f>
        <v>3269.2</v>
      </c>
      <c r="R44" s="2">
        <f>38*(7.43)</f>
        <v>282.33999999999997</v>
      </c>
      <c r="S44" s="2">
        <f>0*(7.43)</f>
        <v>0</v>
      </c>
      <c r="T44" s="2">
        <f>268*(7.43)</f>
        <v>1991.24</v>
      </c>
      <c r="U44" s="2">
        <f>668*(7.43)</f>
        <v>4963.24</v>
      </c>
      <c r="V44" s="2">
        <f>595*(7.43)</f>
        <v>4420.8499999999995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</row>
    <row r="45" spans="2:87" x14ac:dyDescent="0.25">
      <c r="B45" s="1" t="s">
        <v>17</v>
      </c>
      <c r="C45" s="2">
        <f>218*(7.43)</f>
        <v>1619.74</v>
      </c>
      <c r="D45" s="2">
        <f>180*(7.43)</f>
        <v>1337.3999999999999</v>
      </c>
      <c r="E45" s="2">
        <f>203*(7.43)</f>
        <v>1508.29</v>
      </c>
      <c r="F45" s="2">
        <f>225*(7.43)</f>
        <v>1671.75</v>
      </c>
      <c r="G45" s="2">
        <f>97*(7.43)</f>
        <v>720.70999999999992</v>
      </c>
      <c r="H45" s="2">
        <f>343*(7.43)</f>
        <v>2548.4899999999998</v>
      </c>
      <c r="I45" s="2">
        <f>281*(7.43)</f>
        <v>2087.83</v>
      </c>
      <c r="J45" s="2">
        <f>270*(7.43)</f>
        <v>2006.1</v>
      </c>
      <c r="K45" s="2">
        <f>211*(7.43)</f>
        <v>1567.73</v>
      </c>
      <c r="L45" s="2">
        <f>216*(7.43)</f>
        <v>1604.8799999999999</v>
      </c>
      <c r="M45" s="2">
        <f>135*(7.43)</f>
        <v>1003.05</v>
      </c>
      <c r="N45" s="2">
        <f>247*(7.43)</f>
        <v>1835.21</v>
      </c>
      <c r="O45" s="2">
        <f>176*(7.43)</f>
        <v>1307.6799999999998</v>
      </c>
      <c r="P45" s="2">
        <f>98*(7.43)</f>
        <v>728.14</v>
      </c>
      <c r="Q45" s="2">
        <f>171*(7.43)</f>
        <v>1270.53</v>
      </c>
      <c r="R45" s="2">
        <f>226*(7.43)</f>
        <v>1679.1799999999998</v>
      </c>
      <c r="S45" s="2">
        <f>268*(7.43)</f>
        <v>1991.24</v>
      </c>
      <c r="T45" s="2">
        <f>0*(7.43)</f>
        <v>0</v>
      </c>
      <c r="U45" s="2">
        <f>445*(7.43)</f>
        <v>3306.35</v>
      </c>
      <c r="V45" s="2">
        <f>374*(7.43)</f>
        <v>2778.8199999999997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2:87" x14ac:dyDescent="0.25">
      <c r="B46" s="1" t="s">
        <v>18</v>
      </c>
      <c r="C46" s="2">
        <f>333*(7.43)</f>
        <v>2474.19</v>
      </c>
      <c r="D46" s="2">
        <f>312*(7.43)</f>
        <v>2318.16</v>
      </c>
      <c r="E46" s="2">
        <f>244*(7.43)</f>
        <v>1812.9199999999998</v>
      </c>
      <c r="F46" s="2">
        <f>261*(7.43)</f>
        <v>1939.23</v>
      </c>
      <c r="G46" s="2">
        <f>391*(7.43)</f>
        <v>2905.13</v>
      </c>
      <c r="H46" s="2">
        <f>254*(7.43)</f>
        <v>1887.22</v>
      </c>
      <c r="I46" s="2">
        <f>547*(7.43)</f>
        <v>4064.21</v>
      </c>
      <c r="J46" s="2">
        <f>469*(7.43)</f>
        <v>3484.67</v>
      </c>
      <c r="K46" s="2">
        <f>221*(7.43)</f>
        <v>1642.03</v>
      </c>
      <c r="L46" s="2">
        <f>286*(7.43)</f>
        <v>2124.98</v>
      </c>
      <c r="M46" s="2">
        <f>381*(7.43)</f>
        <v>2830.83</v>
      </c>
      <c r="N46" s="2">
        <f>182*(7.43)</f>
        <v>1352.26</v>
      </c>
      <c r="O46" s="2">
        <f>311*(7.43)</f>
        <v>2310.73</v>
      </c>
      <c r="P46" s="2">
        <f>305*(7.43)</f>
        <v>2266.15</v>
      </c>
      <c r="Q46" s="2">
        <f>273*(7.43)</f>
        <v>2028.3899999999999</v>
      </c>
      <c r="R46" s="2">
        <f>663*(7.43)</f>
        <v>4926.09</v>
      </c>
      <c r="S46" s="2">
        <f>668*(7.43)</f>
        <v>4963.24</v>
      </c>
      <c r="T46" s="2">
        <f>445*(7.43)</f>
        <v>3306.35</v>
      </c>
      <c r="U46" s="2">
        <f>0*(7.43)</f>
        <v>0</v>
      </c>
      <c r="V46" s="2">
        <f>71*(7.43)</f>
        <v>527.53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2:87" x14ac:dyDescent="0.25">
      <c r="B47" s="1" t="s">
        <v>19</v>
      </c>
      <c r="C47" s="2">
        <f>262*(7.43)</f>
        <v>1946.6599999999999</v>
      </c>
      <c r="D47" s="2">
        <f>239*(7.43)</f>
        <v>1775.77</v>
      </c>
      <c r="E47" s="2">
        <f>174*(7.43)</f>
        <v>1292.82</v>
      </c>
      <c r="F47" s="2">
        <f>191*(7.43)</f>
        <v>1419.1299999999999</v>
      </c>
      <c r="G47" s="2">
        <f>320*(7.43)</f>
        <v>2377.6</v>
      </c>
      <c r="H47" s="2">
        <f>198*(7.43)</f>
        <v>1471.1399999999999</v>
      </c>
      <c r="I47" s="2">
        <f>476*(7.43)</f>
        <v>3536.68</v>
      </c>
      <c r="J47" s="2">
        <f>399*(7.43)</f>
        <v>2964.5699999999997</v>
      </c>
      <c r="K47" s="2">
        <f>150*(7.43)</f>
        <v>1114.5</v>
      </c>
      <c r="L47" s="2">
        <f>223*(7.43)</f>
        <v>1656.8899999999999</v>
      </c>
      <c r="M47" s="2">
        <f>310*(7.43)</f>
        <v>2303.2999999999997</v>
      </c>
      <c r="N47" s="2">
        <f>111*(7.43)</f>
        <v>824.73</v>
      </c>
      <c r="O47" s="2">
        <f>240*(7.43)</f>
        <v>1783.1999999999998</v>
      </c>
      <c r="P47" s="2">
        <f>234*(7.43)</f>
        <v>1738.62</v>
      </c>
      <c r="Q47" s="2">
        <f>202*(7.43)</f>
        <v>1500.86</v>
      </c>
      <c r="R47" s="2">
        <f>590*(7.43)</f>
        <v>4383.7</v>
      </c>
      <c r="S47" s="2">
        <f>595*(7.43)</f>
        <v>4420.8499999999995</v>
      </c>
      <c r="T47" s="2">
        <f>374*(7.43)</f>
        <v>2778.8199999999997</v>
      </c>
      <c r="U47" s="2">
        <f>71*(7.43)</f>
        <v>527.53</v>
      </c>
      <c r="V47" s="2">
        <f>0*(7.43)</f>
        <v>0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2:87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2:87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</row>
    <row r="50" spans="2:87" x14ac:dyDescent="0.2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</row>
    <row r="51" spans="2:87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</row>
    <row r="52" spans="2:87" x14ac:dyDescent="0.2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</row>
    <row r="53" spans="2:87" x14ac:dyDescent="0.25">
      <c r="B53" s="1"/>
      <c r="C53" s="1" t="s">
        <v>0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7</v>
      </c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  <c r="P53" s="1" t="s">
        <v>13</v>
      </c>
      <c r="Q53" s="1" t="s">
        <v>14</v>
      </c>
      <c r="R53" s="1" t="s">
        <v>15</v>
      </c>
      <c r="S53" s="1" t="s">
        <v>16</v>
      </c>
      <c r="T53" s="1" t="s">
        <v>17</v>
      </c>
      <c r="U53" s="1" t="s">
        <v>18</v>
      </c>
      <c r="V53" s="1" t="s">
        <v>19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</row>
    <row r="54" spans="2:87" x14ac:dyDescent="0.25">
      <c r="B54" t="s">
        <v>40</v>
      </c>
      <c r="C54" s="2">
        <v>80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</row>
    <row r="55" spans="2:87" x14ac:dyDescent="0.25">
      <c r="B55" t="s">
        <v>41</v>
      </c>
      <c r="C55" s="2">
        <v>190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</row>
    <row r="56" spans="2:87" x14ac:dyDescent="0.25">
      <c r="B56" t="s">
        <v>42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</row>
    <row r="57" spans="2:87" x14ac:dyDescent="0.25">
      <c r="B57" t="s">
        <v>43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</row>
    <row r="58" spans="2:87" x14ac:dyDescent="0.25">
      <c r="B58" t="s">
        <v>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</row>
    <row r="59" spans="2:87" x14ac:dyDescent="0.25">
      <c r="B59" t="s">
        <v>45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</row>
    <row r="60" spans="2:87" x14ac:dyDescent="0.25">
      <c r="B60" s="1" t="s">
        <v>46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</row>
    <row r="61" spans="2:87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</row>
    <row r="62" spans="2:87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</row>
    <row r="63" spans="2:87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</row>
    <row r="64" spans="2:87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</row>
    <row r="65" spans="2:87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</row>
    <row r="66" spans="2:87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</row>
    <row r="67" spans="2:87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</row>
    <row r="68" spans="2:87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</row>
    <row r="69" spans="2:87" x14ac:dyDescent="0.2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</row>
    <row r="70" spans="2:87" x14ac:dyDescent="0.2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</row>
    <row r="71" spans="2:87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</row>
    <row r="72" spans="2:87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</row>
    <row r="73" spans="2:87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</row>
    <row r="74" spans="2:87" x14ac:dyDescent="0.2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</row>
    <row r="75" spans="2:87" x14ac:dyDescent="0.2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</row>
    <row r="76" spans="2:87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</row>
    <row r="77" spans="2:87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</row>
    <row r="78" spans="2:87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</row>
    <row r="79" spans="2:87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</row>
    <row r="80" spans="2:87" x14ac:dyDescent="0.2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</row>
    <row r="81" spans="2:87" x14ac:dyDescent="0.2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</row>
    <row r="82" spans="2:87" x14ac:dyDescent="0.2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</row>
    <row r="83" spans="2:87" x14ac:dyDescent="0.2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</row>
    <row r="84" spans="2:87" x14ac:dyDescent="0.2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</row>
    <row r="85" spans="2:87" x14ac:dyDescent="0.2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</row>
    <row r="86" spans="2:87" x14ac:dyDescent="0.2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</row>
    <row r="87" spans="2:87" x14ac:dyDescent="0.2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</row>
    <row r="88" spans="2:87" x14ac:dyDescent="0.2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</row>
    <row r="89" spans="2:87" x14ac:dyDescent="0.2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</row>
  </sheetData>
  <mergeCells count="8">
    <mergeCell ref="H2:H3"/>
    <mergeCell ref="I2:I3"/>
    <mergeCell ref="A2:A3"/>
    <mergeCell ref="B2:B3"/>
    <mergeCell ref="D2:D3"/>
    <mergeCell ref="E2:E3"/>
    <mergeCell ref="F2:F3"/>
    <mergeCell ref="G2:G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1D7E-40CA-420D-B47B-F13569B26474}">
  <dimension ref="A1:CU89"/>
  <sheetViews>
    <sheetView topLeftCell="B1" workbookViewId="0">
      <selection activeCell="D28" sqref="D28"/>
    </sheetView>
  </sheetViews>
  <sheetFormatPr defaultRowHeight="15" x14ac:dyDescent="0.25"/>
  <cols>
    <col min="2" max="2" width="23.28515625" bestFit="1" customWidth="1"/>
    <col min="3" max="3" width="13" bestFit="1" customWidth="1"/>
    <col min="4" max="4" width="9.5703125" bestFit="1" customWidth="1"/>
    <col min="5" max="5" width="10.28515625" customWidth="1"/>
    <col min="6" max="6" width="12" customWidth="1"/>
    <col min="7" max="7" width="13.42578125" customWidth="1"/>
    <col min="8" max="8" width="11.42578125" bestFit="1" customWidth="1"/>
    <col min="9" max="9" width="20.5703125" bestFit="1" customWidth="1"/>
    <col min="10" max="10" width="21.140625" bestFit="1" customWidth="1"/>
    <col min="11" max="15" width="9.5703125" bestFit="1" customWidth="1"/>
    <col min="16" max="16" width="14.28515625" bestFit="1" customWidth="1"/>
    <col min="17" max="17" width="9.7109375" bestFit="1" customWidth="1"/>
    <col min="18" max="18" width="12.42578125" bestFit="1" customWidth="1"/>
    <col min="19" max="22" width="9.5703125" bestFit="1" customWidth="1"/>
    <col min="23" max="24" width="8" bestFit="1" customWidth="1"/>
    <col min="25" max="25" width="14.5703125" bestFit="1" customWidth="1"/>
    <col min="26" max="26" width="10.85546875" bestFit="1" customWidth="1"/>
    <col min="27" max="30" width="8" bestFit="1" customWidth="1"/>
    <col min="31" max="31" width="15.140625" bestFit="1" customWidth="1"/>
    <col min="32" max="33" width="8" bestFit="1" customWidth="1"/>
    <col min="34" max="34" width="8.28515625" bestFit="1" customWidth="1"/>
    <col min="35" max="35" width="12.85546875" bestFit="1" customWidth="1"/>
    <col min="36" max="36" width="19.42578125" bestFit="1" customWidth="1"/>
    <col min="37" max="37" width="13.5703125" bestFit="1" customWidth="1"/>
    <col min="38" max="38" width="10" bestFit="1" customWidth="1"/>
    <col min="39" max="40" width="8.85546875" bestFit="1" customWidth="1"/>
    <col min="41" max="41" width="20.28515625" bestFit="1" customWidth="1"/>
    <col min="42" max="42" width="8" bestFit="1" customWidth="1"/>
    <col min="43" max="43" width="13" bestFit="1" customWidth="1"/>
    <col min="44" max="44" width="8" bestFit="1" customWidth="1"/>
    <col min="45" max="45" width="9.42578125" bestFit="1" customWidth="1"/>
    <col min="46" max="46" width="8.42578125" bestFit="1" customWidth="1"/>
    <col min="47" max="47" width="12.85546875" bestFit="1" customWidth="1"/>
    <col min="48" max="48" width="8.7109375" bestFit="1" customWidth="1"/>
    <col min="49" max="49" width="8" bestFit="1" customWidth="1"/>
    <col min="50" max="51" width="11.7109375" bestFit="1" customWidth="1"/>
    <col min="52" max="53" width="8" bestFit="1" customWidth="1"/>
    <col min="54" max="55" width="8.42578125" bestFit="1" customWidth="1"/>
    <col min="56" max="56" width="11.42578125" bestFit="1" customWidth="1"/>
    <col min="57" max="57" width="10" bestFit="1" customWidth="1"/>
    <col min="58" max="58" width="10.28515625" bestFit="1" customWidth="1"/>
    <col min="59" max="59" width="11.42578125" bestFit="1" customWidth="1"/>
    <col min="60" max="60" width="9.28515625" bestFit="1" customWidth="1"/>
    <col min="61" max="61" width="8" bestFit="1" customWidth="1"/>
    <col min="62" max="62" width="9.42578125" bestFit="1" customWidth="1"/>
    <col min="63" max="63" width="12.85546875" bestFit="1" customWidth="1"/>
    <col min="64" max="64" width="9.5703125" bestFit="1" customWidth="1"/>
    <col min="65" max="65" width="8" bestFit="1" customWidth="1"/>
    <col min="66" max="66" width="15.85546875" bestFit="1" customWidth="1"/>
    <col min="67" max="67" width="8" bestFit="1" customWidth="1"/>
    <col min="68" max="68" width="15.42578125" bestFit="1" customWidth="1"/>
    <col min="69" max="69" width="19.42578125" bestFit="1" customWidth="1"/>
    <col min="70" max="70" width="12.42578125" bestFit="1" customWidth="1"/>
    <col min="71" max="71" width="8.140625" bestFit="1" customWidth="1"/>
    <col min="72" max="72" width="15.85546875" bestFit="1" customWidth="1"/>
    <col min="73" max="73" width="9.85546875" bestFit="1" customWidth="1"/>
    <col min="74" max="74" width="8" bestFit="1" customWidth="1"/>
    <col min="75" max="75" width="8.140625" bestFit="1" customWidth="1"/>
    <col min="76" max="76" width="11.140625" bestFit="1" customWidth="1"/>
    <col min="77" max="77" width="13.7109375" bestFit="1" customWidth="1"/>
    <col min="78" max="78" width="17.5703125" bestFit="1" customWidth="1"/>
    <col min="79" max="79" width="11.140625" bestFit="1" customWidth="1"/>
    <col min="80" max="80" width="8" bestFit="1" customWidth="1"/>
    <col min="81" max="81" width="12.85546875" bestFit="1" customWidth="1"/>
    <col min="82" max="82" width="8" bestFit="1" customWidth="1"/>
    <col min="83" max="83" width="12.5703125" bestFit="1" customWidth="1"/>
    <col min="84" max="84" width="10.42578125" bestFit="1" customWidth="1"/>
    <col min="85" max="85" width="8.28515625" bestFit="1" customWidth="1"/>
    <col min="86" max="86" width="16.5703125" bestFit="1" customWidth="1"/>
    <col min="87" max="87" width="21.28515625" bestFit="1" customWidth="1"/>
    <col min="88" max="88" width="23.28515625" bestFit="1" customWidth="1"/>
    <col min="89" max="89" width="10.7109375" bestFit="1" customWidth="1"/>
    <col min="90" max="90" width="9.85546875" bestFit="1" customWidth="1"/>
    <col min="91" max="91" width="18" bestFit="1" customWidth="1"/>
    <col min="92" max="92" width="8.85546875" bestFit="1" customWidth="1"/>
    <col min="93" max="93" width="7.85546875" bestFit="1" customWidth="1"/>
  </cols>
  <sheetData>
    <row r="1" spans="1:99" x14ac:dyDescent="0.25">
      <c r="O1" t="s">
        <v>30</v>
      </c>
      <c r="X1" t="s">
        <v>31</v>
      </c>
    </row>
    <row r="2" spans="1:99" ht="15" customHeight="1" x14ac:dyDescent="0.25">
      <c r="A2" s="20" t="s">
        <v>21</v>
      </c>
      <c r="B2" s="20" t="s">
        <v>22</v>
      </c>
      <c r="D2" s="20" t="s">
        <v>23</v>
      </c>
      <c r="F2" s="8" t="s">
        <v>24</v>
      </c>
      <c r="G2" s="21" t="s">
        <v>61</v>
      </c>
      <c r="I2" s="18"/>
      <c r="J2" s="11"/>
      <c r="L2" s="10" t="s">
        <v>57</v>
      </c>
      <c r="R2" t="s">
        <v>27</v>
      </c>
      <c r="T2" t="s">
        <v>28</v>
      </c>
      <c r="V2" t="s">
        <v>29</v>
      </c>
      <c r="Y2" t="s">
        <v>25</v>
      </c>
      <c r="AA2" t="s">
        <v>28</v>
      </c>
      <c r="AC2" t="s">
        <v>29</v>
      </c>
    </row>
    <row r="3" spans="1:99" x14ac:dyDescent="0.25">
      <c r="A3" s="20"/>
      <c r="B3" s="20"/>
      <c r="C3" t="s">
        <v>39</v>
      </c>
      <c r="D3" s="20"/>
      <c r="F3" s="8"/>
      <c r="G3" s="21"/>
      <c r="I3" s="18"/>
      <c r="J3" s="11"/>
      <c r="L3">
        <f>7.43</f>
        <v>7.43</v>
      </c>
      <c r="O3" t="s">
        <v>25</v>
      </c>
      <c r="P3" t="s">
        <v>26</v>
      </c>
      <c r="R3" s="3">
        <v>20</v>
      </c>
      <c r="S3">
        <v>71</v>
      </c>
      <c r="T3" s="3">
        <v>17</v>
      </c>
      <c r="U3" s="7">
        <v>38</v>
      </c>
      <c r="V3" s="3">
        <v>19</v>
      </c>
      <c r="W3">
        <f t="array" ref="W3">INDEX($C$28:$V$47,V3,V4)</f>
        <v>527.53</v>
      </c>
      <c r="Y3" s="4">
        <v>1</v>
      </c>
      <c r="Z3">
        <v>324</v>
      </c>
      <c r="AA3" s="3">
        <v>1</v>
      </c>
      <c r="AB3">
        <v>93</v>
      </c>
      <c r="AC3" s="3">
        <v>1</v>
      </c>
      <c r="AD3">
        <v>93</v>
      </c>
    </row>
    <row r="4" spans="1:99" x14ac:dyDescent="0.25">
      <c r="A4">
        <v>1</v>
      </c>
      <c r="B4" s="1" t="s">
        <v>0</v>
      </c>
      <c r="C4" t="s">
        <v>40</v>
      </c>
      <c r="D4" s="3">
        <v>7</v>
      </c>
      <c r="E4" s="16">
        <f>F4+G4</f>
        <v>1203.05</v>
      </c>
      <c r="F4" s="2">
        <f t="array" ref="F4">INDEX($C$28:$V$47,D4,D5)</f>
        <v>1003.05</v>
      </c>
      <c r="G4">
        <v>200</v>
      </c>
      <c r="J4" s="2"/>
      <c r="O4" s="5" t="s">
        <v>20</v>
      </c>
      <c r="R4" s="3">
        <v>19</v>
      </c>
      <c r="S4">
        <v>333</v>
      </c>
      <c r="T4" s="3">
        <v>16</v>
      </c>
      <c r="U4" s="7">
        <v>257</v>
      </c>
      <c r="V4" s="3">
        <v>20</v>
      </c>
      <c r="W4">
        <f t="array" ref="W4">INDEX($C$28:$V$47,V4,V5)</f>
        <v>1471.1399999999999</v>
      </c>
      <c r="Y4" s="4">
        <v>2</v>
      </c>
      <c r="Z4">
        <v>263</v>
      </c>
      <c r="AA4" s="3">
        <v>4</v>
      </c>
      <c r="AB4">
        <v>53</v>
      </c>
      <c r="AC4" s="3">
        <v>4</v>
      </c>
      <c r="AD4">
        <v>53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>
        <v>2</v>
      </c>
      <c r="B5" s="1" t="s">
        <v>1</v>
      </c>
      <c r="C5" t="s">
        <v>41</v>
      </c>
      <c r="D5" s="3">
        <v>8</v>
      </c>
      <c r="E5" s="16">
        <f t="shared" ref="E5:E22" si="0">F5+G5</f>
        <v>851.27</v>
      </c>
      <c r="F5" s="2">
        <f t="array" ref="F5">INDEX($C$28:$V$47,D5,D6)</f>
        <v>661.27</v>
      </c>
      <c r="G5">
        <v>190</v>
      </c>
      <c r="J5" s="2"/>
      <c r="O5" s="6">
        <f>SUM(E4:E23)</f>
        <v>19038.369999999995</v>
      </c>
      <c r="R5" s="3">
        <v>1</v>
      </c>
      <c r="S5">
        <v>324</v>
      </c>
      <c r="T5" s="3">
        <v>7</v>
      </c>
      <c r="U5" s="7">
        <v>135</v>
      </c>
      <c r="V5" s="3">
        <v>6</v>
      </c>
      <c r="W5">
        <f t="array" ref="W5">INDEX($C$28:$V$47,V5,V6)</f>
        <v>1055.06</v>
      </c>
      <c r="Y5" s="4">
        <v>3</v>
      </c>
      <c r="Z5">
        <v>45</v>
      </c>
      <c r="AA5" s="3">
        <v>15</v>
      </c>
      <c r="AB5">
        <v>32</v>
      </c>
      <c r="AC5" s="3">
        <v>15</v>
      </c>
      <c r="AD5">
        <v>32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9" x14ac:dyDescent="0.25">
      <c r="A6">
        <v>3</v>
      </c>
      <c r="B6" s="1" t="s">
        <v>2</v>
      </c>
      <c r="C6" t="s">
        <v>42</v>
      </c>
      <c r="D6" s="3">
        <v>11</v>
      </c>
      <c r="E6" s="16">
        <f t="shared" si="0"/>
        <v>633.23</v>
      </c>
      <c r="F6" s="2">
        <f t="array" ref="F6">INDEX($C$28:$V$47,D6,D7)</f>
        <v>453.22999999999996</v>
      </c>
      <c r="G6">
        <v>180</v>
      </c>
      <c r="J6" s="2"/>
      <c r="R6" s="3">
        <v>2</v>
      </c>
      <c r="S6">
        <v>263</v>
      </c>
      <c r="T6" s="3">
        <v>8</v>
      </c>
      <c r="U6" s="7">
        <v>89</v>
      </c>
      <c r="V6" s="3">
        <v>3</v>
      </c>
      <c r="W6">
        <f t="array" ref="W6">INDEX($C$28:$V$47,V6,V7)</f>
        <v>237.76</v>
      </c>
      <c r="Y6" s="4">
        <v>4</v>
      </c>
      <c r="Z6">
        <v>172</v>
      </c>
      <c r="AA6" s="3">
        <v>3</v>
      </c>
      <c r="AB6">
        <v>142</v>
      </c>
      <c r="AC6" s="3">
        <v>3</v>
      </c>
      <c r="AD6">
        <v>142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9" x14ac:dyDescent="0.25">
      <c r="A7">
        <v>4</v>
      </c>
      <c r="B7" s="1" t="s">
        <v>3</v>
      </c>
      <c r="C7" t="s">
        <v>43</v>
      </c>
      <c r="D7" s="3">
        <v>5</v>
      </c>
      <c r="E7" s="16">
        <f t="shared" si="0"/>
        <v>764.4</v>
      </c>
      <c r="F7" s="2">
        <f t="array" ref="F7">INDEX($C$28:$V$47,D7,D8)</f>
        <v>594.4</v>
      </c>
      <c r="G7">
        <v>170</v>
      </c>
      <c r="J7" s="2"/>
      <c r="R7" s="3">
        <v>3</v>
      </c>
      <c r="S7">
        <v>45</v>
      </c>
      <c r="T7" s="3">
        <v>11</v>
      </c>
      <c r="U7" s="7">
        <v>50</v>
      </c>
      <c r="V7" s="3">
        <v>15</v>
      </c>
      <c r="W7">
        <f t="array" ref="W7">INDEX($C$28:$V$47,V7,V8)</f>
        <v>393.78999999999996</v>
      </c>
      <c r="Y7" s="4">
        <v>5</v>
      </c>
      <c r="Z7">
        <v>288</v>
      </c>
      <c r="AA7" s="3">
        <v>6</v>
      </c>
      <c r="AB7">
        <v>254</v>
      </c>
      <c r="AC7" s="3">
        <v>6</v>
      </c>
      <c r="AD7">
        <v>254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9" x14ac:dyDescent="0.25">
      <c r="A8">
        <v>5</v>
      </c>
      <c r="B8" s="1" t="s">
        <v>4</v>
      </c>
      <c r="C8" t="s">
        <v>44</v>
      </c>
      <c r="D8" s="3">
        <v>1</v>
      </c>
      <c r="E8" s="16">
        <f t="shared" si="0"/>
        <v>820.99</v>
      </c>
      <c r="F8" s="2">
        <f t="array" ref="F8">INDEX($C$28:$V$47,D8,D9)</f>
        <v>690.99</v>
      </c>
      <c r="G8">
        <v>130</v>
      </c>
      <c r="J8" s="2"/>
      <c r="O8" t="s">
        <v>48</v>
      </c>
      <c r="R8" s="3">
        <v>4</v>
      </c>
      <c r="S8">
        <v>172</v>
      </c>
      <c r="T8" s="3">
        <v>1</v>
      </c>
      <c r="U8" s="7">
        <v>80</v>
      </c>
      <c r="V8" s="3">
        <v>4</v>
      </c>
      <c r="W8">
        <f t="array" ref="W8">INDEX($C$28:$V$47,V8,V9)</f>
        <v>690.99</v>
      </c>
      <c r="Y8" s="4">
        <v>6</v>
      </c>
      <c r="Z8">
        <v>421</v>
      </c>
      <c r="AA8" s="3">
        <v>19</v>
      </c>
      <c r="AB8">
        <v>71</v>
      </c>
      <c r="AC8" s="3">
        <v>19</v>
      </c>
      <c r="AD8">
        <v>71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9" x14ac:dyDescent="0.25">
      <c r="A9">
        <v>6</v>
      </c>
      <c r="B9" s="1" t="s">
        <v>5</v>
      </c>
      <c r="C9" t="s">
        <v>45</v>
      </c>
      <c r="D9" s="3">
        <v>4</v>
      </c>
      <c r="E9" s="16">
        <f t="shared" si="0"/>
        <v>1491.37</v>
      </c>
      <c r="F9" s="2">
        <f t="array" ref="F9">INDEX($C$28:$V$47,D9,D10)</f>
        <v>1181.3699999999999</v>
      </c>
      <c r="G9">
        <v>310</v>
      </c>
      <c r="J9" s="2"/>
      <c r="O9" s="12" t="s">
        <v>50</v>
      </c>
      <c r="R9" s="3">
        <v>5</v>
      </c>
      <c r="S9">
        <v>288</v>
      </c>
      <c r="T9" s="3">
        <v>5</v>
      </c>
      <c r="U9" s="7">
        <v>97</v>
      </c>
      <c r="V9" s="3">
        <v>1</v>
      </c>
      <c r="W9">
        <f t="array" ref="W9">INDEX($C$28:$V$47,V9,V10)</f>
        <v>371.5</v>
      </c>
      <c r="Y9" s="4">
        <v>7</v>
      </c>
      <c r="Z9">
        <v>135</v>
      </c>
      <c r="AA9" s="3">
        <v>20</v>
      </c>
      <c r="AB9">
        <v>111</v>
      </c>
      <c r="AC9" s="3">
        <v>20</v>
      </c>
      <c r="AD9">
        <v>111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9" x14ac:dyDescent="0.25">
      <c r="A10">
        <v>7</v>
      </c>
      <c r="B10" s="1" t="s">
        <v>6</v>
      </c>
      <c r="C10" t="s">
        <v>40</v>
      </c>
      <c r="D10" s="3">
        <v>6</v>
      </c>
      <c r="E10" s="16">
        <f t="shared" si="0"/>
        <v>1255.06</v>
      </c>
      <c r="F10" s="2">
        <f t="array" ref="F10">INDEX($C$28:$V$47,D10,D11)</f>
        <v>1055.06</v>
      </c>
      <c r="G10">
        <v>200</v>
      </c>
      <c r="J10" s="2"/>
      <c r="R10" s="3">
        <v>6</v>
      </c>
      <c r="S10">
        <v>421</v>
      </c>
      <c r="T10" s="3">
        <v>18</v>
      </c>
      <c r="U10" s="7">
        <v>98</v>
      </c>
      <c r="V10" s="3">
        <v>11</v>
      </c>
      <c r="W10">
        <f t="array" ref="W10">INDEX($C$28:$V$47,V10,V11)</f>
        <v>661.27</v>
      </c>
      <c r="Y10" s="4">
        <v>8</v>
      </c>
      <c r="Z10">
        <v>305</v>
      </c>
      <c r="AA10" s="3">
        <v>12</v>
      </c>
      <c r="AB10">
        <v>39</v>
      </c>
      <c r="AC10" s="3">
        <v>12</v>
      </c>
      <c r="AD10">
        <v>39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9" x14ac:dyDescent="0.25">
      <c r="A11">
        <v>8</v>
      </c>
      <c r="B11" s="1" t="s">
        <v>7</v>
      </c>
      <c r="C11" t="s">
        <v>41</v>
      </c>
      <c r="D11" s="3">
        <v>3</v>
      </c>
      <c r="E11" s="16">
        <f t="shared" si="0"/>
        <v>427.76</v>
      </c>
      <c r="F11" s="2">
        <f t="array" ref="F11">INDEX($C$28:$V$47,D11,D12)</f>
        <v>237.76</v>
      </c>
      <c r="G11">
        <v>190</v>
      </c>
      <c r="J11" s="2"/>
      <c r="R11" s="3">
        <v>7</v>
      </c>
      <c r="S11">
        <v>135</v>
      </c>
      <c r="T11" s="3">
        <v>14</v>
      </c>
      <c r="U11" s="7">
        <v>48</v>
      </c>
      <c r="V11" s="3">
        <v>8</v>
      </c>
      <c r="W11">
        <f t="array" ref="W11">INDEX($C$28:$V$47,V11,V12)</f>
        <v>1003.05</v>
      </c>
      <c r="Y11" s="4">
        <v>9</v>
      </c>
      <c r="Z11">
        <v>189</v>
      </c>
      <c r="AA11" s="3">
        <v>9</v>
      </c>
      <c r="AB11">
        <v>38</v>
      </c>
      <c r="AC11" s="3">
        <v>9</v>
      </c>
      <c r="AD11">
        <v>38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9" x14ac:dyDescent="0.25">
      <c r="A12">
        <v>9</v>
      </c>
      <c r="B12" s="1" t="s">
        <v>8</v>
      </c>
      <c r="C12" t="s">
        <v>42</v>
      </c>
      <c r="D12" s="3">
        <v>15</v>
      </c>
      <c r="E12" s="16">
        <f t="shared" si="0"/>
        <v>975.01</v>
      </c>
      <c r="F12" s="2">
        <f t="array" ref="F12">INDEX($C$28:$V$47,D12,D13)</f>
        <v>795.01</v>
      </c>
      <c r="G12">
        <v>180</v>
      </c>
      <c r="J12" s="2"/>
      <c r="R12" s="3">
        <v>8</v>
      </c>
      <c r="S12">
        <v>305</v>
      </c>
      <c r="T12" s="3">
        <v>13</v>
      </c>
      <c r="U12" s="7">
        <v>38</v>
      </c>
      <c r="V12" s="3">
        <v>7</v>
      </c>
      <c r="W12">
        <f t="array" ref="W12">INDEX($C$28:$V$47,V12,V13)</f>
        <v>1909.51</v>
      </c>
      <c r="Y12" s="4">
        <v>10</v>
      </c>
      <c r="Z12">
        <v>350</v>
      </c>
      <c r="AA12" s="3">
        <v>13</v>
      </c>
      <c r="AB12">
        <v>48</v>
      </c>
      <c r="AC12" s="3">
        <v>13</v>
      </c>
      <c r="AD12">
        <v>48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9" x14ac:dyDescent="0.25">
      <c r="A13">
        <v>10</v>
      </c>
      <c r="B13" s="1" t="s">
        <v>9</v>
      </c>
      <c r="C13" t="s">
        <v>43</v>
      </c>
      <c r="D13" s="3">
        <v>9</v>
      </c>
      <c r="E13" s="16">
        <f t="shared" si="0"/>
        <v>452.34</v>
      </c>
      <c r="F13" s="2">
        <f t="array" ref="F13">INDEX($C$28:$V$47,D13,D14)</f>
        <v>282.33999999999997</v>
      </c>
      <c r="G13">
        <v>170</v>
      </c>
      <c r="J13" s="2"/>
      <c r="L13" s="10" t="s">
        <v>51</v>
      </c>
      <c r="M13" s="10"/>
      <c r="N13" s="10"/>
      <c r="R13" s="3">
        <v>9</v>
      </c>
      <c r="S13">
        <v>189</v>
      </c>
      <c r="T13" s="3">
        <v>9</v>
      </c>
      <c r="U13" s="7">
        <v>39</v>
      </c>
      <c r="V13" s="3">
        <v>16</v>
      </c>
      <c r="W13">
        <f t="array" ref="W13">INDEX($C$28:$V$47,V13,V14)</f>
        <v>282.33999999999997</v>
      </c>
      <c r="Y13" s="4">
        <v>11</v>
      </c>
      <c r="Z13">
        <v>255</v>
      </c>
      <c r="AA13" s="3">
        <v>14</v>
      </c>
      <c r="AB13">
        <v>89</v>
      </c>
      <c r="AC13" s="3">
        <v>14</v>
      </c>
      <c r="AD13">
        <v>89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9" x14ac:dyDescent="0.25">
      <c r="A14">
        <v>11</v>
      </c>
      <c r="B14" s="1" t="s">
        <v>10</v>
      </c>
      <c r="C14" t="s">
        <v>44</v>
      </c>
      <c r="D14" s="3">
        <v>13</v>
      </c>
      <c r="E14" s="16">
        <f t="shared" si="0"/>
        <v>486.64</v>
      </c>
      <c r="F14" s="2">
        <f t="array" ref="F14">INDEX($C$28:$V$47,D14,D15)</f>
        <v>356.64</v>
      </c>
      <c r="G14">
        <v>130</v>
      </c>
      <c r="J14" s="2"/>
      <c r="L14" s="10">
        <v>1</v>
      </c>
      <c r="M14" s="10">
        <v>2</v>
      </c>
      <c r="N14" s="10">
        <v>3</v>
      </c>
      <c r="R14" s="3">
        <v>10</v>
      </c>
      <c r="S14">
        <v>153</v>
      </c>
      <c r="T14" s="3">
        <v>12</v>
      </c>
      <c r="U14" s="7">
        <v>153</v>
      </c>
      <c r="V14" s="3">
        <v>17</v>
      </c>
      <c r="W14">
        <f t="array" ref="W14">INDEX($C$28:$V$47,V14,V15)</f>
        <v>1991.24</v>
      </c>
      <c r="Y14" s="4">
        <v>12</v>
      </c>
      <c r="Z14">
        <v>77</v>
      </c>
      <c r="AA14" s="3">
        <v>5</v>
      </c>
      <c r="AB14">
        <v>97</v>
      </c>
      <c r="AC14" s="3">
        <v>5</v>
      </c>
      <c r="AD14">
        <v>97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9" x14ac:dyDescent="0.25">
      <c r="A15">
        <v>12</v>
      </c>
      <c r="B15" s="1" t="s">
        <v>11</v>
      </c>
      <c r="C15" t="s">
        <v>45</v>
      </c>
      <c r="D15" s="3">
        <v>14</v>
      </c>
      <c r="E15" s="16">
        <f t="shared" si="0"/>
        <v>1038.1399999999999</v>
      </c>
      <c r="F15" s="2">
        <f t="array" ref="F15">INDEX($C$28:$V$47,D15,D16)</f>
        <v>728.14</v>
      </c>
      <c r="G15">
        <v>310</v>
      </c>
      <c r="J15" s="2"/>
      <c r="L15" t="s">
        <v>52</v>
      </c>
      <c r="M15" t="s">
        <v>54</v>
      </c>
      <c r="N15" t="s">
        <v>58</v>
      </c>
      <c r="R15" s="3">
        <v>12</v>
      </c>
      <c r="S15">
        <v>77</v>
      </c>
      <c r="T15" s="3">
        <v>10</v>
      </c>
      <c r="U15" s="7">
        <v>36</v>
      </c>
      <c r="V15" s="3">
        <v>18</v>
      </c>
      <c r="W15">
        <f t="array" ref="W15">INDEX($C$28:$V$47,V15,V16)</f>
        <v>720.70999999999992</v>
      </c>
      <c r="Y15" s="4">
        <v>13</v>
      </c>
      <c r="Z15">
        <v>48</v>
      </c>
      <c r="AA15" s="3">
        <v>18</v>
      </c>
      <c r="AB15">
        <v>180</v>
      </c>
      <c r="AC15" s="3">
        <v>18</v>
      </c>
      <c r="AD15">
        <v>180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9" x14ac:dyDescent="0.25">
      <c r="A16">
        <v>13</v>
      </c>
      <c r="B16" s="1" t="s">
        <v>12</v>
      </c>
      <c r="C16" t="s">
        <v>40</v>
      </c>
      <c r="D16" s="3">
        <v>18</v>
      </c>
      <c r="E16" s="16">
        <f t="shared" si="0"/>
        <v>1879.1799999999998</v>
      </c>
      <c r="F16" s="2">
        <f t="array" ref="F16">INDEX($C$28:$V$47,D16,D17)</f>
        <v>1679.1799999999998</v>
      </c>
      <c r="G16">
        <v>200</v>
      </c>
      <c r="J16" s="2"/>
      <c r="L16" t="s">
        <v>53</v>
      </c>
      <c r="M16" t="s">
        <v>55</v>
      </c>
      <c r="N16" t="s">
        <v>59</v>
      </c>
      <c r="R16" s="3">
        <v>13</v>
      </c>
      <c r="S16">
        <v>180</v>
      </c>
      <c r="T16" s="3">
        <v>2</v>
      </c>
      <c r="U16" s="7">
        <v>186</v>
      </c>
      <c r="V16" s="3">
        <v>5</v>
      </c>
      <c r="W16">
        <f t="array" ref="W16">INDEX($C$28:$V$47,V16,V17)</f>
        <v>661.27</v>
      </c>
      <c r="Y16" s="4">
        <v>14</v>
      </c>
      <c r="Z16">
        <v>101</v>
      </c>
      <c r="AA16" s="3">
        <v>2</v>
      </c>
      <c r="AB16">
        <v>36</v>
      </c>
      <c r="AC16" s="3">
        <v>2</v>
      </c>
      <c r="AD16">
        <v>36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A17">
        <v>14</v>
      </c>
      <c r="B17" s="1" t="s">
        <v>13</v>
      </c>
      <c r="C17" t="s">
        <v>41</v>
      </c>
      <c r="D17" s="3">
        <v>16</v>
      </c>
      <c r="E17" s="16">
        <f t="shared" si="0"/>
        <v>472.34</v>
      </c>
      <c r="F17" s="2">
        <f t="array" ref="F17">INDEX($C$28:$V$47,D17,D18)</f>
        <v>282.33999999999997</v>
      </c>
      <c r="G17">
        <v>190</v>
      </c>
      <c r="J17" s="2"/>
      <c r="R17" s="3">
        <v>11</v>
      </c>
      <c r="S17">
        <v>147</v>
      </c>
      <c r="T17" s="3">
        <v>4</v>
      </c>
      <c r="U17" s="7">
        <v>53</v>
      </c>
      <c r="V17" s="3">
        <v>14</v>
      </c>
      <c r="W17">
        <f t="array" ref="W17">INDEX($C$28:$V$47,V17,V18)</f>
        <v>356.64</v>
      </c>
      <c r="Y17" s="4">
        <v>15</v>
      </c>
      <c r="Z17">
        <v>406</v>
      </c>
      <c r="AA17" s="3">
        <v>10</v>
      </c>
      <c r="AB17">
        <v>367</v>
      </c>
      <c r="AC17" s="3">
        <v>10</v>
      </c>
      <c r="AD17">
        <v>367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A18">
        <v>15</v>
      </c>
      <c r="B18" s="1" t="s">
        <v>14</v>
      </c>
      <c r="C18" t="s">
        <v>42</v>
      </c>
      <c r="D18" s="3">
        <v>17</v>
      </c>
      <c r="E18" s="16">
        <f t="shared" si="0"/>
        <v>2721.06</v>
      </c>
      <c r="F18" s="2">
        <f t="array" ref="F18">INDEX($C$28:$V$47,D18,D19)</f>
        <v>2541.06</v>
      </c>
      <c r="G18">
        <v>180</v>
      </c>
      <c r="J18" s="2"/>
      <c r="R18" s="3">
        <v>14</v>
      </c>
      <c r="S18">
        <v>98</v>
      </c>
      <c r="T18" s="3">
        <v>15</v>
      </c>
      <c r="U18" s="7">
        <v>32</v>
      </c>
      <c r="V18" s="3">
        <v>13</v>
      </c>
      <c r="W18">
        <f t="array" ref="W18">INDEX($C$28:$V$47,V18,V19)</f>
        <v>282.33999999999997</v>
      </c>
      <c r="Y18" s="4">
        <v>16</v>
      </c>
      <c r="Z18">
        <v>38</v>
      </c>
      <c r="AA18" s="3">
        <v>17</v>
      </c>
      <c r="AB18">
        <v>38</v>
      </c>
      <c r="AC18" s="3">
        <v>17</v>
      </c>
      <c r="AD18">
        <v>38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A19">
        <v>16</v>
      </c>
      <c r="B19" s="1" t="s">
        <v>15</v>
      </c>
      <c r="C19" t="s">
        <v>43</v>
      </c>
      <c r="D19" s="3">
        <v>2</v>
      </c>
      <c r="E19" s="16">
        <f t="shared" si="0"/>
        <v>437.48</v>
      </c>
      <c r="F19" s="2">
        <f t="array" ref="F19">INDEX($C$28:$V$47,D19,D20)</f>
        <v>267.48</v>
      </c>
      <c r="G19">
        <v>170</v>
      </c>
      <c r="J19" s="2"/>
      <c r="R19" s="3">
        <v>18</v>
      </c>
      <c r="S19">
        <v>226</v>
      </c>
      <c r="T19" s="3">
        <v>3</v>
      </c>
      <c r="U19" s="7">
        <v>142</v>
      </c>
      <c r="V19" s="3">
        <v>9</v>
      </c>
      <c r="W19">
        <f t="array" ref="W19">INDEX($C$28:$V$47,V19,V20)</f>
        <v>289.77</v>
      </c>
      <c r="Y19" s="4">
        <v>17</v>
      </c>
      <c r="Z19">
        <v>268</v>
      </c>
      <c r="AA19" s="3">
        <v>16</v>
      </c>
      <c r="AB19">
        <v>257</v>
      </c>
      <c r="AC19" s="3">
        <v>16</v>
      </c>
      <c r="AD19">
        <v>257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x14ac:dyDescent="0.25">
      <c r="A20">
        <v>17</v>
      </c>
      <c r="B20" s="1" t="s">
        <v>16</v>
      </c>
      <c r="C20" t="s">
        <v>44</v>
      </c>
      <c r="D20" s="3">
        <v>10</v>
      </c>
      <c r="E20" s="16">
        <f t="shared" si="0"/>
        <v>1266.79</v>
      </c>
      <c r="F20" s="2">
        <f t="array" ref="F20">INDEX($C$28:$V$47,D20,D21)</f>
        <v>1136.79</v>
      </c>
      <c r="G20">
        <v>130</v>
      </c>
      <c r="J20" s="2"/>
      <c r="R20" s="3">
        <v>16</v>
      </c>
      <c r="S20">
        <v>38</v>
      </c>
      <c r="T20" s="3">
        <v>6</v>
      </c>
      <c r="U20" s="7">
        <v>198</v>
      </c>
      <c r="V20" s="3">
        <v>12</v>
      </c>
      <c r="W20">
        <f t="array" ref="W20">INDEX($C$28:$V$47,V20,V21)</f>
        <v>1136.79</v>
      </c>
      <c r="Y20" s="4">
        <v>18</v>
      </c>
      <c r="Z20">
        <v>445</v>
      </c>
      <c r="AA20" s="3">
        <v>7</v>
      </c>
      <c r="AB20">
        <v>135</v>
      </c>
      <c r="AC20" s="3">
        <v>7</v>
      </c>
      <c r="AD20">
        <v>135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x14ac:dyDescent="0.25">
      <c r="A21">
        <v>18</v>
      </c>
      <c r="B21" s="1" t="s">
        <v>17</v>
      </c>
      <c r="C21" t="s">
        <v>45</v>
      </c>
      <c r="D21" s="3">
        <v>12</v>
      </c>
      <c r="E21" s="16">
        <f t="shared" si="0"/>
        <v>1134.73</v>
      </c>
      <c r="F21" s="2">
        <f t="array" ref="F21">INDEX($C$28:$V$47,D21,D22)</f>
        <v>824.73</v>
      </c>
      <c r="G21">
        <v>310</v>
      </c>
      <c r="J21" s="2"/>
      <c r="R21" s="3">
        <v>17</v>
      </c>
      <c r="S21">
        <v>440</v>
      </c>
      <c r="T21" s="3">
        <v>20</v>
      </c>
      <c r="U21" s="7">
        <v>71</v>
      </c>
      <c r="V21" s="3">
        <v>10</v>
      </c>
      <c r="W21">
        <f t="array" ref="W21">INDEX($C$28:$V$47,V21,V22)</f>
        <v>267.48</v>
      </c>
      <c r="Y21" s="4">
        <v>19</v>
      </c>
      <c r="Z21">
        <v>71</v>
      </c>
      <c r="AA21" s="3">
        <v>8</v>
      </c>
      <c r="AB21">
        <v>89</v>
      </c>
      <c r="AC21" s="3">
        <v>8</v>
      </c>
      <c r="AD21">
        <v>89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>
        <v>19</v>
      </c>
      <c r="B22" s="1" t="s">
        <v>18</v>
      </c>
      <c r="C22" t="s">
        <v>40</v>
      </c>
      <c r="D22" s="3">
        <v>20</v>
      </c>
      <c r="E22" s="16">
        <f t="shared" si="0"/>
        <v>727.53</v>
      </c>
      <c r="F22" s="2">
        <f t="array" ref="F22">INDEX($C$28:$V$47,D22,D23)</f>
        <v>527.53</v>
      </c>
      <c r="G22">
        <v>200</v>
      </c>
      <c r="J22" s="2"/>
      <c r="R22" s="3">
        <v>15</v>
      </c>
      <c r="T22" s="3">
        <v>19</v>
      </c>
      <c r="U22" s="7"/>
      <c r="V22" s="3">
        <v>2</v>
      </c>
      <c r="Y22" s="4">
        <v>20</v>
      </c>
      <c r="Z22">
        <v>262</v>
      </c>
      <c r="AA22" s="3">
        <v>11</v>
      </c>
      <c r="AB22">
        <v>50</v>
      </c>
      <c r="AC22" s="3">
        <v>11</v>
      </c>
      <c r="AD22">
        <v>50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A23">
        <v>20</v>
      </c>
      <c r="B23" s="1" t="s">
        <v>19</v>
      </c>
      <c r="C23" t="s">
        <v>41</v>
      </c>
      <c r="D23" s="3">
        <v>19</v>
      </c>
      <c r="R23" s="6"/>
      <c r="S23" s="6">
        <f>SUM(S3:S22)</f>
        <v>3905</v>
      </c>
      <c r="T23" s="6"/>
      <c r="U23" s="6">
        <f>SUM(U3:U22)</f>
        <v>1840</v>
      </c>
      <c r="W23" s="6">
        <f>SUM(W3:W22)</f>
        <v>14310.179999999997</v>
      </c>
      <c r="Y23" s="4">
        <v>1</v>
      </c>
      <c r="Z23" s="6">
        <f>SUM(Z3:Z22)</f>
        <v>4463</v>
      </c>
      <c r="AA23" s="3">
        <v>1</v>
      </c>
      <c r="AB23" s="6">
        <f>SUM(AB3:AB22)</f>
        <v>2219</v>
      </c>
      <c r="AC23" s="3">
        <v>1</v>
      </c>
      <c r="AD23" s="6">
        <f>SUM(AD3:AD22)</f>
        <v>2219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</row>
    <row r="26" spans="1:91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</row>
    <row r="27" spans="1:91" x14ac:dyDescent="0.25"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15</v>
      </c>
      <c r="S27" s="1" t="s">
        <v>16</v>
      </c>
      <c r="T27" s="1" t="s">
        <v>17</v>
      </c>
      <c r="U27" s="1" t="s">
        <v>18</v>
      </c>
      <c r="V27" s="1" t="s">
        <v>19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91" x14ac:dyDescent="0.25">
      <c r="B28" s="1" t="s">
        <v>0</v>
      </c>
      <c r="C28" s="2">
        <f>0*(7.43)</f>
        <v>0</v>
      </c>
      <c r="D28" s="2">
        <f>324*(7.43)</f>
        <v>2407.3199999999997</v>
      </c>
      <c r="E28" s="2">
        <f>91*(7.43)</f>
        <v>676.13</v>
      </c>
      <c r="F28" s="2">
        <f>93*(7.43)</f>
        <v>690.99</v>
      </c>
      <c r="G28" s="2">
        <f>80*(7.43)</f>
        <v>594.4</v>
      </c>
      <c r="H28" s="2">
        <f>230*(7.43)</f>
        <v>1708.8999999999999</v>
      </c>
      <c r="I28" s="2">
        <f>214*(7.43)</f>
        <v>1590.02</v>
      </c>
      <c r="J28" s="2">
        <f>136*(7.43)</f>
        <v>1010.48</v>
      </c>
      <c r="K28" s="2">
        <f>177*(7.43)</f>
        <v>1315.11</v>
      </c>
      <c r="L28" s="2">
        <f>360*(7.43)</f>
        <v>2674.7999999999997</v>
      </c>
      <c r="M28" s="2">
        <f>50*(7.43)</f>
        <v>371.5</v>
      </c>
      <c r="N28" s="2">
        <f>216*(7.43)</f>
        <v>1604.8799999999999</v>
      </c>
      <c r="O28" s="2">
        <f>174*(7.43)</f>
        <v>1292.82</v>
      </c>
      <c r="P28" s="2">
        <f>148*(7.43)</f>
        <v>1099.6399999999999</v>
      </c>
      <c r="Q28" s="2">
        <f>100*(7.43)</f>
        <v>743</v>
      </c>
      <c r="R28" s="2">
        <f>375*(7.43)</f>
        <v>2786.25</v>
      </c>
      <c r="S28" s="2">
        <f>409*(7.43)</f>
        <v>3038.87</v>
      </c>
      <c r="T28" s="2">
        <f>218*(7.43)</f>
        <v>1619.74</v>
      </c>
      <c r="U28" s="2">
        <f>333*(7.43)</f>
        <v>2474.19</v>
      </c>
      <c r="V28" s="2">
        <f>262*(7.43)</f>
        <v>1946.6599999999999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91" x14ac:dyDescent="0.25">
      <c r="B29" s="1" t="s">
        <v>1</v>
      </c>
      <c r="C29" s="2">
        <f>324*(7.43)</f>
        <v>2407.3199999999997</v>
      </c>
      <c r="D29" s="2">
        <f>0*(7.43)</f>
        <v>0</v>
      </c>
      <c r="E29" s="2">
        <f>263*(7.43)</f>
        <v>1954.09</v>
      </c>
      <c r="F29" s="2">
        <f>186*(7.43)</f>
        <v>1381.98</v>
      </c>
      <c r="G29" s="2">
        <f>266*(7.43)</f>
        <v>1976.3799999999999</v>
      </c>
      <c r="H29" s="2">
        <f>403*(7.43)</f>
        <v>2994.29</v>
      </c>
      <c r="I29" s="2">
        <f>427*(7.43)</f>
        <v>3172.6099999999997</v>
      </c>
      <c r="J29" s="2">
        <f>413*(7.43)</f>
        <v>3068.5899999999997</v>
      </c>
      <c r="K29" s="2">
        <f>214*(7.43)</f>
        <v>1590.02</v>
      </c>
      <c r="L29" s="2">
        <f>36*(7.43)</f>
        <v>267.48</v>
      </c>
      <c r="M29" s="2">
        <f>314*(7.43)</f>
        <v>2333.02</v>
      </c>
      <c r="N29" s="2">
        <f>178*(7.43)</f>
        <v>1322.54</v>
      </c>
      <c r="O29" s="2">
        <f>196*(7.43)</f>
        <v>1456.28</v>
      </c>
      <c r="P29" s="2">
        <f>177*(7.43)</f>
        <v>1315.11</v>
      </c>
      <c r="Q29" s="2">
        <f>265*(7.43)</f>
        <v>1968.9499999999998</v>
      </c>
      <c r="R29" s="2">
        <f>336*(7.43)</f>
        <v>2496.48</v>
      </c>
      <c r="S29" s="2">
        <f>342*(7.43)</f>
        <v>2541.06</v>
      </c>
      <c r="T29" s="2">
        <f>180*(7.43)</f>
        <v>1337.3999999999999</v>
      </c>
      <c r="U29" s="2">
        <f>312*(7.43)</f>
        <v>2318.16</v>
      </c>
      <c r="V29" s="2">
        <f>239*(7.43)</f>
        <v>1775.77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91" x14ac:dyDescent="0.25">
      <c r="B30" s="1" t="s">
        <v>2</v>
      </c>
      <c r="C30" s="2">
        <f>91*(7.43)</f>
        <v>676.13</v>
      </c>
      <c r="D30" s="2">
        <f>263*(7.43)</f>
        <v>1954.09</v>
      </c>
      <c r="E30" s="2">
        <f>0*(7.43)</f>
        <v>0</v>
      </c>
      <c r="F30" s="2">
        <f>45*(7.43)</f>
        <v>334.34999999999997</v>
      </c>
      <c r="G30" s="2">
        <f>150*(7.43)</f>
        <v>1114.5</v>
      </c>
      <c r="H30" s="2">
        <f>142*(7.43)</f>
        <v>1055.06</v>
      </c>
      <c r="I30" s="2">
        <f>305*(7.43)</f>
        <v>2266.15</v>
      </c>
      <c r="J30" s="2">
        <f>227*(7.43)</f>
        <v>1686.61</v>
      </c>
      <c r="K30" s="2">
        <f>86*(7.43)</f>
        <v>638.98</v>
      </c>
      <c r="L30" s="2">
        <f>274*(7.43)</f>
        <v>2035.82</v>
      </c>
      <c r="M30" s="2">
        <f>139*(7.43)</f>
        <v>1032.77</v>
      </c>
      <c r="N30" s="2">
        <f>125*(7.43)</f>
        <v>928.75</v>
      </c>
      <c r="O30" s="2">
        <f>69*(7.43)</f>
        <v>512.66999999999996</v>
      </c>
      <c r="P30" s="2">
        <f>115*(7.43)</f>
        <v>854.44999999999993</v>
      </c>
      <c r="Q30" s="2">
        <f>32*(7.43)</f>
        <v>237.76</v>
      </c>
      <c r="R30" s="2">
        <f>437*(7.43)</f>
        <v>3246.91</v>
      </c>
      <c r="S30" s="2">
        <f>472*(7.43)</f>
        <v>3506.96</v>
      </c>
      <c r="T30" s="2">
        <f>203*(7.43)</f>
        <v>1508.29</v>
      </c>
      <c r="U30" s="2">
        <f>244*(7.43)</f>
        <v>1812.9199999999998</v>
      </c>
      <c r="V30" s="2">
        <f>174*(7.43)</f>
        <v>1292.82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91" x14ac:dyDescent="0.25">
      <c r="B31" s="1" t="s">
        <v>3</v>
      </c>
      <c r="C31" s="2">
        <f>93*(7.43)</f>
        <v>690.99</v>
      </c>
      <c r="D31" s="2">
        <f>186*(7.43)</f>
        <v>1381.98</v>
      </c>
      <c r="E31" s="2">
        <f>45*(7.43)</f>
        <v>334.34999999999997</v>
      </c>
      <c r="F31" s="2">
        <f>0*(7.43)</f>
        <v>0</v>
      </c>
      <c r="G31" s="2">
        <f>172*(7.43)</f>
        <v>1277.96</v>
      </c>
      <c r="H31" s="2">
        <f>159*(7.43)</f>
        <v>1181.3699999999999</v>
      </c>
      <c r="I31" s="2">
        <f>307*(7.43)</f>
        <v>2281.0099999999998</v>
      </c>
      <c r="J31" s="2">
        <f>208*(7.43)</f>
        <v>1545.44</v>
      </c>
      <c r="K31" s="2">
        <f>130*(7.43)</f>
        <v>965.9</v>
      </c>
      <c r="L31" s="2">
        <f>319*(7.43)</f>
        <v>2370.17</v>
      </c>
      <c r="M31" s="2">
        <f>141*(7.43)</f>
        <v>1047.6299999999999</v>
      </c>
      <c r="N31" s="2">
        <f>196*(7.43)</f>
        <v>1456.28</v>
      </c>
      <c r="O31" s="2">
        <f>114*(7.43)</f>
        <v>847.02</v>
      </c>
      <c r="P31" s="2">
        <f>154*(7.43)</f>
        <v>1144.22</v>
      </c>
      <c r="Q31" s="2">
        <f>53*(7.43)</f>
        <v>393.78999999999996</v>
      </c>
      <c r="R31" s="2">
        <f>460*(7.43)</f>
        <v>3417.7999999999997</v>
      </c>
      <c r="S31" s="2">
        <f>494*(7.43)</f>
        <v>3670.42</v>
      </c>
      <c r="T31" s="2">
        <f>225*(7.43)</f>
        <v>1671.75</v>
      </c>
      <c r="U31" s="2">
        <f>261*(7.43)</f>
        <v>1939.23</v>
      </c>
      <c r="V31" s="2">
        <f>191*(7.43)</f>
        <v>1419.1299999999999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1:91" x14ac:dyDescent="0.25">
      <c r="B32" s="1" t="s">
        <v>4</v>
      </c>
      <c r="C32" s="2">
        <f>80*(7.43)</f>
        <v>594.4</v>
      </c>
      <c r="D32" s="2">
        <f>266*(7.43)</f>
        <v>1976.3799999999999</v>
      </c>
      <c r="E32" s="2">
        <f>150*(7.43)</f>
        <v>1114.5</v>
      </c>
      <c r="F32" s="2">
        <f>172*(7.43)</f>
        <v>1277.96</v>
      </c>
      <c r="G32" s="2">
        <f>0*(7.43)</f>
        <v>0</v>
      </c>
      <c r="H32" s="2">
        <f>288*(7.43)</f>
        <v>2139.84</v>
      </c>
      <c r="I32" s="2">
        <f>173*(7.43)</f>
        <v>1285.3899999999999</v>
      </c>
      <c r="J32" s="2">
        <f>150*(7.43)</f>
        <v>1114.5</v>
      </c>
      <c r="K32" s="2">
        <f>157*(7.43)</f>
        <v>1166.51</v>
      </c>
      <c r="L32" s="2">
        <f>301*(7.43)</f>
        <v>2236.4299999999998</v>
      </c>
      <c r="M32" s="2">
        <f>61*(7.43)</f>
        <v>453.22999999999996</v>
      </c>
      <c r="N32" s="2">
        <f>197*(7.43)</f>
        <v>1463.71</v>
      </c>
      <c r="O32" s="2">
        <f>122*(7.43)</f>
        <v>906.45999999999992</v>
      </c>
      <c r="P32" s="2">
        <f>89*(7.43)</f>
        <v>661.27</v>
      </c>
      <c r="Q32" s="2">
        <f>118*(7.43)</f>
        <v>876.74</v>
      </c>
      <c r="R32" s="2">
        <f>322*(7.43)</f>
        <v>2392.46</v>
      </c>
      <c r="S32" s="2">
        <f>356*(7.43)</f>
        <v>2645.08</v>
      </c>
      <c r="T32" s="2">
        <f>97*(7.43)</f>
        <v>720.70999999999992</v>
      </c>
      <c r="U32" s="2">
        <f>391*(7.43)</f>
        <v>2905.13</v>
      </c>
      <c r="V32" s="2">
        <f>320*(7.43)</f>
        <v>2377.6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2:87" x14ac:dyDescent="0.25">
      <c r="B33" s="1" t="s">
        <v>5</v>
      </c>
      <c r="C33" s="2">
        <f>230*(7.43)</f>
        <v>1708.8999999999999</v>
      </c>
      <c r="D33" s="2">
        <f>403*(7.43)</f>
        <v>2994.29</v>
      </c>
      <c r="E33" s="2">
        <f>142*(7.43)</f>
        <v>1055.06</v>
      </c>
      <c r="F33" s="2">
        <f>159*(7.43)</f>
        <v>1181.3699999999999</v>
      </c>
      <c r="G33" s="2">
        <f>288*(7.43)</f>
        <v>2139.84</v>
      </c>
      <c r="H33" s="2">
        <f>0*(7.43)</f>
        <v>0</v>
      </c>
      <c r="I33" s="2">
        <f>421*(7.43)</f>
        <v>3128.0299999999997</v>
      </c>
      <c r="J33" s="2">
        <f>287*(7.43)</f>
        <v>2132.41</v>
      </c>
      <c r="K33" s="2">
        <f>225*(7.43)</f>
        <v>1671.75</v>
      </c>
      <c r="L33" s="2">
        <f>355*(7.43)</f>
        <v>2637.65</v>
      </c>
      <c r="M33" s="2">
        <f>279*(7.43)</f>
        <v>2072.9699999999998</v>
      </c>
      <c r="N33" s="2">
        <f>203*(7.43)</f>
        <v>1508.29</v>
      </c>
      <c r="O33" s="2">
        <f>209*(7.43)</f>
        <v>1552.87</v>
      </c>
      <c r="P33" s="2">
        <f>255*(7.43)</f>
        <v>1894.6499999999999</v>
      </c>
      <c r="Q33" s="2">
        <f>171*(7.43)</f>
        <v>1270.53</v>
      </c>
      <c r="R33" s="2">
        <f>577*(7.43)</f>
        <v>4287.1099999999997</v>
      </c>
      <c r="S33" s="2">
        <f>611*(7.43)</f>
        <v>4539.7299999999996</v>
      </c>
      <c r="T33" s="2">
        <f>343*(7.43)</f>
        <v>2548.4899999999998</v>
      </c>
      <c r="U33" s="2">
        <f>254*(7.43)</f>
        <v>1887.22</v>
      </c>
      <c r="V33" s="2">
        <f>198*(7.43)</f>
        <v>1471.1399999999999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2:87" x14ac:dyDescent="0.25">
      <c r="B34" s="1" t="s">
        <v>6</v>
      </c>
      <c r="C34" s="2">
        <f>214*(7.43)</f>
        <v>1590.02</v>
      </c>
      <c r="D34" s="2">
        <f>427*(7.43)</f>
        <v>3172.6099999999997</v>
      </c>
      <c r="E34" s="2">
        <f>305*(7.43)</f>
        <v>2266.15</v>
      </c>
      <c r="F34" s="2">
        <f>307*(7.43)</f>
        <v>2281.0099999999998</v>
      </c>
      <c r="G34" s="2">
        <f>173*(7.43)</f>
        <v>1285.3899999999999</v>
      </c>
      <c r="H34" s="2">
        <f>421*(7.43)</f>
        <v>3128.0299999999997</v>
      </c>
      <c r="I34" s="2">
        <f>0*(7.43)</f>
        <v>0</v>
      </c>
      <c r="J34" s="2">
        <f>135*(7.43)</f>
        <v>1003.05</v>
      </c>
      <c r="K34" s="2">
        <f>328*(7.43)</f>
        <v>2437.04</v>
      </c>
      <c r="L34" s="2">
        <f>472*(7.43)</f>
        <v>3506.96</v>
      </c>
      <c r="M34" s="2">
        <f>166*(7.43)</f>
        <v>1233.3799999999999</v>
      </c>
      <c r="N34" s="2">
        <f>367*(7.43)</f>
        <v>2726.81</v>
      </c>
      <c r="O34" s="2">
        <f>292*(7.43)</f>
        <v>2169.56</v>
      </c>
      <c r="P34" s="2">
        <f>260*(7.43)</f>
        <v>1931.8</v>
      </c>
      <c r="Q34" s="2">
        <f>288*(7.43)</f>
        <v>2139.84</v>
      </c>
      <c r="R34" s="2">
        <f>257*(7.43)</f>
        <v>1909.51</v>
      </c>
      <c r="S34" s="2">
        <f>305*(7.43)</f>
        <v>2266.15</v>
      </c>
      <c r="T34" s="2">
        <f>281*(7.43)</f>
        <v>2087.83</v>
      </c>
      <c r="U34" s="2">
        <f>547*(7.43)</f>
        <v>4064.21</v>
      </c>
      <c r="V34" s="2">
        <f>476*(7.43)</f>
        <v>3536.68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2:87" x14ac:dyDescent="0.25">
      <c r="B35" s="1" t="s">
        <v>7</v>
      </c>
      <c r="C35" s="2">
        <f>136*(7.43)</f>
        <v>1010.48</v>
      </c>
      <c r="D35" s="2">
        <f>413*(7.43)</f>
        <v>3068.5899999999997</v>
      </c>
      <c r="E35" s="2">
        <f>227*(7.43)</f>
        <v>1686.61</v>
      </c>
      <c r="F35" s="2">
        <f>208*(7.43)</f>
        <v>1545.44</v>
      </c>
      <c r="G35" s="2">
        <f>150*(7.43)</f>
        <v>1114.5</v>
      </c>
      <c r="H35" s="2">
        <f>287*(7.43)</f>
        <v>2132.41</v>
      </c>
      <c r="I35" s="2">
        <f>135*(7.43)</f>
        <v>1003.05</v>
      </c>
      <c r="J35" s="2">
        <f>0*(7.43)</f>
        <v>0</v>
      </c>
      <c r="K35" s="2">
        <f>305*(7.43)</f>
        <v>2266.15</v>
      </c>
      <c r="L35" s="2">
        <f>449*(7.43)</f>
        <v>3336.0699999999997</v>
      </c>
      <c r="M35" s="2">
        <f>89*(7.43)</f>
        <v>661.27</v>
      </c>
      <c r="N35" s="2">
        <f>344*(7.43)</f>
        <v>2555.92</v>
      </c>
      <c r="O35" s="2">
        <f>269*(7.43)</f>
        <v>1998.6699999999998</v>
      </c>
      <c r="P35" s="2">
        <f>237*(7.43)</f>
        <v>1760.9099999999999</v>
      </c>
      <c r="Q35" s="2">
        <f>265*(7.43)</f>
        <v>1968.9499999999998</v>
      </c>
      <c r="R35" s="2">
        <f>362*(7.43)</f>
        <v>2689.66</v>
      </c>
      <c r="S35" s="2">
        <f>396*(7.43)</f>
        <v>2942.2799999999997</v>
      </c>
      <c r="T35" s="2">
        <f>270*(7.43)</f>
        <v>2006.1</v>
      </c>
      <c r="U35" s="2">
        <f>469*(7.43)</f>
        <v>3484.67</v>
      </c>
      <c r="V35" s="2">
        <f>399*(7.43)</f>
        <v>2964.5699999999997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2:87" x14ac:dyDescent="0.25">
      <c r="B36" s="1" t="s">
        <v>8</v>
      </c>
      <c r="C36" s="2">
        <f>177*(7.43)</f>
        <v>1315.11</v>
      </c>
      <c r="D36" s="2">
        <f>214*(7.43)</f>
        <v>1590.02</v>
      </c>
      <c r="E36" s="2">
        <f>86*(7.43)</f>
        <v>638.98</v>
      </c>
      <c r="F36" s="2">
        <f>130*(7.43)</f>
        <v>965.9</v>
      </c>
      <c r="G36" s="2">
        <f>157*(7.43)</f>
        <v>1166.51</v>
      </c>
      <c r="H36" s="2">
        <f>225*(7.43)</f>
        <v>1671.75</v>
      </c>
      <c r="I36" s="2">
        <f>328*(7.43)</f>
        <v>2437.04</v>
      </c>
      <c r="J36" s="2">
        <f>305*(7.43)</f>
        <v>2266.15</v>
      </c>
      <c r="K36" s="2">
        <f>0*(7.43)</f>
        <v>0</v>
      </c>
      <c r="L36" s="2">
        <f>189*(7.43)</f>
        <v>1404.27</v>
      </c>
      <c r="M36" s="2">
        <f>215*(7.43)</f>
        <v>1597.45</v>
      </c>
      <c r="N36" s="2">
        <f>39*(7.43)</f>
        <v>289.77</v>
      </c>
      <c r="O36" s="2">
        <f>38*(7.43)</f>
        <v>282.33999999999997</v>
      </c>
      <c r="P36" s="2">
        <f>84*(7.43)</f>
        <v>624.12</v>
      </c>
      <c r="Q36" s="2">
        <f>107*(7.43)</f>
        <v>795.01</v>
      </c>
      <c r="R36" s="2">
        <f>447*(7.43)</f>
        <v>3321.21</v>
      </c>
      <c r="S36" s="2">
        <f>452*(7.43)</f>
        <v>3358.3599999999997</v>
      </c>
      <c r="T36" s="2">
        <f>211*(7.43)</f>
        <v>1567.73</v>
      </c>
      <c r="U36" s="2">
        <f>221*(7.43)</f>
        <v>1642.03</v>
      </c>
      <c r="V36" s="2">
        <f>150*(7.43)</f>
        <v>1114.5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2:87" x14ac:dyDescent="0.25">
      <c r="B37" s="1" t="s">
        <v>9</v>
      </c>
      <c r="C37" s="2">
        <f>360*(7.43)</f>
        <v>2674.7999999999997</v>
      </c>
      <c r="D37" s="2">
        <f>36*(7.43)</f>
        <v>267.48</v>
      </c>
      <c r="E37" s="2">
        <f>274*(7.43)</f>
        <v>2035.82</v>
      </c>
      <c r="F37" s="2">
        <f>319*(7.43)</f>
        <v>2370.17</v>
      </c>
      <c r="G37" s="2">
        <f>301*(7.43)</f>
        <v>2236.4299999999998</v>
      </c>
      <c r="H37" s="2">
        <f>355*(7.43)</f>
        <v>2637.65</v>
      </c>
      <c r="I37" s="2">
        <f>472*(7.43)</f>
        <v>3506.96</v>
      </c>
      <c r="J37" s="2">
        <f>449*(7.43)</f>
        <v>3336.0699999999997</v>
      </c>
      <c r="K37" s="2">
        <f>189*(7.43)</f>
        <v>1404.27</v>
      </c>
      <c r="L37" s="2">
        <f>0*(7.43)</f>
        <v>0</v>
      </c>
      <c r="M37" s="2">
        <f>350*(7.43)</f>
        <v>2600.5</v>
      </c>
      <c r="N37" s="2">
        <f>153*(7.43)</f>
        <v>1136.79</v>
      </c>
      <c r="O37" s="2">
        <f>232*(7.43)</f>
        <v>1723.76</v>
      </c>
      <c r="P37" s="2">
        <f>213*(7.43)</f>
        <v>1582.59</v>
      </c>
      <c r="Q37" s="2">
        <f>302*(7.43)</f>
        <v>2243.86</v>
      </c>
      <c r="R37" s="2">
        <f>361*(7.43)</f>
        <v>2682.23</v>
      </c>
      <c r="S37" s="2">
        <f>367*(7.43)</f>
        <v>2726.81</v>
      </c>
      <c r="T37" s="2">
        <f>216*(7.43)</f>
        <v>1604.8799999999999</v>
      </c>
      <c r="U37" s="2">
        <f>286*(7.43)</f>
        <v>2124.98</v>
      </c>
      <c r="V37" s="2">
        <f>223*(7.43)</f>
        <v>1656.8899999999999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</row>
    <row r="38" spans="2:87" x14ac:dyDescent="0.25">
      <c r="B38" s="1" t="s">
        <v>10</v>
      </c>
      <c r="C38" s="2">
        <f>50*(7.43)</f>
        <v>371.5</v>
      </c>
      <c r="D38" s="2">
        <f>314*(7.43)</f>
        <v>2333.02</v>
      </c>
      <c r="E38" s="2">
        <f>139*(7.43)</f>
        <v>1032.77</v>
      </c>
      <c r="F38" s="2">
        <f>141*(7.43)</f>
        <v>1047.6299999999999</v>
      </c>
      <c r="G38" s="2">
        <f>61*(7.43)</f>
        <v>453.22999999999996</v>
      </c>
      <c r="H38" s="2">
        <f>279*(7.43)</f>
        <v>2072.9699999999998</v>
      </c>
      <c r="I38" s="2">
        <f>166*(7.43)</f>
        <v>1233.3799999999999</v>
      </c>
      <c r="J38" s="2">
        <f>89*(7.43)</f>
        <v>661.27</v>
      </c>
      <c r="K38" s="2">
        <f>215*(7.43)</f>
        <v>1597.45</v>
      </c>
      <c r="L38" s="2">
        <f>350*(7.43)</f>
        <v>2600.5</v>
      </c>
      <c r="M38" s="2">
        <f>0*(7.43)</f>
        <v>0</v>
      </c>
      <c r="N38" s="2">
        <f>255*(7.43)</f>
        <v>1894.6499999999999</v>
      </c>
      <c r="O38" s="2">
        <f>180*(7.43)</f>
        <v>1337.3999999999999</v>
      </c>
      <c r="P38" s="2">
        <f>147*(7.43)</f>
        <v>1092.21</v>
      </c>
      <c r="Q38" s="2">
        <f>176*(7.43)</f>
        <v>1307.6799999999998</v>
      </c>
      <c r="R38" s="2">
        <f>327*(7.43)</f>
        <v>2429.61</v>
      </c>
      <c r="S38" s="2">
        <f>362*(7.43)</f>
        <v>2689.66</v>
      </c>
      <c r="T38" s="2">
        <f>135*(7.43)</f>
        <v>1003.05</v>
      </c>
      <c r="U38" s="2">
        <f>381*(7.43)</f>
        <v>2830.83</v>
      </c>
      <c r="V38" s="2">
        <f>310*(7.43)</f>
        <v>2303.2999999999997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</row>
    <row r="39" spans="2:87" x14ac:dyDescent="0.25">
      <c r="B39" s="1" t="s">
        <v>11</v>
      </c>
      <c r="C39" s="2">
        <f>216*(7.43)</f>
        <v>1604.8799999999999</v>
      </c>
      <c r="D39" s="2">
        <f>178*(7.43)</f>
        <v>1322.54</v>
      </c>
      <c r="E39" s="2">
        <f>125*(7.43)</f>
        <v>928.75</v>
      </c>
      <c r="F39" s="2">
        <f>196*(7.43)</f>
        <v>1456.28</v>
      </c>
      <c r="G39" s="2">
        <f>197*(7.43)</f>
        <v>1463.71</v>
      </c>
      <c r="H39" s="2">
        <f>203*(7.43)</f>
        <v>1508.29</v>
      </c>
      <c r="I39" s="2">
        <f>367*(7.43)</f>
        <v>2726.81</v>
      </c>
      <c r="J39" s="2">
        <f>344*(7.43)</f>
        <v>2555.92</v>
      </c>
      <c r="K39" s="2">
        <f>39*(7.43)</f>
        <v>289.77</v>
      </c>
      <c r="L39" s="2">
        <f>153*(7.43)</f>
        <v>1136.79</v>
      </c>
      <c r="M39" s="2">
        <f>255*(7.43)</f>
        <v>1894.6499999999999</v>
      </c>
      <c r="N39" s="2">
        <f>0*(7.43)</f>
        <v>0</v>
      </c>
      <c r="O39" s="2">
        <f>77*(7.43)</f>
        <v>572.11</v>
      </c>
      <c r="P39" s="2">
        <f>123*(7.43)</f>
        <v>913.89</v>
      </c>
      <c r="Q39" s="2">
        <f>146*(7.43)</f>
        <v>1084.78</v>
      </c>
      <c r="R39" s="2">
        <f>452*(7.43)</f>
        <v>3358.3599999999997</v>
      </c>
      <c r="S39" s="2">
        <f>458*(7.43)</f>
        <v>3402.94</v>
      </c>
      <c r="T39" s="2">
        <f>247*(7.43)</f>
        <v>1835.21</v>
      </c>
      <c r="U39" s="2">
        <f>182*(7.43)</f>
        <v>1352.26</v>
      </c>
      <c r="V39" s="2">
        <f>111*(7.43)</f>
        <v>824.73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2:87" x14ac:dyDescent="0.25">
      <c r="B40" s="1" t="s">
        <v>12</v>
      </c>
      <c r="C40" s="2">
        <f>174*(7.43)</f>
        <v>1292.82</v>
      </c>
      <c r="D40" s="2">
        <f>196*(7.43)</f>
        <v>1456.28</v>
      </c>
      <c r="E40" s="2">
        <f>69*(7.43)</f>
        <v>512.66999999999996</v>
      </c>
      <c r="F40" s="2">
        <f>114*(7.43)</f>
        <v>847.02</v>
      </c>
      <c r="G40" s="2">
        <f>122*(7.43)</f>
        <v>906.45999999999992</v>
      </c>
      <c r="H40" s="2">
        <f>209*(7.43)</f>
        <v>1552.87</v>
      </c>
      <c r="I40" s="2">
        <f>292*(7.43)</f>
        <v>2169.56</v>
      </c>
      <c r="J40" s="2">
        <f>269*(7.43)</f>
        <v>1998.6699999999998</v>
      </c>
      <c r="K40" s="2">
        <f>38*(7.43)</f>
        <v>282.33999999999997</v>
      </c>
      <c r="L40" s="2">
        <f>232*(7.43)</f>
        <v>1723.76</v>
      </c>
      <c r="M40" s="2">
        <f>180*(7.43)</f>
        <v>1337.3999999999999</v>
      </c>
      <c r="N40" s="2">
        <f>77*(7.43)</f>
        <v>572.11</v>
      </c>
      <c r="O40" s="2">
        <f>0*(7.43)</f>
        <v>0</v>
      </c>
      <c r="P40" s="2">
        <f>48*(7.43)</f>
        <v>356.64</v>
      </c>
      <c r="Q40" s="2">
        <f>72*(7.43)</f>
        <v>534.96</v>
      </c>
      <c r="R40" s="2">
        <f>412*(7.43)</f>
        <v>3061.16</v>
      </c>
      <c r="S40" s="2">
        <f>417*(7.43)</f>
        <v>3098.31</v>
      </c>
      <c r="T40" s="2">
        <f>176*(7.43)</f>
        <v>1307.6799999999998</v>
      </c>
      <c r="U40" s="2">
        <f>311*(7.43)</f>
        <v>2310.73</v>
      </c>
      <c r="V40" s="2">
        <f>240*(7.43)</f>
        <v>1783.1999999999998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</row>
    <row r="41" spans="2:87" x14ac:dyDescent="0.25">
      <c r="B41" s="1" t="s">
        <v>13</v>
      </c>
      <c r="C41" s="2">
        <f>148*(7.43)</f>
        <v>1099.6399999999999</v>
      </c>
      <c r="D41" s="2">
        <f>177*(7.43)</f>
        <v>1315.11</v>
      </c>
      <c r="E41" s="2">
        <f>115*(7.43)</f>
        <v>854.44999999999993</v>
      </c>
      <c r="F41" s="2">
        <f>154*(7.43)</f>
        <v>1144.22</v>
      </c>
      <c r="G41" s="2">
        <f>89*(7.43)</f>
        <v>661.27</v>
      </c>
      <c r="H41" s="2">
        <f>255*(7.43)</f>
        <v>1894.6499999999999</v>
      </c>
      <c r="I41" s="2">
        <f>260*(7.43)</f>
        <v>1931.8</v>
      </c>
      <c r="J41" s="2">
        <f>237*(7.43)</f>
        <v>1760.9099999999999</v>
      </c>
      <c r="K41" s="2">
        <f>84*(7.43)</f>
        <v>624.12</v>
      </c>
      <c r="L41" s="2">
        <f>213*(7.43)</f>
        <v>1582.59</v>
      </c>
      <c r="M41" s="2">
        <f>147*(7.43)</f>
        <v>1092.21</v>
      </c>
      <c r="N41" s="2">
        <f>123*(7.43)</f>
        <v>913.89</v>
      </c>
      <c r="O41" s="2">
        <f>48*(7.43)</f>
        <v>356.64</v>
      </c>
      <c r="P41" s="2">
        <f>0*(7.43)</f>
        <v>0</v>
      </c>
      <c r="Q41" s="2">
        <f>101*(7.43)</f>
        <v>750.43</v>
      </c>
      <c r="R41" s="2">
        <f>363*(7.43)</f>
        <v>2697.0899999999997</v>
      </c>
      <c r="S41" s="2">
        <f>369*(7.43)</f>
        <v>2741.67</v>
      </c>
      <c r="T41" s="2">
        <f>98*(7.43)</f>
        <v>728.14</v>
      </c>
      <c r="U41" s="2">
        <f>305*(7.43)</f>
        <v>2266.15</v>
      </c>
      <c r="V41" s="2">
        <f>234*(7.43)</f>
        <v>1738.62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</row>
    <row r="42" spans="2:87" x14ac:dyDescent="0.25">
      <c r="B42" s="1" t="s">
        <v>14</v>
      </c>
      <c r="C42" s="2">
        <f>100*(7.43)</f>
        <v>743</v>
      </c>
      <c r="D42" s="2">
        <f>265*(7.43)</f>
        <v>1968.9499999999998</v>
      </c>
      <c r="E42" s="2">
        <f>32*(7.43)</f>
        <v>237.76</v>
      </c>
      <c r="F42" s="2">
        <f>53*(7.43)</f>
        <v>393.78999999999996</v>
      </c>
      <c r="G42" s="2">
        <f>118*(7.43)</f>
        <v>876.74</v>
      </c>
      <c r="H42" s="2">
        <f>171*(7.43)</f>
        <v>1270.53</v>
      </c>
      <c r="I42" s="2">
        <f>288*(7.43)</f>
        <v>2139.84</v>
      </c>
      <c r="J42" s="2">
        <f>265*(7.43)</f>
        <v>1968.9499999999998</v>
      </c>
      <c r="K42" s="2">
        <f>107*(7.43)</f>
        <v>795.01</v>
      </c>
      <c r="L42" s="2">
        <f>302*(7.43)</f>
        <v>2243.86</v>
      </c>
      <c r="M42" s="2">
        <f>176*(7.43)</f>
        <v>1307.6799999999998</v>
      </c>
      <c r="N42" s="2">
        <f>146*(7.43)</f>
        <v>1084.78</v>
      </c>
      <c r="O42" s="2">
        <f>72*(7.43)</f>
        <v>534.96</v>
      </c>
      <c r="P42" s="2">
        <f>101*(7.43)</f>
        <v>750.43</v>
      </c>
      <c r="Q42" s="2">
        <f>0*(7.43)</f>
        <v>0</v>
      </c>
      <c r="R42" s="2">
        <f>406*(7.43)</f>
        <v>3016.58</v>
      </c>
      <c r="S42" s="2">
        <f>440*(7.43)</f>
        <v>3269.2</v>
      </c>
      <c r="T42" s="2">
        <f>171*(7.43)</f>
        <v>1270.53</v>
      </c>
      <c r="U42" s="2">
        <f>273*(7.43)</f>
        <v>2028.3899999999999</v>
      </c>
      <c r="V42" s="2">
        <f>202*(7.43)</f>
        <v>1500.86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</row>
    <row r="43" spans="2:87" x14ac:dyDescent="0.25">
      <c r="B43" s="1" t="s">
        <v>15</v>
      </c>
      <c r="C43" s="2">
        <f>375*(7.43)</f>
        <v>2786.25</v>
      </c>
      <c r="D43" s="2">
        <f>336*(7.43)</f>
        <v>2496.48</v>
      </c>
      <c r="E43" s="2">
        <f>437*(7.43)</f>
        <v>3246.91</v>
      </c>
      <c r="F43" s="2">
        <f>460*(7.43)</f>
        <v>3417.7999999999997</v>
      </c>
      <c r="G43" s="2">
        <f>322*(7.43)</f>
        <v>2392.46</v>
      </c>
      <c r="H43" s="2">
        <f>577*(7.43)</f>
        <v>4287.1099999999997</v>
      </c>
      <c r="I43" s="2">
        <f>257*(7.43)</f>
        <v>1909.51</v>
      </c>
      <c r="J43" s="2">
        <f>362*(7.43)</f>
        <v>2689.66</v>
      </c>
      <c r="K43" s="2">
        <f>447*(7.43)</f>
        <v>3321.21</v>
      </c>
      <c r="L43" s="2">
        <f>361*(7.43)</f>
        <v>2682.23</v>
      </c>
      <c r="M43" s="2">
        <f>327*(7.43)</f>
        <v>2429.61</v>
      </c>
      <c r="N43" s="2">
        <f>452*(7.43)</f>
        <v>3358.3599999999997</v>
      </c>
      <c r="O43" s="2">
        <f>412*(7.43)</f>
        <v>3061.16</v>
      </c>
      <c r="P43" s="2">
        <f>363*(7.43)</f>
        <v>2697.0899999999997</v>
      </c>
      <c r="Q43" s="2">
        <f>406*(7.43)</f>
        <v>3016.58</v>
      </c>
      <c r="R43" s="2">
        <f>0*(7.43)</f>
        <v>0</v>
      </c>
      <c r="S43" s="2">
        <f>38*(7.43)</f>
        <v>282.33999999999997</v>
      </c>
      <c r="T43" s="2">
        <f>226*(7.43)</f>
        <v>1679.1799999999998</v>
      </c>
      <c r="U43" s="2">
        <f>663*(7.43)</f>
        <v>4926.09</v>
      </c>
      <c r="V43" s="2">
        <f>590*(7.43)</f>
        <v>4383.7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</row>
    <row r="44" spans="2:87" x14ac:dyDescent="0.25">
      <c r="B44" s="1" t="s">
        <v>16</v>
      </c>
      <c r="C44" s="2">
        <f>409*(7.43)</f>
        <v>3038.87</v>
      </c>
      <c r="D44" s="2">
        <f>342*(7.43)</f>
        <v>2541.06</v>
      </c>
      <c r="E44" s="2">
        <f>472*(7.43)</f>
        <v>3506.96</v>
      </c>
      <c r="F44" s="2">
        <f>494*(7.43)</f>
        <v>3670.42</v>
      </c>
      <c r="G44" s="2">
        <f>356*(7.43)</f>
        <v>2645.08</v>
      </c>
      <c r="H44" s="2">
        <f>611*(7.43)</f>
        <v>4539.7299999999996</v>
      </c>
      <c r="I44" s="2">
        <f>305*(7.43)</f>
        <v>2266.15</v>
      </c>
      <c r="J44" s="2">
        <f>396*(7.43)</f>
        <v>2942.2799999999997</v>
      </c>
      <c r="K44" s="2">
        <f>452*(7.43)</f>
        <v>3358.3599999999997</v>
      </c>
      <c r="L44" s="2">
        <f>367*(7.43)</f>
        <v>2726.81</v>
      </c>
      <c r="M44" s="2">
        <f>362*(7.43)</f>
        <v>2689.66</v>
      </c>
      <c r="N44" s="2">
        <f>458*(7.43)</f>
        <v>3402.94</v>
      </c>
      <c r="O44" s="2">
        <f>417*(7.43)</f>
        <v>3098.31</v>
      </c>
      <c r="P44" s="2">
        <f>369*(7.43)</f>
        <v>2741.67</v>
      </c>
      <c r="Q44" s="2">
        <f>440*(7.43)</f>
        <v>3269.2</v>
      </c>
      <c r="R44" s="2">
        <f>38*(7.43)</f>
        <v>282.33999999999997</v>
      </c>
      <c r="S44" s="2">
        <f>0*(7.43)</f>
        <v>0</v>
      </c>
      <c r="T44" s="2">
        <f>268*(7.43)</f>
        <v>1991.24</v>
      </c>
      <c r="U44" s="2">
        <f>668*(7.43)</f>
        <v>4963.24</v>
      </c>
      <c r="V44" s="2">
        <f>595*(7.43)</f>
        <v>4420.8499999999995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</row>
    <row r="45" spans="2:87" x14ac:dyDescent="0.25">
      <c r="B45" s="1" t="s">
        <v>17</v>
      </c>
      <c r="C45" s="2">
        <f>218*(7.43)</f>
        <v>1619.74</v>
      </c>
      <c r="D45" s="2">
        <f>180*(7.43)</f>
        <v>1337.3999999999999</v>
      </c>
      <c r="E45" s="2">
        <f>203*(7.43)</f>
        <v>1508.29</v>
      </c>
      <c r="F45" s="2">
        <f>225*(7.43)</f>
        <v>1671.75</v>
      </c>
      <c r="G45" s="2">
        <f>97*(7.43)</f>
        <v>720.70999999999992</v>
      </c>
      <c r="H45" s="2">
        <f>343*(7.43)</f>
        <v>2548.4899999999998</v>
      </c>
      <c r="I45" s="2">
        <f>281*(7.43)</f>
        <v>2087.83</v>
      </c>
      <c r="J45" s="2">
        <f>270*(7.43)</f>
        <v>2006.1</v>
      </c>
      <c r="K45" s="2">
        <f>211*(7.43)</f>
        <v>1567.73</v>
      </c>
      <c r="L45" s="2">
        <f>216*(7.43)</f>
        <v>1604.8799999999999</v>
      </c>
      <c r="M45" s="2">
        <f>135*(7.43)</f>
        <v>1003.05</v>
      </c>
      <c r="N45" s="2">
        <f>247*(7.43)</f>
        <v>1835.21</v>
      </c>
      <c r="O45" s="2">
        <f>176*(7.43)</f>
        <v>1307.6799999999998</v>
      </c>
      <c r="P45" s="2">
        <f>98*(7.43)</f>
        <v>728.14</v>
      </c>
      <c r="Q45" s="2">
        <f>171*(7.43)</f>
        <v>1270.53</v>
      </c>
      <c r="R45" s="2">
        <f>226*(7.43)</f>
        <v>1679.1799999999998</v>
      </c>
      <c r="S45" s="2">
        <f>268*(7.43)</f>
        <v>1991.24</v>
      </c>
      <c r="T45" s="2">
        <f>0*(7.43)</f>
        <v>0</v>
      </c>
      <c r="U45" s="2">
        <f>445*(7.43)</f>
        <v>3306.35</v>
      </c>
      <c r="V45" s="2">
        <f>374*(7.43)</f>
        <v>2778.8199999999997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2:87" x14ac:dyDescent="0.25">
      <c r="B46" s="1" t="s">
        <v>18</v>
      </c>
      <c r="C46" s="2">
        <f>333*(7.43)</f>
        <v>2474.19</v>
      </c>
      <c r="D46" s="2">
        <f>312*(7.43)</f>
        <v>2318.16</v>
      </c>
      <c r="E46" s="2">
        <f>244*(7.43)</f>
        <v>1812.9199999999998</v>
      </c>
      <c r="F46" s="2">
        <f>261*(7.43)</f>
        <v>1939.23</v>
      </c>
      <c r="G46" s="2">
        <f>391*(7.43)</f>
        <v>2905.13</v>
      </c>
      <c r="H46" s="2">
        <f>254*(7.43)</f>
        <v>1887.22</v>
      </c>
      <c r="I46" s="2">
        <f>547*(7.43)</f>
        <v>4064.21</v>
      </c>
      <c r="J46" s="2">
        <f>469*(7.43)</f>
        <v>3484.67</v>
      </c>
      <c r="K46" s="2">
        <f>221*(7.43)</f>
        <v>1642.03</v>
      </c>
      <c r="L46" s="2">
        <f>286*(7.43)</f>
        <v>2124.98</v>
      </c>
      <c r="M46" s="2">
        <f>381*(7.43)</f>
        <v>2830.83</v>
      </c>
      <c r="N46" s="2">
        <f>182*(7.43)</f>
        <v>1352.26</v>
      </c>
      <c r="O46" s="2">
        <f>311*(7.43)</f>
        <v>2310.73</v>
      </c>
      <c r="P46" s="2">
        <f>305*(7.43)</f>
        <v>2266.15</v>
      </c>
      <c r="Q46" s="2">
        <f>273*(7.43)</f>
        <v>2028.3899999999999</v>
      </c>
      <c r="R46" s="2">
        <f>663*(7.43)</f>
        <v>4926.09</v>
      </c>
      <c r="S46" s="2">
        <f>668*(7.43)</f>
        <v>4963.24</v>
      </c>
      <c r="T46" s="2">
        <f>445*(7.43)</f>
        <v>3306.35</v>
      </c>
      <c r="U46" s="2">
        <f>0*(7.43)</f>
        <v>0</v>
      </c>
      <c r="V46" s="2">
        <f>71*(7.43)</f>
        <v>527.53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2:87" x14ac:dyDescent="0.25">
      <c r="B47" s="1" t="s">
        <v>19</v>
      </c>
      <c r="C47" s="2">
        <f>262*(7.43)</f>
        <v>1946.6599999999999</v>
      </c>
      <c r="D47" s="2">
        <f>239*(7.43)</f>
        <v>1775.77</v>
      </c>
      <c r="E47" s="2">
        <f>174*(7.43)</f>
        <v>1292.82</v>
      </c>
      <c r="F47" s="2">
        <f>191*(7.43)</f>
        <v>1419.1299999999999</v>
      </c>
      <c r="G47" s="2">
        <f>320*(7.43)</f>
        <v>2377.6</v>
      </c>
      <c r="H47" s="2">
        <f>198*(7.43)</f>
        <v>1471.1399999999999</v>
      </c>
      <c r="I47" s="2">
        <f>476*(7.43)</f>
        <v>3536.68</v>
      </c>
      <c r="J47" s="2">
        <f>399*(7.43)</f>
        <v>2964.5699999999997</v>
      </c>
      <c r="K47" s="2">
        <f>150*(7.43)</f>
        <v>1114.5</v>
      </c>
      <c r="L47" s="2">
        <f>223*(7.43)</f>
        <v>1656.8899999999999</v>
      </c>
      <c r="M47" s="2">
        <f>310*(7.43)</f>
        <v>2303.2999999999997</v>
      </c>
      <c r="N47" s="2">
        <f>111*(7.43)</f>
        <v>824.73</v>
      </c>
      <c r="O47" s="2">
        <f>240*(7.43)</f>
        <v>1783.1999999999998</v>
      </c>
      <c r="P47" s="2">
        <f>234*(7.43)</f>
        <v>1738.62</v>
      </c>
      <c r="Q47" s="2">
        <f>202*(7.43)</f>
        <v>1500.86</v>
      </c>
      <c r="R47" s="2">
        <f>590*(7.43)</f>
        <v>4383.7</v>
      </c>
      <c r="S47" s="2">
        <f>595*(7.43)</f>
        <v>4420.8499999999995</v>
      </c>
      <c r="T47" s="2">
        <f>374*(7.43)</f>
        <v>2778.8199999999997</v>
      </c>
      <c r="U47" s="2">
        <f>71*(7.43)</f>
        <v>527.53</v>
      </c>
      <c r="V47" s="2">
        <f>0*(7.43)</f>
        <v>0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2:87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2:87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</row>
    <row r="50" spans="2:87" x14ac:dyDescent="0.2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</row>
    <row r="51" spans="2:87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</row>
    <row r="52" spans="2:87" x14ac:dyDescent="0.2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</row>
    <row r="53" spans="2:87" x14ac:dyDescent="0.25">
      <c r="B53" s="1"/>
      <c r="C53" s="1" t="s">
        <v>0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7</v>
      </c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  <c r="P53" s="1" t="s">
        <v>13</v>
      </c>
      <c r="Q53" s="1" t="s">
        <v>14</v>
      </c>
      <c r="R53" s="1" t="s">
        <v>15</v>
      </c>
      <c r="S53" s="1" t="s">
        <v>16</v>
      </c>
      <c r="T53" s="1" t="s">
        <v>17</v>
      </c>
      <c r="U53" s="1" t="s">
        <v>18</v>
      </c>
      <c r="V53" s="1" t="s">
        <v>19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</row>
    <row r="54" spans="2:87" x14ac:dyDescent="0.25">
      <c r="B54" t="s">
        <v>40</v>
      </c>
      <c r="C54" s="2">
        <v>80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</row>
    <row r="55" spans="2:87" x14ac:dyDescent="0.25">
      <c r="B55" t="s">
        <v>41</v>
      </c>
      <c r="C55" s="2">
        <v>190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</row>
    <row r="56" spans="2:87" x14ac:dyDescent="0.25">
      <c r="B56" t="s">
        <v>42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</row>
    <row r="57" spans="2:87" x14ac:dyDescent="0.25">
      <c r="B57" t="s">
        <v>43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</row>
    <row r="58" spans="2:87" x14ac:dyDescent="0.25">
      <c r="B58" t="s">
        <v>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</row>
    <row r="59" spans="2:87" x14ac:dyDescent="0.25">
      <c r="B59" t="s">
        <v>45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</row>
    <row r="60" spans="2:87" x14ac:dyDescent="0.25">
      <c r="B60" s="1" t="s">
        <v>46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</row>
    <row r="61" spans="2:87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</row>
    <row r="62" spans="2:87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</row>
    <row r="63" spans="2:87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</row>
    <row r="64" spans="2:87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</row>
    <row r="65" spans="2:87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</row>
    <row r="66" spans="2:87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</row>
    <row r="67" spans="2:87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</row>
    <row r="68" spans="2:87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</row>
    <row r="69" spans="2:87" x14ac:dyDescent="0.2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</row>
    <row r="70" spans="2:87" x14ac:dyDescent="0.2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</row>
    <row r="71" spans="2:87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</row>
    <row r="72" spans="2:87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</row>
    <row r="73" spans="2:87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</row>
    <row r="74" spans="2:87" x14ac:dyDescent="0.2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</row>
    <row r="75" spans="2:87" x14ac:dyDescent="0.2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</row>
    <row r="76" spans="2:87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</row>
    <row r="77" spans="2:87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</row>
    <row r="78" spans="2:87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</row>
    <row r="79" spans="2:87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</row>
    <row r="80" spans="2:87" x14ac:dyDescent="0.2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</row>
    <row r="81" spans="2:87" x14ac:dyDescent="0.2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</row>
    <row r="82" spans="2:87" x14ac:dyDescent="0.2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</row>
    <row r="83" spans="2:87" x14ac:dyDescent="0.2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</row>
    <row r="84" spans="2:87" x14ac:dyDescent="0.2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</row>
    <row r="85" spans="2:87" x14ac:dyDescent="0.2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</row>
    <row r="86" spans="2:87" x14ac:dyDescent="0.2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</row>
    <row r="87" spans="2:87" x14ac:dyDescent="0.2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</row>
    <row r="88" spans="2:87" x14ac:dyDescent="0.2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</row>
    <row r="89" spans="2:87" x14ac:dyDescent="0.2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</row>
  </sheetData>
  <mergeCells count="5">
    <mergeCell ref="I2:I3"/>
    <mergeCell ref="A2:A3"/>
    <mergeCell ref="B2:B3"/>
    <mergeCell ref="D2:D3"/>
    <mergeCell ref="G2:G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0AB7-C46F-431C-9503-B3CC4160456E}">
  <dimension ref="A1:CU89"/>
  <sheetViews>
    <sheetView topLeftCell="B1" workbookViewId="0">
      <selection activeCell="E4" sqref="E4"/>
    </sheetView>
  </sheetViews>
  <sheetFormatPr defaultRowHeight="15" x14ac:dyDescent="0.25"/>
  <cols>
    <col min="2" max="2" width="23.28515625" bestFit="1" customWidth="1"/>
    <col min="3" max="3" width="13" bestFit="1" customWidth="1"/>
    <col min="4" max="4" width="9.5703125" bestFit="1" customWidth="1"/>
    <col min="5" max="5" width="10.28515625" customWidth="1"/>
    <col min="6" max="6" width="12" customWidth="1"/>
    <col min="7" max="7" width="13.42578125" customWidth="1"/>
    <col min="8" max="8" width="11.42578125" bestFit="1" customWidth="1"/>
    <col min="9" max="9" width="20.5703125" bestFit="1" customWidth="1"/>
    <col min="10" max="10" width="21.140625" bestFit="1" customWidth="1"/>
    <col min="11" max="15" width="9.5703125" bestFit="1" customWidth="1"/>
    <col min="16" max="16" width="14.28515625" bestFit="1" customWidth="1"/>
    <col min="17" max="17" width="9.7109375" bestFit="1" customWidth="1"/>
    <col min="18" max="18" width="12.42578125" bestFit="1" customWidth="1"/>
    <col min="19" max="22" width="9.5703125" bestFit="1" customWidth="1"/>
    <col min="23" max="24" width="8" bestFit="1" customWidth="1"/>
    <col min="25" max="25" width="14.5703125" bestFit="1" customWidth="1"/>
    <col min="26" max="26" width="10.85546875" bestFit="1" customWidth="1"/>
    <col min="27" max="30" width="8" bestFit="1" customWidth="1"/>
    <col min="31" max="31" width="15.140625" bestFit="1" customWidth="1"/>
    <col min="32" max="33" width="8" bestFit="1" customWidth="1"/>
    <col min="34" max="34" width="8.28515625" bestFit="1" customWidth="1"/>
    <col min="35" max="35" width="12.85546875" bestFit="1" customWidth="1"/>
    <col min="36" max="36" width="19.42578125" bestFit="1" customWidth="1"/>
    <col min="37" max="37" width="13.5703125" bestFit="1" customWidth="1"/>
    <col min="38" max="38" width="10" bestFit="1" customWidth="1"/>
    <col min="39" max="40" width="8.85546875" bestFit="1" customWidth="1"/>
    <col min="41" max="41" width="20.28515625" bestFit="1" customWidth="1"/>
    <col min="42" max="42" width="8" bestFit="1" customWidth="1"/>
    <col min="43" max="43" width="13" bestFit="1" customWidth="1"/>
    <col min="44" max="44" width="8" bestFit="1" customWidth="1"/>
    <col min="45" max="45" width="9.42578125" bestFit="1" customWidth="1"/>
    <col min="46" max="46" width="8.42578125" bestFit="1" customWidth="1"/>
    <col min="47" max="47" width="12.85546875" bestFit="1" customWidth="1"/>
    <col min="48" max="48" width="8.7109375" bestFit="1" customWidth="1"/>
    <col min="49" max="49" width="8" bestFit="1" customWidth="1"/>
    <col min="50" max="51" width="11.7109375" bestFit="1" customWidth="1"/>
    <col min="52" max="53" width="8" bestFit="1" customWidth="1"/>
    <col min="54" max="55" width="8.42578125" bestFit="1" customWidth="1"/>
    <col min="56" max="56" width="11.42578125" bestFit="1" customWidth="1"/>
    <col min="57" max="57" width="10" bestFit="1" customWidth="1"/>
    <col min="58" max="58" width="10.28515625" bestFit="1" customWidth="1"/>
    <col min="59" max="59" width="11.42578125" bestFit="1" customWidth="1"/>
    <col min="60" max="60" width="9.28515625" bestFit="1" customWidth="1"/>
    <col min="61" max="61" width="8" bestFit="1" customWidth="1"/>
    <col min="62" max="62" width="9.42578125" bestFit="1" customWidth="1"/>
    <col min="63" max="63" width="12.85546875" bestFit="1" customWidth="1"/>
    <col min="64" max="64" width="9.5703125" bestFit="1" customWidth="1"/>
    <col min="65" max="65" width="8" bestFit="1" customWidth="1"/>
    <col min="66" max="66" width="15.85546875" bestFit="1" customWidth="1"/>
    <col min="67" max="67" width="8" bestFit="1" customWidth="1"/>
    <col min="68" max="68" width="15.42578125" bestFit="1" customWidth="1"/>
    <col min="69" max="69" width="19.42578125" bestFit="1" customWidth="1"/>
    <col min="70" max="70" width="12.42578125" bestFit="1" customWidth="1"/>
    <col min="71" max="71" width="8.140625" bestFit="1" customWidth="1"/>
    <col min="72" max="72" width="15.85546875" bestFit="1" customWidth="1"/>
    <col min="73" max="73" width="9.85546875" bestFit="1" customWidth="1"/>
    <col min="74" max="74" width="8" bestFit="1" customWidth="1"/>
    <col min="75" max="75" width="8.140625" bestFit="1" customWidth="1"/>
    <col min="76" max="76" width="11.140625" bestFit="1" customWidth="1"/>
    <col min="77" max="77" width="13.7109375" bestFit="1" customWidth="1"/>
    <col min="78" max="78" width="17.5703125" bestFit="1" customWidth="1"/>
    <col min="79" max="79" width="11.140625" bestFit="1" customWidth="1"/>
    <col min="80" max="80" width="8" bestFit="1" customWidth="1"/>
    <col min="81" max="81" width="12.85546875" bestFit="1" customWidth="1"/>
    <col min="82" max="82" width="8" bestFit="1" customWidth="1"/>
    <col min="83" max="83" width="12.5703125" bestFit="1" customWidth="1"/>
    <col min="84" max="84" width="10.42578125" bestFit="1" customWidth="1"/>
    <col min="85" max="85" width="8.28515625" bestFit="1" customWidth="1"/>
    <col min="86" max="86" width="16.5703125" bestFit="1" customWidth="1"/>
    <col min="87" max="87" width="21.28515625" bestFit="1" customWidth="1"/>
    <col min="88" max="88" width="23.28515625" bestFit="1" customWidth="1"/>
    <col min="89" max="89" width="10.7109375" bestFit="1" customWidth="1"/>
    <col min="90" max="90" width="9.85546875" bestFit="1" customWidth="1"/>
    <col min="91" max="91" width="18" bestFit="1" customWidth="1"/>
    <col min="92" max="92" width="8.85546875" bestFit="1" customWidth="1"/>
    <col min="93" max="93" width="7.85546875" bestFit="1" customWidth="1"/>
  </cols>
  <sheetData>
    <row r="1" spans="1:99" x14ac:dyDescent="0.25">
      <c r="O1" t="s">
        <v>30</v>
      </c>
      <c r="X1" t="s">
        <v>31</v>
      </c>
    </row>
    <row r="2" spans="1:99" ht="15" customHeight="1" x14ac:dyDescent="0.25">
      <c r="A2" s="20" t="s">
        <v>21</v>
      </c>
      <c r="B2" s="20" t="s">
        <v>22</v>
      </c>
      <c r="D2" s="20" t="s">
        <v>23</v>
      </c>
      <c r="F2" s="8" t="s">
        <v>24</v>
      </c>
      <c r="G2" s="21" t="s">
        <v>61</v>
      </c>
      <c r="I2" s="18"/>
      <c r="J2" s="11"/>
      <c r="L2" s="10" t="s">
        <v>57</v>
      </c>
      <c r="R2" t="s">
        <v>27</v>
      </c>
      <c r="T2" t="s">
        <v>28</v>
      </c>
      <c r="V2" t="s">
        <v>29</v>
      </c>
      <c r="Y2" t="s">
        <v>25</v>
      </c>
      <c r="AA2" t="s">
        <v>28</v>
      </c>
      <c r="AC2" t="s">
        <v>29</v>
      </c>
    </row>
    <row r="3" spans="1:99" x14ac:dyDescent="0.25">
      <c r="A3" s="20"/>
      <c r="B3" s="20"/>
      <c r="C3" t="s">
        <v>39</v>
      </c>
      <c r="D3" s="20"/>
      <c r="F3" s="8"/>
      <c r="G3" s="21"/>
      <c r="I3" s="18"/>
      <c r="J3" s="11"/>
      <c r="L3">
        <f>7.43</f>
        <v>7.43</v>
      </c>
      <c r="O3" t="s">
        <v>25</v>
      </c>
      <c r="P3" t="s">
        <v>26</v>
      </c>
      <c r="R3" s="3">
        <v>20</v>
      </c>
      <c r="S3">
        <v>71</v>
      </c>
      <c r="T3" s="3">
        <v>17</v>
      </c>
      <c r="U3" s="7">
        <v>38</v>
      </c>
      <c r="V3" s="3">
        <v>19</v>
      </c>
      <c r="W3">
        <f t="array" ref="W3">INDEX($C$28:$V$47,V3,V4)</f>
        <v>527.53</v>
      </c>
      <c r="Y3" s="4">
        <v>1</v>
      </c>
      <c r="Z3">
        <v>324</v>
      </c>
      <c r="AA3" s="3">
        <v>1</v>
      </c>
      <c r="AB3">
        <v>93</v>
      </c>
      <c r="AC3" s="3">
        <v>1</v>
      </c>
      <c r="AD3">
        <v>93</v>
      </c>
    </row>
    <row r="4" spans="1:99" x14ac:dyDescent="0.25">
      <c r="A4">
        <v>1</v>
      </c>
      <c r="B4" s="1" t="s">
        <v>0</v>
      </c>
      <c r="C4" t="s">
        <v>40</v>
      </c>
      <c r="D4" s="3">
        <v>1</v>
      </c>
      <c r="E4" s="16">
        <f>F4+G4</f>
        <v>2607.3199999999997</v>
      </c>
      <c r="F4" s="2">
        <f t="array" ref="F4">INDEX($C$28:$V$47,D4,D5)</f>
        <v>2407.3199999999997</v>
      </c>
      <c r="G4">
        <v>200</v>
      </c>
      <c r="J4" s="2"/>
      <c r="O4" s="5" t="s">
        <v>20</v>
      </c>
      <c r="R4" s="3">
        <v>19</v>
      </c>
      <c r="S4">
        <v>333</v>
      </c>
      <c r="T4" s="3">
        <v>16</v>
      </c>
      <c r="U4" s="7">
        <v>257</v>
      </c>
      <c r="V4" s="3">
        <v>20</v>
      </c>
      <c r="W4">
        <f t="array" ref="W4">INDEX($C$28:$V$47,V4,V5)</f>
        <v>1471.1399999999999</v>
      </c>
      <c r="Y4" s="4">
        <v>2</v>
      </c>
      <c r="Z4">
        <v>263</v>
      </c>
      <c r="AA4" s="3">
        <v>4</v>
      </c>
      <c r="AB4">
        <v>53</v>
      </c>
      <c r="AC4" s="3">
        <v>4</v>
      </c>
      <c r="AD4">
        <v>53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A5">
        <v>2</v>
      </c>
      <c r="B5" s="1" t="s">
        <v>1</v>
      </c>
      <c r="C5" t="s">
        <v>41</v>
      </c>
      <c r="D5" s="3">
        <v>2</v>
      </c>
      <c r="E5" s="16">
        <f t="shared" ref="E5:E22" si="0">F5+G5</f>
        <v>2144.09</v>
      </c>
      <c r="F5" s="2">
        <f t="array" ref="F5">INDEX($C$28:$V$47,D5,D6)</f>
        <v>1954.09</v>
      </c>
      <c r="G5">
        <v>190</v>
      </c>
      <c r="J5" s="2"/>
      <c r="O5" s="6">
        <f>SUM(E4:E23)</f>
        <v>34953.43</v>
      </c>
      <c r="R5" s="3">
        <v>1</v>
      </c>
      <c r="S5">
        <v>324</v>
      </c>
      <c r="T5" s="3">
        <v>7</v>
      </c>
      <c r="U5" s="7">
        <v>135</v>
      </c>
      <c r="V5" s="3">
        <v>6</v>
      </c>
      <c r="W5">
        <f t="array" ref="W5">INDEX($C$28:$V$47,V5,V6)</f>
        <v>1055.06</v>
      </c>
      <c r="Y5" s="4">
        <v>3</v>
      </c>
      <c r="Z5">
        <v>45</v>
      </c>
      <c r="AA5" s="3">
        <v>15</v>
      </c>
      <c r="AB5">
        <v>32</v>
      </c>
      <c r="AC5" s="3">
        <v>15</v>
      </c>
      <c r="AD5">
        <v>32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9" x14ac:dyDescent="0.25">
      <c r="A6">
        <v>3</v>
      </c>
      <c r="B6" s="1" t="s">
        <v>2</v>
      </c>
      <c r="C6" t="s">
        <v>42</v>
      </c>
      <c r="D6" s="3">
        <v>3</v>
      </c>
      <c r="E6" s="16">
        <f t="shared" si="0"/>
        <v>514.34999999999991</v>
      </c>
      <c r="F6" s="2">
        <f t="array" ref="F6">INDEX($C$28:$V$47,D6,D7)</f>
        <v>334.34999999999997</v>
      </c>
      <c r="G6">
        <v>180</v>
      </c>
      <c r="J6" s="2"/>
      <c r="R6" s="3">
        <v>2</v>
      </c>
      <c r="S6">
        <v>263</v>
      </c>
      <c r="T6" s="3">
        <v>8</v>
      </c>
      <c r="U6" s="7">
        <v>89</v>
      </c>
      <c r="V6" s="3">
        <v>3</v>
      </c>
      <c r="W6">
        <f t="array" ref="W6">INDEX($C$28:$V$47,V6,V7)</f>
        <v>237.76</v>
      </c>
      <c r="Y6" s="4">
        <v>4</v>
      </c>
      <c r="Z6">
        <v>172</v>
      </c>
      <c r="AA6" s="3">
        <v>3</v>
      </c>
      <c r="AB6">
        <v>142</v>
      </c>
      <c r="AC6" s="3">
        <v>3</v>
      </c>
      <c r="AD6">
        <v>142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9" x14ac:dyDescent="0.25">
      <c r="A7">
        <v>4</v>
      </c>
      <c r="B7" s="1" t="s">
        <v>3</v>
      </c>
      <c r="C7" t="s">
        <v>43</v>
      </c>
      <c r="D7" s="3">
        <v>4</v>
      </c>
      <c r="E7" s="16">
        <f t="shared" si="0"/>
        <v>1447.96</v>
      </c>
      <c r="F7" s="2">
        <f t="array" ref="F7">INDEX($C$28:$V$47,D7,D8)</f>
        <v>1277.96</v>
      </c>
      <c r="G7">
        <v>170</v>
      </c>
      <c r="J7" s="2"/>
      <c r="R7" s="3">
        <v>3</v>
      </c>
      <c r="S7">
        <v>45</v>
      </c>
      <c r="T7" s="3">
        <v>11</v>
      </c>
      <c r="U7" s="7">
        <v>50</v>
      </c>
      <c r="V7" s="3">
        <v>15</v>
      </c>
      <c r="W7">
        <f t="array" ref="W7">INDEX($C$28:$V$47,V7,V8)</f>
        <v>393.78999999999996</v>
      </c>
      <c r="Y7" s="4">
        <v>5</v>
      </c>
      <c r="Z7">
        <v>288</v>
      </c>
      <c r="AA7" s="3">
        <v>6</v>
      </c>
      <c r="AB7">
        <v>254</v>
      </c>
      <c r="AC7" s="3">
        <v>6</v>
      </c>
      <c r="AD7">
        <v>254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9" x14ac:dyDescent="0.25">
      <c r="A8">
        <v>5</v>
      </c>
      <c r="B8" s="1" t="s">
        <v>4</v>
      </c>
      <c r="C8" t="s">
        <v>44</v>
      </c>
      <c r="D8" s="3">
        <v>5</v>
      </c>
      <c r="E8" s="16">
        <f t="shared" si="0"/>
        <v>2269.84</v>
      </c>
      <c r="F8" s="2">
        <f t="array" ref="F8">INDEX($C$28:$V$47,D8,D9)</f>
        <v>2139.84</v>
      </c>
      <c r="G8">
        <v>130</v>
      </c>
      <c r="J8" s="2"/>
      <c r="O8" t="s">
        <v>48</v>
      </c>
      <c r="R8" s="3">
        <v>4</v>
      </c>
      <c r="S8">
        <v>172</v>
      </c>
      <c r="T8" s="3">
        <v>1</v>
      </c>
      <c r="U8" s="7">
        <v>80</v>
      </c>
      <c r="V8" s="3">
        <v>4</v>
      </c>
      <c r="W8">
        <f t="array" ref="W8">INDEX($C$28:$V$47,V8,V9)</f>
        <v>690.99</v>
      </c>
      <c r="Y8" s="4">
        <v>6</v>
      </c>
      <c r="Z8">
        <v>421</v>
      </c>
      <c r="AA8" s="3">
        <v>19</v>
      </c>
      <c r="AB8">
        <v>71</v>
      </c>
      <c r="AC8" s="3">
        <v>19</v>
      </c>
      <c r="AD8">
        <v>71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9" x14ac:dyDescent="0.25">
      <c r="A9">
        <v>6</v>
      </c>
      <c r="B9" s="1" t="s">
        <v>5</v>
      </c>
      <c r="C9" t="s">
        <v>45</v>
      </c>
      <c r="D9" s="3">
        <v>6</v>
      </c>
      <c r="E9" s="16">
        <f t="shared" si="0"/>
        <v>3438.0299999999997</v>
      </c>
      <c r="F9" s="2">
        <f t="array" ref="F9">INDEX($C$28:$V$47,D9,D10)</f>
        <v>3128.0299999999997</v>
      </c>
      <c r="G9">
        <v>310</v>
      </c>
      <c r="J9" s="2"/>
      <c r="O9" s="12" t="s">
        <v>50</v>
      </c>
      <c r="R9" s="3">
        <v>5</v>
      </c>
      <c r="S9">
        <v>288</v>
      </c>
      <c r="T9" s="3">
        <v>5</v>
      </c>
      <c r="U9" s="7">
        <v>97</v>
      </c>
      <c r="V9" s="3">
        <v>1</v>
      </c>
      <c r="W9">
        <f t="array" ref="W9">INDEX($C$28:$V$47,V9,V10)</f>
        <v>371.5</v>
      </c>
      <c r="Y9" s="4">
        <v>7</v>
      </c>
      <c r="Z9">
        <v>135</v>
      </c>
      <c r="AA9" s="3">
        <v>20</v>
      </c>
      <c r="AB9">
        <v>111</v>
      </c>
      <c r="AC9" s="3">
        <v>20</v>
      </c>
      <c r="AD9">
        <v>111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9" x14ac:dyDescent="0.25">
      <c r="A10">
        <v>7</v>
      </c>
      <c r="B10" s="1" t="s">
        <v>6</v>
      </c>
      <c r="C10" t="s">
        <v>40</v>
      </c>
      <c r="D10" s="3">
        <v>7</v>
      </c>
      <c r="E10" s="16">
        <f t="shared" si="0"/>
        <v>1203.05</v>
      </c>
      <c r="F10" s="2">
        <f t="array" ref="F10">INDEX($C$28:$V$47,D10,D11)</f>
        <v>1003.05</v>
      </c>
      <c r="G10">
        <v>200</v>
      </c>
      <c r="J10" s="2"/>
      <c r="R10" s="3">
        <v>6</v>
      </c>
      <c r="S10">
        <v>421</v>
      </c>
      <c r="T10" s="3">
        <v>18</v>
      </c>
      <c r="U10" s="7">
        <v>98</v>
      </c>
      <c r="V10" s="3">
        <v>11</v>
      </c>
      <c r="W10">
        <f t="array" ref="W10">INDEX($C$28:$V$47,V10,V11)</f>
        <v>661.27</v>
      </c>
      <c r="Y10" s="4">
        <v>8</v>
      </c>
      <c r="Z10">
        <v>305</v>
      </c>
      <c r="AA10" s="3">
        <v>12</v>
      </c>
      <c r="AB10">
        <v>39</v>
      </c>
      <c r="AC10" s="3">
        <v>12</v>
      </c>
      <c r="AD10">
        <v>39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9" x14ac:dyDescent="0.25">
      <c r="A11">
        <v>8</v>
      </c>
      <c r="B11" s="1" t="s">
        <v>7</v>
      </c>
      <c r="C11" t="s">
        <v>41</v>
      </c>
      <c r="D11" s="3">
        <v>8</v>
      </c>
      <c r="E11" s="16">
        <f t="shared" si="0"/>
        <v>2456.15</v>
      </c>
      <c r="F11" s="2">
        <f t="array" ref="F11">INDEX($C$28:$V$47,D11,D12)</f>
        <v>2266.15</v>
      </c>
      <c r="G11">
        <v>190</v>
      </c>
      <c r="J11" s="2"/>
      <c r="R11" s="3">
        <v>7</v>
      </c>
      <c r="S11">
        <v>135</v>
      </c>
      <c r="T11" s="3">
        <v>14</v>
      </c>
      <c r="U11" s="7">
        <v>48</v>
      </c>
      <c r="V11" s="3">
        <v>8</v>
      </c>
      <c r="W11">
        <f t="array" ref="W11">INDEX($C$28:$V$47,V11,V12)</f>
        <v>1003.05</v>
      </c>
      <c r="Y11" s="4">
        <v>9</v>
      </c>
      <c r="Z11">
        <v>189</v>
      </c>
      <c r="AA11" s="3">
        <v>9</v>
      </c>
      <c r="AB11">
        <v>38</v>
      </c>
      <c r="AC11" s="3">
        <v>9</v>
      </c>
      <c r="AD11">
        <v>38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9" x14ac:dyDescent="0.25">
      <c r="A12">
        <v>9</v>
      </c>
      <c r="B12" s="1" t="s">
        <v>8</v>
      </c>
      <c r="C12" t="s">
        <v>42</v>
      </c>
      <c r="D12" s="3">
        <v>9</v>
      </c>
      <c r="E12" s="16">
        <f t="shared" si="0"/>
        <v>1584.27</v>
      </c>
      <c r="F12" s="2">
        <f t="array" ref="F12">INDEX($C$28:$V$47,D12,D13)</f>
        <v>1404.27</v>
      </c>
      <c r="G12">
        <v>180</v>
      </c>
      <c r="J12" s="2"/>
      <c r="R12" s="3">
        <v>8</v>
      </c>
      <c r="S12">
        <v>305</v>
      </c>
      <c r="T12" s="3">
        <v>13</v>
      </c>
      <c r="U12" s="7">
        <v>38</v>
      </c>
      <c r="V12" s="3">
        <v>7</v>
      </c>
      <c r="W12">
        <f t="array" ref="W12">INDEX($C$28:$V$47,V12,V13)</f>
        <v>1909.51</v>
      </c>
      <c r="Y12" s="4">
        <v>10</v>
      </c>
      <c r="Z12">
        <v>350</v>
      </c>
      <c r="AA12" s="3">
        <v>13</v>
      </c>
      <c r="AB12">
        <v>48</v>
      </c>
      <c r="AC12" s="3">
        <v>13</v>
      </c>
      <c r="AD12">
        <v>48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9" x14ac:dyDescent="0.25">
      <c r="A13">
        <v>10</v>
      </c>
      <c r="B13" s="1" t="s">
        <v>9</v>
      </c>
      <c r="C13" t="s">
        <v>43</v>
      </c>
      <c r="D13" s="3">
        <v>10</v>
      </c>
      <c r="E13" s="16">
        <f t="shared" si="0"/>
        <v>2770.5</v>
      </c>
      <c r="F13" s="2">
        <f t="array" ref="F13">INDEX($C$28:$V$47,D13,D14)</f>
        <v>2600.5</v>
      </c>
      <c r="G13">
        <v>170</v>
      </c>
      <c r="J13" s="2"/>
      <c r="L13" s="10" t="s">
        <v>51</v>
      </c>
      <c r="M13" s="10"/>
      <c r="N13" s="10"/>
      <c r="R13" s="3">
        <v>9</v>
      </c>
      <c r="S13">
        <v>189</v>
      </c>
      <c r="T13" s="3">
        <v>9</v>
      </c>
      <c r="U13" s="7">
        <v>39</v>
      </c>
      <c r="V13" s="3">
        <v>16</v>
      </c>
      <c r="W13">
        <f t="array" ref="W13">INDEX($C$28:$V$47,V13,V14)</f>
        <v>282.33999999999997</v>
      </c>
      <c r="Y13" s="4">
        <v>11</v>
      </c>
      <c r="Z13">
        <v>255</v>
      </c>
      <c r="AA13" s="3">
        <v>14</v>
      </c>
      <c r="AB13">
        <v>89</v>
      </c>
      <c r="AC13" s="3">
        <v>14</v>
      </c>
      <c r="AD13">
        <v>89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9" x14ac:dyDescent="0.25">
      <c r="A14">
        <v>11</v>
      </c>
      <c r="B14" s="1" t="s">
        <v>10</v>
      </c>
      <c r="C14" t="s">
        <v>44</v>
      </c>
      <c r="D14" s="3">
        <v>11</v>
      </c>
      <c r="E14" s="16">
        <f t="shared" si="0"/>
        <v>2024.6499999999999</v>
      </c>
      <c r="F14" s="2">
        <f t="array" ref="F14">INDEX($C$28:$V$47,D14,D15)</f>
        <v>1894.6499999999999</v>
      </c>
      <c r="G14">
        <v>130</v>
      </c>
      <c r="J14" s="2"/>
      <c r="L14" s="10">
        <v>1</v>
      </c>
      <c r="M14" s="10">
        <v>2</v>
      </c>
      <c r="N14" s="10">
        <v>3</v>
      </c>
      <c r="R14" s="3">
        <v>10</v>
      </c>
      <c r="S14">
        <v>153</v>
      </c>
      <c r="T14" s="3">
        <v>12</v>
      </c>
      <c r="U14" s="7">
        <v>153</v>
      </c>
      <c r="V14" s="3">
        <v>17</v>
      </c>
      <c r="W14">
        <f t="array" ref="W14">INDEX($C$28:$V$47,V14,V15)</f>
        <v>1991.24</v>
      </c>
      <c r="Y14" s="4">
        <v>12</v>
      </c>
      <c r="Z14">
        <v>77</v>
      </c>
      <c r="AA14" s="3">
        <v>5</v>
      </c>
      <c r="AB14">
        <v>97</v>
      </c>
      <c r="AC14" s="3">
        <v>5</v>
      </c>
      <c r="AD14">
        <v>97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9" x14ac:dyDescent="0.25">
      <c r="A15">
        <v>12</v>
      </c>
      <c r="B15" s="1" t="s">
        <v>11</v>
      </c>
      <c r="C15" t="s">
        <v>45</v>
      </c>
      <c r="D15" s="3">
        <v>12</v>
      </c>
      <c r="E15" s="16">
        <f t="shared" si="0"/>
        <v>882.11</v>
      </c>
      <c r="F15" s="2">
        <f t="array" ref="F15">INDEX($C$28:$V$47,D15,D16)</f>
        <v>572.11</v>
      </c>
      <c r="G15">
        <v>310</v>
      </c>
      <c r="J15" s="2"/>
      <c r="L15" t="s">
        <v>52</v>
      </c>
      <c r="M15" t="s">
        <v>54</v>
      </c>
      <c r="N15" t="s">
        <v>58</v>
      </c>
      <c r="R15" s="3">
        <v>12</v>
      </c>
      <c r="S15">
        <v>77</v>
      </c>
      <c r="T15" s="3">
        <v>10</v>
      </c>
      <c r="U15" s="7">
        <v>36</v>
      </c>
      <c r="V15" s="3">
        <v>18</v>
      </c>
      <c r="W15">
        <f t="array" ref="W15">INDEX($C$28:$V$47,V15,V16)</f>
        <v>720.70999999999992</v>
      </c>
      <c r="Y15" s="4">
        <v>13</v>
      </c>
      <c r="Z15">
        <v>48</v>
      </c>
      <c r="AA15" s="3">
        <v>18</v>
      </c>
      <c r="AB15">
        <v>180</v>
      </c>
      <c r="AC15" s="3">
        <v>18</v>
      </c>
      <c r="AD15">
        <v>180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9" x14ac:dyDescent="0.25">
      <c r="A16">
        <v>13</v>
      </c>
      <c r="B16" s="1" t="s">
        <v>12</v>
      </c>
      <c r="C16" t="s">
        <v>40</v>
      </c>
      <c r="D16" s="3">
        <v>13</v>
      </c>
      <c r="E16" s="16">
        <f t="shared" si="0"/>
        <v>556.64</v>
      </c>
      <c r="F16" s="2">
        <f t="array" ref="F16">INDEX($C$28:$V$47,D16,D17)</f>
        <v>356.64</v>
      </c>
      <c r="G16">
        <v>200</v>
      </c>
      <c r="J16" s="2"/>
      <c r="L16" t="s">
        <v>53</v>
      </c>
      <c r="M16" t="s">
        <v>55</v>
      </c>
      <c r="N16" t="s">
        <v>59</v>
      </c>
      <c r="R16" s="3">
        <v>13</v>
      </c>
      <c r="S16">
        <v>180</v>
      </c>
      <c r="T16" s="3">
        <v>2</v>
      </c>
      <c r="U16" s="7">
        <v>186</v>
      </c>
      <c r="V16" s="3">
        <v>5</v>
      </c>
      <c r="W16">
        <f t="array" ref="W16">INDEX($C$28:$V$47,V16,V17)</f>
        <v>661.27</v>
      </c>
      <c r="Y16" s="4">
        <v>14</v>
      </c>
      <c r="Z16">
        <v>101</v>
      </c>
      <c r="AA16" s="3">
        <v>2</v>
      </c>
      <c r="AB16">
        <v>36</v>
      </c>
      <c r="AC16" s="3">
        <v>2</v>
      </c>
      <c r="AD16">
        <v>36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A17">
        <v>14</v>
      </c>
      <c r="B17" s="1" t="s">
        <v>13</v>
      </c>
      <c r="C17" t="s">
        <v>41</v>
      </c>
      <c r="D17" s="3">
        <v>14</v>
      </c>
      <c r="E17" s="16">
        <f t="shared" si="0"/>
        <v>940.43</v>
      </c>
      <c r="F17" s="2">
        <f t="array" ref="F17">INDEX($C$28:$V$47,D17,D18)</f>
        <v>750.43</v>
      </c>
      <c r="G17">
        <v>190</v>
      </c>
      <c r="J17" s="2"/>
      <c r="R17" s="3">
        <v>11</v>
      </c>
      <c r="S17">
        <v>147</v>
      </c>
      <c r="T17" s="3">
        <v>4</v>
      </c>
      <c r="U17" s="7">
        <v>53</v>
      </c>
      <c r="V17" s="3">
        <v>14</v>
      </c>
      <c r="W17">
        <f t="array" ref="W17">INDEX($C$28:$V$47,V17,V18)</f>
        <v>356.64</v>
      </c>
      <c r="Y17" s="4">
        <v>15</v>
      </c>
      <c r="Z17">
        <v>406</v>
      </c>
      <c r="AA17" s="3">
        <v>10</v>
      </c>
      <c r="AB17">
        <v>367</v>
      </c>
      <c r="AC17" s="3">
        <v>10</v>
      </c>
      <c r="AD17">
        <v>367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A18">
        <v>15</v>
      </c>
      <c r="B18" s="1" t="s">
        <v>14</v>
      </c>
      <c r="C18" t="s">
        <v>42</v>
      </c>
      <c r="D18" s="3">
        <v>15</v>
      </c>
      <c r="E18" s="16">
        <f t="shared" si="0"/>
        <v>3196.58</v>
      </c>
      <c r="F18" s="2">
        <f t="array" ref="F18">INDEX($C$28:$V$47,D18,D19)</f>
        <v>3016.58</v>
      </c>
      <c r="G18">
        <v>180</v>
      </c>
      <c r="J18" s="2"/>
      <c r="R18" s="3">
        <v>14</v>
      </c>
      <c r="S18">
        <v>98</v>
      </c>
      <c r="T18" s="3">
        <v>15</v>
      </c>
      <c r="U18" s="7">
        <v>32</v>
      </c>
      <c r="V18" s="3">
        <v>13</v>
      </c>
      <c r="W18">
        <f t="array" ref="W18">INDEX($C$28:$V$47,V18,V19)</f>
        <v>282.33999999999997</v>
      </c>
      <c r="Y18" s="4">
        <v>16</v>
      </c>
      <c r="Z18">
        <v>38</v>
      </c>
      <c r="AA18" s="3">
        <v>17</v>
      </c>
      <c r="AB18">
        <v>38</v>
      </c>
      <c r="AC18" s="3">
        <v>17</v>
      </c>
      <c r="AD18">
        <v>38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A19">
        <v>16</v>
      </c>
      <c r="B19" s="1" t="s">
        <v>15</v>
      </c>
      <c r="C19" t="s">
        <v>43</v>
      </c>
      <c r="D19" s="3">
        <v>16</v>
      </c>
      <c r="E19" s="16">
        <f t="shared" si="0"/>
        <v>452.34</v>
      </c>
      <c r="F19" s="2">
        <f t="array" ref="F19">INDEX($C$28:$V$47,D19,D20)</f>
        <v>282.33999999999997</v>
      </c>
      <c r="G19">
        <v>170</v>
      </c>
      <c r="J19" s="2"/>
      <c r="R19" s="3">
        <v>18</v>
      </c>
      <c r="S19">
        <v>226</v>
      </c>
      <c r="T19" s="3">
        <v>3</v>
      </c>
      <c r="U19" s="7">
        <v>142</v>
      </c>
      <c r="V19" s="3">
        <v>9</v>
      </c>
      <c r="W19">
        <f t="array" ref="W19">INDEX($C$28:$V$47,V19,V20)</f>
        <v>289.77</v>
      </c>
      <c r="Y19" s="4">
        <v>17</v>
      </c>
      <c r="Z19">
        <v>268</v>
      </c>
      <c r="AA19" s="3">
        <v>16</v>
      </c>
      <c r="AB19">
        <v>257</v>
      </c>
      <c r="AC19" s="3">
        <v>16</v>
      </c>
      <c r="AD19">
        <v>257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x14ac:dyDescent="0.25">
      <c r="A20">
        <v>17</v>
      </c>
      <c r="B20" s="1" t="s">
        <v>16</v>
      </c>
      <c r="C20" t="s">
        <v>44</v>
      </c>
      <c r="D20" s="3">
        <v>17</v>
      </c>
      <c r="E20" s="16">
        <f t="shared" si="0"/>
        <v>2121.2399999999998</v>
      </c>
      <c r="F20" s="2">
        <f t="array" ref="F20">INDEX($C$28:$V$47,D20,D21)</f>
        <v>1991.24</v>
      </c>
      <c r="G20">
        <v>130</v>
      </c>
      <c r="J20" s="2"/>
      <c r="R20" s="3">
        <v>16</v>
      </c>
      <c r="S20">
        <v>38</v>
      </c>
      <c r="T20" s="3">
        <v>6</v>
      </c>
      <c r="U20" s="7">
        <v>198</v>
      </c>
      <c r="V20" s="3">
        <v>12</v>
      </c>
      <c r="W20">
        <f t="array" ref="W20">INDEX($C$28:$V$47,V20,V21)</f>
        <v>1136.79</v>
      </c>
      <c r="Y20" s="4">
        <v>18</v>
      </c>
      <c r="Z20">
        <v>445</v>
      </c>
      <c r="AA20" s="3">
        <v>7</v>
      </c>
      <c r="AB20">
        <v>135</v>
      </c>
      <c r="AC20" s="3">
        <v>7</v>
      </c>
      <c r="AD20">
        <v>135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x14ac:dyDescent="0.25">
      <c r="A21">
        <v>18</v>
      </c>
      <c r="B21" s="1" t="s">
        <v>17</v>
      </c>
      <c r="C21" t="s">
        <v>45</v>
      </c>
      <c r="D21" s="3">
        <v>18</v>
      </c>
      <c r="E21" s="16">
        <f t="shared" si="0"/>
        <v>3616.35</v>
      </c>
      <c r="F21" s="2">
        <f t="array" ref="F21">INDEX($C$28:$V$47,D21,D22)</f>
        <v>3306.35</v>
      </c>
      <c r="G21">
        <v>310</v>
      </c>
      <c r="J21" s="2"/>
      <c r="R21" s="3">
        <v>17</v>
      </c>
      <c r="S21">
        <v>440</v>
      </c>
      <c r="T21" s="3">
        <v>20</v>
      </c>
      <c r="U21" s="7">
        <v>71</v>
      </c>
      <c r="V21" s="3">
        <v>10</v>
      </c>
      <c r="W21">
        <f t="array" ref="W21">INDEX($C$28:$V$47,V21,V22)</f>
        <v>267.48</v>
      </c>
      <c r="Y21" s="4">
        <v>19</v>
      </c>
      <c r="Z21">
        <v>71</v>
      </c>
      <c r="AA21" s="3">
        <v>8</v>
      </c>
      <c r="AB21">
        <v>89</v>
      </c>
      <c r="AC21" s="3">
        <v>8</v>
      </c>
      <c r="AD21">
        <v>89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>
        <v>19</v>
      </c>
      <c r="B22" s="1" t="s">
        <v>18</v>
      </c>
      <c r="C22" t="s">
        <v>40</v>
      </c>
      <c r="D22" s="3">
        <v>19</v>
      </c>
      <c r="E22" s="16">
        <f t="shared" si="0"/>
        <v>727.53</v>
      </c>
      <c r="F22" s="2">
        <f t="array" ref="F22">INDEX($C$28:$V$47,D22,D23)</f>
        <v>527.53</v>
      </c>
      <c r="G22">
        <v>200</v>
      </c>
      <c r="J22" s="2"/>
      <c r="R22" s="3">
        <v>15</v>
      </c>
      <c r="T22" s="3">
        <v>19</v>
      </c>
      <c r="U22" s="7"/>
      <c r="V22" s="3">
        <v>2</v>
      </c>
      <c r="Y22" s="4">
        <v>20</v>
      </c>
      <c r="Z22">
        <v>262</v>
      </c>
      <c r="AA22" s="3">
        <v>11</v>
      </c>
      <c r="AB22">
        <v>50</v>
      </c>
      <c r="AC22" s="3">
        <v>11</v>
      </c>
      <c r="AD22">
        <v>50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A23">
        <v>20</v>
      </c>
      <c r="B23" s="1" t="s">
        <v>19</v>
      </c>
      <c r="C23" t="s">
        <v>41</v>
      </c>
      <c r="D23" s="3">
        <v>20</v>
      </c>
      <c r="R23" s="6"/>
      <c r="S23" s="6">
        <f>SUM(S3:S22)</f>
        <v>3905</v>
      </c>
      <c r="T23" s="6"/>
      <c r="U23" s="6">
        <f>SUM(U3:U22)</f>
        <v>1840</v>
      </c>
      <c r="W23" s="6">
        <f>SUM(W3:W22)</f>
        <v>14310.179999999997</v>
      </c>
      <c r="Y23" s="4">
        <v>1</v>
      </c>
      <c r="Z23" s="6">
        <f>SUM(Z3:Z22)</f>
        <v>4463</v>
      </c>
      <c r="AA23" s="3">
        <v>1</v>
      </c>
      <c r="AB23" s="6">
        <f>SUM(AB3:AB22)</f>
        <v>2219</v>
      </c>
      <c r="AC23" s="3">
        <v>1</v>
      </c>
      <c r="AD23" s="6">
        <f>SUM(AD3:AD22)</f>
        <v>2219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</row>
    <row r="26" spans="1:91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</row>
    <row r="27" spans="1:91" x14ac:dyDescent="0.25"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15</v>
      </c>
      <c r="S27" s="1" t="s">
        <v>16</v>
      </c>
      <c r="T27" s="1" t="s">
        <v>17</v>
      </c>
      <c r="U27" s="1" t="s">
        <v>18</v>
      </c>
      <c r="V27" s="1" t="s">
        <v>19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91" x14ac:dyDescent="0.25">
      <c r="B28" s="1" t="s">
        <v>0</v>
      </c>
      <c r="C28" s="2">
        <f>0*(7.43)</f>
        <v>0</v>
      </c>
      <c r="D28" s="2">
        <f>324*(7.43)</f>
        <v>2407.3199999999997</v>
      </c>
      <c r="E28" s="2">
        <f>91*(7.43)</f>
        <v>676.13</v>
      </c>
      <c r="F28" s="2">
        <f>93*(7.43)</f>
        <v>690.99</v>
      </c>
      <c r="G28" s="2">
        <f>80*(7.43)</f>
        <v>594.4</v>
      </c>
      <c r="H28" s="2">
        <f>230*(7.43)</f>
        <v>1708.8999999999999</v>
      </c>
      <c r="I28" s="2">
        <f>214*(7.43)</f>
        <v>1590.02</v>
      </c>
      <c r="J28" s="2">
        <f>136*(7.43)</f>
        <v>1010.48</v>
      </c>
      <c r="K28" s="2">
        <f>177*(7.43)</f>
        <v>1315.11</v>
      </c>
      <c r="L28" s="2">
        <f>360*(7.43)</f>
        <v>2674.7999999999997</v>
      </c>
      <c r="M28" s="2">
        <f>50*(7.43)</f>
        <v>371.5</v>
      </c>
      <c r="N28" s="2">
        <f>216*(7.43)</f>
        <v>1604.8799999999999</v>
      </c>
      <c r="O28" s="2">
        <f>174*(7.43)</f>
        <v>1292.82</v>
      </c>
      <c r="P28" s="2">
        <f>148*(7.43)</f>
        <v>1099.6399999999999</v>
      </c>
      <c r="Q28" s="2">
        <f>100*(7.43)</f>
        <v>743</v>
      </c>
      <c r="R28" s="2">
        <f>375*(7.43)</f>
        <v>2786.25</v>
      </c>
      <c r="S28" s="2">
        <f>409*(7.43)</f>
        <v>3038.87</v>
      </c>
      <c r="T28" s="2">
        <f>218*(7.43)</f>
        <v>1619.74</v>
      </c>
      <c r="U28" s="2">
        <f>333*(7.43)</f>
        <v>2474.19</v>
      </c>
      <c r="V28" s="2">
        <f>262*(7.43)</f>
        <v>1946.6599999999999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91" x14ac:dyDescent="0.25">
      <c r="B29" s="1" t="s">
        <v>1</v>
      </c>
      <c r="C29" s="2">
        <f>324*(7.43)</f>
        <v>2407.3199999999997</v>
      </c>
      <c r="D29" s="2">
        <f>0*(7.43)</f>
        <v>0</v>
      </c>
      <c r="E29" s="2">
        <f>263*(7.43)</f>
        <v>1954.09</v>
      </c>
      <c r="F29" s="2">
        <f>186*(7.43)</f>
        <v>1381.98</v>
      </c>
      <c r="G29" s="2">
        <f>266*(7.43)</f>
        <v>1976.3799999999999</v>
      </c>
      <c r="H29" s="2">
        <f>403*(7.43)</f>
        <v>2994.29</v>
      </c>
      <c r="I29" s="2">
        <f>427*(7.43)</f>
        <v>3172.6099999999997</v>
      </c>
      <c r="J29" s="2">
        <f>413*(7.43)</f>
        <v>3068.5899999999997</v>
      </c>
      <c r="K29" s="2">
        <f>214*(7.43)</f>
        <v>1590.02</v>
      </c>
      <c r="L29" s="2">
        <f>36*(7.43)</f>
        <v>267.48</v>
      </c>
      <c r="M29" s="2">
        <f>314*(7.43)</f>
        <v>2333.02</v>
      </c>
      <c r="N29" s="2">
        <f>178*(7.43)</f>
        <v>1322.54</v>
      </c>
      <c r="O29" s="2">
        <f>196*(7.43)</f>
        <v>1456.28</v>
      </c>
      <c r="P29" s="2">
        <f>177*(7.43)</f>
        <v>1315.11</v>
      </c>
      <c r="Q29" s="2">
        <f>265*(7.43)</f>
        <v>1968.9499999999998</v>
      </c>
      <c r="R29" s="2">
        <f>336*(7.43)</f>
        <v>2496.48</v>
      </c>
      <c r="S29" s="2">
        <f>342*(7.43)</f>
        <v>2541.06</v>
      </c>
      <c r="T29" s="2">
        <f>180*(7.43)</f>
        <v>1337.3999999999999</v>
      </c>
      <c r="U29" s="2">
        <f>312*(7.43)</f>
        <v>2318.16</v>
      </c>
      <c r="V29" s="2">
        <f>239*(7.43)</f>
        <v>1775.77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91" x14ac:dyDescent="0.25">
      <c r="B30" s="1" t="s">
        <v>2</v>
      </c>
      <c r="C30" s="2">
        <f>91*(7.43)</f>
        <v>676.13</v>
      </c>
      <c r="D30" s="2">
        <f>263*(7.43)</f>
        <v>1954.09</v>
      </c>
      <c r="E30" s="2">
        <f>0*(7.43)</f>
        <v>0</v>
      </c>
      <c r="F30" s="2">
        <f>45*(7.43)</f>
        <v>334.34999999999997</v>
      </c>
      <c r="G30" s="2">
        <f>150*(7.43)</f>
        <v>1114.5</v>
      </c>
      <c r="H30" s="2">
        <f>142*(7.43)</f>
        <v>1055.06</v>
      </c>
      <c r="I30" s="2">
        <f>305*(7.43)</f>
        <v>2266.15</v>
      </c>
      <c r="J30" s="2">
        <f>227*(7.43)</f>
        <v>1686.61</v>
      </c>
      <c r="K30" s="2">
        <f>86*(7.43)</f>
        <v>638.98</v>
      </c>
      <c r="L30" s="2">
        <f>274*(7.43)</f>
        <v>2035.82</v>
      </c>
      <c r="M30" s="2">
        <f>139*(7.43)</f>
        <v>1032.77</v>
      </c>
      <c r="N30" s="2">
        <f>125*(7.43)</f>
        <v>928.75</v>
      </c>
      <c r="O30" s="2">
        <f>69*(7.43)</f>
        <v>512.66999999999996</v>
      </c>
      <c r="P30" s="2">
        <f>115*(7.43)</f>
        <v>854.44999999999993</v>
      </c>
      <c r="Q30" s="2">
        <f>32*(7.43)</f>
        <v>237.76</v>
      </c>
      <c r="R30" s="2">
        <f>437*(7.43)</f>
        <v>3246.91</v>
      </c>
      <c r="S30" s="2">
        <f>472*(7.43)</f>
        <v>3506.96</v>
      </c>
      <c r="T30" s="2">
        <f>203*(7.43)</f>
        <v>1508.29</v>
      </c>
      <c r="U30" s="2">
        <f>244*(7.43)</f>
        <v>1812.9199999999998</v>
      </c>
      <c r="V30" s="2">
        <f>174*(7.43)</f>
        <v>1292.82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91" x14ac:dyDescent="0.25">
      <c r="B31" s="1" t="s">
        <v>3</v>
      </c>
      <c r="C31" s="2">
        <f>93*(7.43)</f>
        <v>690.99</v>
      </c>
      <c r="D31" s="2">
        <f>186*(7.43)</f>
        <v>1381.98</v>
      </c>
      <c r="E31" s="2">
        <f>45*(7.43)</f>
        <v>334.34999999999997</v>
      </c>
      <c r="F31" s="2">
        <f>0*(7.43)</f>
        <v>0</v>
      </c>
      <c r="G31" s="2">
        <f>172*(7.43)</f>
        <v>1277.96</v>
      </c>
      <c r="H31" s="2">
        <f>159*(7.43)</f>
        <v>1181.3699999999999</v>
      </c>
      <c r="I31" s="2">
        <f>307*(7.43)</f>
        <v>2281.0099999999998</v>
      </c>
      <c r="J31" s="2">
        <f>208*(7.43)</f>
        <v>1545.44</v>
      </c>
      <c r="K31" s="2">
        <f>130*(7.43)</f>
        <v>965.9</v>
      </c>
      <c r="L31" s="2">
        <f>319*(7.43)</f>
        <v>2370.17</v>
      </c>
      <c r="M31" s="2">
        <f>141*(7.43)</f>
        <v>1047.6299999999999</v>
      </c>
      <c r="N31" s="2">
        <f>196*(7.43)</f>
        <v>1456.28</v>
      </c>
      <c r="O31" s="2">
        <f>114*(7.43)</f>
        <v>847.02</v>
      </c>
      <c r="P31" s="2">
        <f>154*(7.43)</f>
        <v>1144.22</v>
      </c>
      <c r="Q31" s="2">
        <f>53*(7.43)</f>
        <v>393.78999999999996</v>
      </c>
      <c r="R31" s="2">
        <f>460*(7.43)</f>
        <v>3417.7999999999997</v>
      </c>
      <c r="S31" s="2">
        <f>494*(7.43)</f>
        <v>3670.42</v>
      </c>
      <c r="T31" s="2">
        <f>225*(7.43)</f>
        <v>1671.75</v>
      </c>
      <c r="U31" s="2">
        <f>261*(7.43)</f>
        <v>1939.23</v>
      </c>
      <c r="V31" s="2">
        <f>191*(7.43)</f>
        <v>1419.1299999999999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1:91" x14ac:dyDescent="0.25">
      <c r="B32" s="1" t="s">
        <v>4</v>
      </c>
      <c r="C32" s="2">
        <f>80*(7.43)</f>
        <v>594.4</v>
      </c>
      <c r="D32" s="2">
        <f>266*(7.43)</f>
        <v>1976.3799999999999</v>
      </c>
      <c r="E32" s="2">
        <f>150*(7.43)</f>
        <v>1114.5</v>
      </c>
      <c r="F32" s="2">
        <f>172*(7.43)</f>
        <v>1277.96</v>
      </c>
      <c r="G32" s="2">
        <f>0*(7.43)</f>
        <v>0</v>
      </c>
      <c r="H32" s="2">
        <f>288*(7.43)</f>
        <v>2139.84</v>
      </c>
      <c r="I32" s="2">
        <f>173*(7.43)</f>
        <v>1285.3899999999999</v>
      </c>
      <c r="J32" s="2">
        <f>150*(7.43)</f>
        <v>1114.5</v>
      </c>
      <c r="K32" s="2">
        <f>157*(7.43)</f>
        <v>1166.51</v>
      </c>
      <c r="L32" s="2">
        <f>301*(7.43)</f>
        <v>2236.4299999999998</v>
      </c>
      <c r="M32" s="2">
        <f>61*(7.43)</f>
        <v>453.22999999999996</v>
      </c>
      <c r="N32" s="2">
        <f>197*(7.43)</f>
        <v>1463.71</v>
      </c>
      <c r="O32" s="2">
        <f>122*(7.43)</f>
        <v>906.45999999999992</v>
      </c>
      <c r="P32" s="2">
        <f>89*(7.43)</f>
        <v>661.27</v>
      </c>
      <c r="Q32" s="2">
        <f>118*(7.43)</f>
        <v>876.74</v>
      </c>
      <c r="R32" s="2">
        <f>322*(7.43)</f>
        <v>2392.46</v>
      </c>
      <c r="S32" s="2">
        <f>356*(7.43)</f>
        <v>2645.08</v>
      </c>
      <c r="T32" s="2">
        <f>97*(7.43)</f>
        <v>720.70999999999992</v>
      </c>
      <c r="U32" s="2">
        <f>391*(7.43)</f>
        <v>2905.13</v>
      </c>
      <c r="V32" s="2">
        <f>320*(7.43)</f>
        <v>2377.6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2:87" x14ac:dyDescent="0.25">
      <c r="B33" s="1" t="s">
        <v>5</v>
      </c>
      <c r="C33" s="2">
        <f>230*(7.43)</f>
        <v>1708.8999999999999</v>
      </c>
      <c r="D33" s="2">
        <f>403*(7.43)</f>
        <v>2994.29</v>
      </c>
      <c r="E33" s="2">
        <f>142*(7.43)</f>
        <v>1055.06</v>
      </c>
      <c r="F33" s="2">
        <f>159*(7.43)</f>
        <v>1181.3699999999999</v>
      </c>
      <c r="G33" s="2">
        <f>288*(7.43)</f>
        <v>2139.84</v>
      </c>
      <c r="H33" s="2">
        <f>0*(7.43)</f>
        <v>0</v>
      </c>
      <c r="I33" s="2">
        <f>421*(7.43)</f>
        <v>3128.0299999999997</v>
      </c>
      <c r="J33" s="2">
        <f>287*(7.43)</f>
        <v>2132.41</v>
      </c>
      <c r="K33" s="2">
        <f>225*(7.43)</f>
        <v>1671.75</v>
      </c>
      <c r="L33" s="2">
        <f>355*(7.43)</f>
        <v>2637.65</v>
      </c>
      <c r="M33" s="2">
        <f>279*(7.43)</f>
        <v>2072.9699999999998</v>
      </c>
      <c r="N33" s="2">
        <f>203*(7.43)</f>
        <v>1508.29</v>
      </c>
      <c r="O33" s="2">
        <f>209*(7.43)</f>
        <v>1552.87</v>
      </c>
      <c r="P33" s="2">
        <f>255*(7.43)</f>
        <v>1894.6499999999999</v>
      </c>
      <c r="Q33" s="2">
        <f>171*(7.43)</f>
        <v>1270.53</v>
      </c>
      <c r="R33" s="2">
        <f>577*(7.43)</f>
        <v>4287.1099999999997</v>
      </c>
      <c r="S33" s="2">
        <f>611*(7.43)</f>
        <v>4539.7299999999996</v>
      </c>
      <c r="T33" s="2">
        <f>343*(7.43)</f>
        <v>2548.4899999999998</v>
      </c>
      <c r="U33" s="2">
        <f>254*(7.43)</f>
        <v>1887.22</v>
      </c>
      <c r="V33" s="2">
        <f>198*(7.43)</f>
        <v>1471.1399999999999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2:87" x14ac:dyDescent="0.25">
      <c r="B34" s="1" t="s">
        <v>6</v>
      </c>
      <c r="C34" s="2">
        <f>214*(7.43)</f>
        <v>1590.02</v>
      </c>
      <c r="D34" s="2">
        <f>427*(7.43)</f>
        <v>3172.6099999999997</v>
      </c>
      <c r="E34" s="2">
        <f>305*(7.43)</f>
        <v>2266.15</v>
      </c>
      <c r="F34" s="2">
        <f>307*(7.43)</f>
        <v>2281.0099999999998</v>
      </c>
      <c r="G34" s="2">
        <f>173*(7.43)</f>
        <v>1285.3899999999999</v>
      </c>
      <c r="H34" s="2">
        <f>421*(7.43)</f>
        <v>3128.0299999999997</v>
      </c>
      <c r="I34" s="2">
        <f>0*(7.43)</f>
        <v>0</v>
      </c>
      <c r="J34" s="2">
        <f>135*(7.43)</f>
        <v>1003.05</v>
      </c>
      <c r="K34" s="2">
        <f>328*(7.43)</f>
        <v>2437.04</v>
      </c>
      <c r="L34" s="2">
        <f>472*(7.43)</f>
        <v>3506.96</v>
      </c>
      <c r="M34" s="2">
        <f>166*(7.43)</f>
        <v>1233.3799999999999</v>
      </c>
      <c r="N34" s="2">
        <f>367*(7.43)</f>
        <v>2726.81</v>
      </c>
      <c r="O34" s="2">
        <f>292*(7.43)</f>
        <v>2169.56</v>
      </c>
      <c r="P34" s="2">
        <f>260*(7.43)</f>
        <v>1931.8</v>
      </c>
      <c r="Q34" s="2">
        <f>288*(7.43)</f>
        <v>2139.84</v>
      </c>
      <c r="R34" s="2">
        <f>257*(7.43)</f>
        <v>1909.51</v>
      </c>
      <c r="S34" s="2">
        <f>305*(7.43)</f>
        <v>2266.15</v>
      </c>
      <c r="T34" s="2">
        <f>281*(7.43)</f>
        <v>2087.83</v>
      </c>
      <c r="U34" s="2">
        <f>547*(7.43)</f>
        <v>4064.21</v>
      </c>
      <c r="V34" s="2">
        <f>476*(7.43)</f>
        <v>3536.68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2:87" x14ac:dyDescent="0.25">
      <c r="B35" s="1" t="s">
        <v>7</v>
      </c>
      <c r="C35" s="2">
        <f>136*(7.43)</f>
        <v>1010.48</v>
      </c>
      <c r="D35" s="2">
        <f>413*(7.43)</f>
        <v>3068.5899999999997</v>
      </c>
      <c r="E35" s="2">
        <f>227*(7.43)</f>
        <v>1686.61</v>
      </c>
      <c r="F35" s="2">
        <f>208*(7.43)</f>
        <v>1545.44</v>
      </c>
      <c r="G35" s="2">
        <f>150*(7.43)</f>
        <v>1114.5</v>
      </c>
      <c r="H35" s="2">
        <f>287*(7.43)</f>
        <v>2132.41</v>
      </c>
      <c r="I35" s="2">
        <f>135*(7.43)</f>
        <v>1003.05</v>
      </c>
      <c r="J35" s="2">
        <f>0*(7.43)</f>
        <v>0</v>
      </c>
      <c r="K35" s="2">
        <f>305*(7.43)</f>
        <v>2266.15</v>
      </c>
      <c r="L35" s="2">
        <f>449*(7.43)</f>
        <v>3336.0699999999997</v>
      </c>
      <c r="M35" s="2">
        <f>89*(7.43)</f>
        <v>661.27</v>
      </c>
      <c r="N35" s="2">
        <f>344*(7.43)</f>
        <v>2555.92</v>
      </c>
      <c r="O35" s="2">
        <f>269*(7.43)</f>
        <v>1998.6699999999998</v>
      </c>
      <c r="P35" s="2">
        <f>237*(7.43)</f>
        <v>1760.9099999999999</v>
      </c>
      <c r="Q35" s="2">
        <f>265*(7.43)</f>
        <v>1968.9499999999998</v>
      </c>
      <c r="R35" s="2">
        <f>362*(7.43)</f>
        <v>2689.66</v>
      </c>
      <c r="S35" s="2">
        <f>396*(7.43)</f>
        <v>2942.2799999999997</v>
      </c>
      <c r="T35" s="2">
        <f>270*(7.43)</f>
        <v>2006.1</v>
      </c>
      <c r="U35" s="2">
        <f>469*(7.43)</f>
        <v>3484.67</v>
      </c>
      <c r="V35" s="2">
        <f>399*(7.43)</f>
        <v>2964.5699999999997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2:87" x14ac:dyDescent="0.25">
      <c r="B36" s="1" t="s">
        <v>8</v>
      </c>
      <c r="C36" s="2">
        <f>177*(7.43)</f>
        <v>1315.11</v>
      </c>
      <c r="D36" s="2">
        <f>214*(7.43)</f>
        <v>1590.02</v>
      </c>
      <c r="E36" s="2">
        <f>86*(7.43)</f>
        <v>638.98</v>
      </c>
      <c r="F36" s="2">
        <f>130*(7.43)</f>
        <v>965.9</v>
      </c>
      <c r="G36" s="2">
        <f>157*(7.43)</f>
        <v>1166.51</v>
      </c>
      <c r="H36" s="2">
        <f>225*(7.43)</f>
        <v>1671.75</v>
      </c>
      <c r="I36" s="2">
        <f>328*(7.43)</f>
        <v>2437.04</v>
      </c>
      <c r="J36" s="2">
        <f>305*(7.43)</f>
        <v>2266.15</v>
      </c>
      <c r="K36" s="2">
        <f>0*(7.43)</f>
        <v>0</v>
      </c>
      <c r="L36" s="2">
        <f>189*(7.43)</f>
        <v>1404.27</v>
      </c>
      <c r="M36" s="2">
        <f>215*(7.43)</f>
        <v>1597.45</v>
      </c>
      <c r="N36" s="2">
        <f>39*(7.43)</f>
        <v>289.77</v>
      </c>
      <c r="O36" s="2">
        <f>38*(7.43)</f>
        <v>282.33999999999997</v>
      </c>
      <c r="P36" s="2">
        <f>84*(7.43)</f>
        <v>624.12</v>
      </c>
      <c r="Q36" s="2">
        <f>107*(7.43)</f>
        <v>795.01</v>
      </c>
      <c r="R36" s="2">
        <f>447*(7.43)</f>
        <v>3321.21</v>
      </c>
      <c r="S36" s="2">
        <f>452*(7.43)</f>
        <v>3358.3599999999997</v>
      </c>
      <c r="T36" s="2">
        <f>211*(7.43)</f>
        <v>1567.73</v>
      </c>
      <c r="U36" s="2">
        <f>221*(7.43)</f>
        <v>1642.03</v>
      </c>
      <c r="V36" s="2">
        <f>150*(7.43)</f>
        <v>1114.5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2:87" x14ac:dyDescent="0.25">
      <c r="B37" s="1" t="s">
        <v>9</v>
      </c>
      <c r="C37" s="2">
        <f>360*(7.43)</f>
        <v>2674.7999999999997</v>
      </c>
      <c r="D37" s="2">
        <f>36*(7.43)</f>
        <v>267.48</v>
      </c>
      <c r="E37" s="2">
        <f>274*(7.43)</f>
        <v>2035.82</v>
      </c>
      <c r="F37" s="2">
        <f>319*(7.43)</f>
        <v>2370.17</v>
      </c>
      <c r="G37" s="2">
        <f>301*(7.43)</f>
        <v>2236.4299999999998</v>
      </c>
      <c r="H37" s="2">
        <f>355*(7.43)</f>
        <v>2637.65</v>
      </c>
      <c r="I37" s="2">
        <f>472*(7.43)</f>
        <v>3506.96</v>
      </c>
      <c r="J37" s="2">
        <f>449*(7.43)</f>
        <v>3336.0699999999997</v>
      </c>
      <c r="K37" s="2">
        <f>189*(7.43)</f>
        <v>1404.27</v>
      </c>
      <c r="L37" s="2">
        <f>0*(7.43)</f>
        <v>0</v>
      </c>
      <c r="M37" s="2">
        <f>350*(7.43)</f>
        <v>2600.5</v>
      </c>
      <c r="N37" s="2">
        <f>153*(7.43)</f>
        <v>1136.79</v>
      </c>
      <c r="O37" s="2">
        <f>232*(7.43)</f>
        <v>1723.76</v>
      </c>
      <c r="P37" s="2">
        <f>213*(7.43)</f>
        <v>1582.59</v>
      </c>
      <c r="Q37" s="2">
        <f>302*(7.43)</f>
        <v>2243.86</v>
      </c>
      <c r="R37" s="2">
        <f>361*(7.43)</f>
        <v>2682.23</v>
      </c>
      <c r="S37" s="2">
        <f>367*(7.43)</f>
        <v>2726.81</v>
      </c>
      <c r="T37" s="2">
        <f>216*(7.43)</f>
        <v>1604.8799999999999</v>
      </c>
      <c r="U37" s="2">
        <f>286*(7.43)</f>
        <v>2124.98</v>
      </c>
      <c r="V37" s="2">
        <f>223*(7.43)</f>
        <v>1656.8899999999999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</row>
    <row r="38" spans="2:87" x14ac:dyDescent="0.25">
      <c r="B38" s="1" t="s">
        <v>10</v>
      </c>
      <c r="C38" s="2">
        <f>50*(7.43)</f>
        <v>371.5</v>
      </c>
      <c r="D38" s="2">
        <f>314*(7.43)</f>
        <v>2333.02</v>
      </c>
      <c r="E38" s="2">
        <f>139*(7.43)</f>
        <v>1032.77</v>
      </c>
      <c r="F38" s="2">
        <f>141*(7.43)</f>
        <v>1047.6299999999999</v>
      </c>
      <c r="G38" s="2">
        <f>61*(7.43)</f>
        <v>453.22999999999996</v>
      </c>
      <c r="H38" s="2">
        <f>279*(7.43)</f>
        <v>2072.9699999999998</v>
      </c>
      <c r="I38" s="2">
        <f>166*(7.43)</f>
        <v>1233.3799999999999</v>
      </c>
      <c r="J38" s="2">
        <f>89*(7.43)</f>
        <v>661.27</v>
      </c>
      <c r="K38" s="2">
        <f>215*(7.43)</f>
        <v>1597.45</v>
      </c>
      <c r="L38" s="2">
        <f>350*(7.43)</f>
        <v>2600.5</v>
      </c>
      <c r="M38" s="2">
        <f>0*(7.43)</f>
        <v>0</v>
      </c>
      <c r="N38" s="2">
        <f>255*(7.43)</f>
        <v>1894.6499999999999</v>
      </c>
      <c r="O38" s="2">
        <f>180*(7.43)</f>
        <v>1337.3999999999999</v>
      </c>
      <c r="P38" s="2">
        <f>147*(7.43)</f>
        <v>1092.21</v>
      </c>
      <c r="Q38" s="2">
        <f>176*(7.43)</f>
        <v>1307.6799999999998</v>
      </c>
      <c r="R38" s="2">
        <f>327*(7.43)</f>
        <v>2429.61</v>
      </c>
      <c r="S38" s="2">
        <f>362*(7.43)</f>
        <v>2689.66</v>
      </c>
      <c r="T38" s="2">
        <f>135*(7.43)</f>
        <v>1003.05</v>
      </c>
      <c r="U38" s="2">
        <f>381*(7.43)</f>
        <v>2830.83</v>
      </c>
      <c r="V38" s="2">
        <f>310*(7.43)</f>
        <v>2303.2999999999997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</row>
    <row r="39" spans="2:87" x14ac:dyDescent="0.25">
      <c r="B39" s="1" t="s">
        <v>11</v>
      </c>
      <c r="C39" s="2">
        <f>216*(7.43)</f>
        <v>1604.8799999999999</v>
      </c>
      <c r="D39" s="2">
        <f>178*(7.43)</f>
        <v>1322.54</v>
      </c>
      <c r="E39" s="2">
        <f>125*(7.43)</f>
        <v>928.75</v>
      </c>
      <c r="F39" s="2">
        <f>196*(7.43)</f>
        <v>1456.28</v>
      </c>
      <c r="G39" s="2">
        <f>197*(7.43)</f>
        <v>1463.71</v>
      </c>
      <c r="H39" s="2">
        <f>203*(7.43)</f>
        <v>1508.29</v>
      </c>
      <c r="I39" s="2">
        <f>367*(7.43)</f>
        <v>2726.81</v>
      </c>
      <c r="J39" s="2">
        <f>344*(7.43)</f>
        <v>2555.92</v>
      </c>
      <c r="K39" s="2">
        <f>39*(7.43)</f>
        <v>289.77</v>
      </c>
      <c r="L39" s="2">
        <f>153*(7.43)</f>
        <v>1136.79</v>
      </c>
      <c r="M39" s="2">
        <f>255*(7.43)</f>
        <v>1894.6499999999999</v>
      </c>
      <c r="N39" s="2">
        <f>0*(7.43)</f>
        <v>0</v>
      </c>
      <c r="O39" s="2">
        <f>77*(7.43)</f>
        <v>572.11</v>
      </c>
      <c r="P39" s="2">
        <f>123*(7.43)</f>
        <v>913.89</v>
      </c>
      <c r="Q39" s="2">
        <f>146*(7.43)</f>
        <v>1084.78</v>
      </c>
      <c r="R39" s="2">
        <f>452*(7.43)</f>
        <v>3358.3599999999997</v>
      </c>
      <c r="S39" s="2">
        <f>458*(7.43)</f>
        <v>3402.94</v>
      </c>
      <c r="T39" s="2">
        <f>247*(7.43)</f>
        <v>1835.21</v>
      </c>
      <c r="U39" s="2">
        <f>182*(7.43)</f>
        <v>1352.26</v>
      </c>
      <c r="V39" s="2">
        <f>111*(7.43)</f>
        <v>824.73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2:87" x14ac:dyDescent="0.25">
      <c r="B40" s="1" t="s">
        <v>12</v>
      </c>
      <c r="C40" s="2">
        <f>174*(7.43)</f>
        <v>1292.82</v>
      </c>
      <c r="D40" s="2">
        <f>196*(7.43)</f>
        <v>1456.28</v>
      </c>
      <c r="E40" s="2">
        <f>69*(7.43)</f>
        <v>512.66999999999996</v>
      </c>
      <c r="F40" s="2">
        <f>114*(7.43)</f>
        <v>847.02</v>
      </c>
      <c r="G40" s="2">
        <f>122*(7.43)</f>
        <v>906.45999999999992</v>
      </c>
      <c r="H40" s="2">
        <f>209*(7.43)</f>
        <v>1552.87</v>
      </c>
      <c r="I40" s="2">
        <f>292*(7.43)</f>
        <v>2169.56</v>
      </c>
      <c r="J40" s="2">
        <f>269*(7.43)</f>
        <v>1998.6699999999998</v>
      </c>
      <c r="K40" s="2">
        <f>38*(7.43)</f>
        <v>282.33999999999997</v>
      </c>
      <c r="L40" s="2">
        <f>232*(7.43)</f>
        <v>1723.76</v>
      </c>
      <c r="M40" s="2">
        <f>180*(7.43)</f>
        <v>1337.3999999999999</v>
      </c>
      <c r="N40" s="2">
        <f>77*(7.43)</f>
        <v>572.11</v>
      </c>
      <c r="O40" s="2">
        <f>0*(7.43)</f>
        <v>0</v>
      </c>
      <c r="P40" s="2">
        <f>48*(7.43)</f>
        <v>356.64</v>
      </c>
      <c r="Q40" s="2">
        <f>72*(7.43)</f>
        <v>534.96</v>
      </c>
      <c r="R40" s="2">
        <f>412*(7.43)</f>
        <v>3061.16</v>
      </c>
      <c r="S40" s="2">
        <f>417*(7.43)</f>
        <v>3098.31</v>
      </c>
      <c r="T40" s="2">
        <f>176*(7.43)</f>
        <v>1307.6799999999998</v>
      </c>
      <c r="U40" s="2">
        <f>311*(7.43)</f>
        <v>2310.73</v>
      </c>
      <c r="V40" s="2">
        <f>240*(7.43)</f>
        <v>1783.1999999999998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</row>
    <row r="41" spans="2:87" x14ac:dyDescent="0.25">
      <c r="B41" s="1" t="s">
        <v>13</v>
      </c>
      <c r="C41" s="2">
        <f>148*(7.43)</f>
        <v>1099.6399999999999</v>
      </c>
      <c r="D41" s="2">
        <f>177*(7.43)</f>
        <v>1315.11</v>
      </c>
      <c r="E41" s="2">
        <f>115*(7.43)</f>
        <v>854.44999999999993</v>
      </c>
      <c r="F41" s="2">
        <f>154*(7.43)</f>
        <v>1144.22</v>
      </c>
      <c r="G41" s="2">
        <f>89*(7.43)</f>
        <v>661.27</v>
      </c>
      <c r="H41" s="2">
        <f>255*(7.43)</f>
        <v>1894.6499999999999</v>
      </c>
      <c r="I41" s="2">
        <f>260*(7.43)</f>
        <v>1931.8</v>
      </c>
      <c r="J41" s="2">
        <f>237*(7.43)</f>
        <v>1760.9099999999999</v>
      </c>
      <c r="K41" s="2">
        <f>84*(7.43)</f>
        <v>624.12</v>
      </c>
      <c r="L41" s="2">
        <f>213*(7.43)</f>
        <v>1582.59</v>
      </c>
      <c r="M41" s="2">
        <f>147*(7.43)</f>
        <v>1092.21</v>
      </c>
      <c r="N41" s="2">
        <f>123*(7.43)</f>
        <v>913.89</v>
      </c>
      <c r="O41" s="2">
        <f>48*(7.43)</f>
        <v>356.64</v>
      </c>
      <c r="P41" s="2">
        <f>0*(7.43)</f>
        <v>0</v>
      </c>
      <c r="Q41" s="2">
        <f>101*(7.43)</f>
        <v>750.43</v>
      </c>
      <c r="R41" s="2">
        <f>363*(7.43)</f>
        <v>2697.0899999999997</v>
      </c>
      <c r="S41" s="2">
        <f>369*(7.43)</f>
        <v>2741.67</v>
      </c>
      <c r="T41" s="2">
        <f>98*(7.43)</f>
        <v>728.14</v>
      </c>
      <c r="U41" s="2">
        <f>305*(7.43)</f>
        <v>2266.15</v>
      </c>
      <c r="V41" s="2">
        <f>234*(7.43)</f>
        <v>1738.62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</row>
    <row r="42" spans="2:87" x14ac:dyDescent="0.25">
      <c r="B42" s="1" t="s">
        <v>14</v>
      </c>
      <c r="C42" s="2">
        <f>100*(7.43)</f>
        <v>743</v>
      </c>
      <c r="D42" s="2">
        <f>265*(7.43)</f>
        <v>1968.9499999999998</v>
      </c>
      <c r="E42" s="2">
        <f>32*(7.43)</f>
        <v>237.76</v>
      </c>
      <c r="F42" s="2">
        <f>53*(7.43)</f>
        <v>393.78999999999996</v>
      </c>
      <c r="G42" s="2">
        <f>118*(7.43)</f>
        <v>876.74</v>
      </c>
      <c r="H42" s="2">
        <f>171*(7.43)</f>
        <v>1270.53</v>
      </c>
      <c r="I42" s="2">
        <f>288*(7.43)</f>
        <v>2139.84</v>
      </c>
      <c r="J42" s="2">
        <f>265*(7.43)</f>
        <v>1968.9499999999998</v>
      </c>
      <c r="K42" s="2">
        <f>107*(7.43)</f>
        <v>795.01</v>
      </c>
      <c r="L42" s="2">
        <f>302*(7.43)</f>
        <v>2243.86</v>
      </c>
      <c r="M42" s="2">
        <f>176*(7.43)</f>
        <v>1307.6799999999998</v>
      </c>
      <c r="N42" s="2">
        <f>146*(7.43)</f>
        <v>1084.78</v>
      </c>
      <c r="O42" s="2">
        <f>72*(7.43)</f>
        <v>534.96</v>
      </c>
      <c r="P42" s="2">
        <f>101*(7.43)</f>
        <v>750.43</v>
      </c>
      <c r="Q42" s="2">
        <f>0*(7.43)</f>
        <v>0</v>
      </c>
      <c r="R42" s="2">
        <f>406*(7.43)</f>
        <v>3016.58</v>
      </c>
      <c r="S42" s="2">
        <f>440*(7.43)</f>
        <v>3269.2</v>
      </c>
      <c r="T42" s="2">
        <f>171*(7.43)</f>
        <v>1270.53</v>
      </c>
      <c r="U42" s="2">
        <f>273*(7.43)</f>
        <v>2028.3899999999999</v>
      </c>
      <c r="V42" s="2">
        <f>202*(7.43)</f>
        <v>1500.86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</row>
    <row r="43" spans="2:87" x14ac:dyDescent="0.25">
      <c r="B43" s="1" t="s">
        <v>15</v>
      </c>
      <c r="C43" s="2">
        <f>375*(7.43)</f>
        <v>2786.25</v>
      </c>
      <c r="D43" s="2">
        <f>336*(7.43)</f>
        <v>2496.48</v>
      </c>
      <c r="E43" s="2">
        <f>437*(7.43)</f>
        <v>3246.91</v>
      </c>
      <c r="F43" s="2">
        <f>460*(7.43)</f>
        <v>3417.7999999999997</v>
      </c>
      <c r="G43" s="2">
        <f>322*(7.43)</f>
        <v>2392.46</v>
      </c>
      <c r="H43" s="2">
        <f>577*(7.43)</f>
        <v>4287.1099999999997</v>
      </c>
      <c r="I43" s="2">
        <f>257*(7.43)</f>
        <v>1909.51</v>
      </c>
      <c r="J43" s="2">
        <f>362*(7.43)</f>
        <v>2689.66</v>
      </c>
      <c r="K43" s="2">
        <f>447*(7.43)</f>
        <v>3321.21</v>
      </c>
      <c r="L43" s="2">
        <f>361*(7.43)</f>
        <v>2682.23</v>
      </c>
      <c r="M43" s="2">
        <f>327*(7.43)</f>
        <v>2429.61</v>
      </c>
      <c r="N43" s="2">
        <f>452*(7.43)</f>
        <v>3358.3599999999997</v>
      </c>
      <c r="O43" s="2">
        <f>412*(7.43)</f>
        <v>3061.16</v>
      </c>
      <c r="P43" s="2">
        <f>363*(7.43)</f>
        <v>2697.0899999999997</v>
      </c>
      <c r="Q43" s="2">
        <f>406*(7.43)</f>
        <v>3016.58</v>
      </c>
      <c r="R43" s="2">
        <f>0*(7.43)</f>
        <v>0</v>
      </c>
      <c r="S43" s="2">
        <f>38*(7.43)</f>
        <v>282.33999999999997</v>
      </c>
      <c r="T43" s="2">
        <f>226*(7.43)</f>
        <v>1679.1799999999998</v>
      </c>
      <c r="U43" s="2">
        <f>663*(7.43)</f>
        <v>4926.09</v>
      </c>
      <c r="V43" s="2">
        <f>590*(7.43)</f>
        <v>4383.7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</row>
    <row r="44" spans="2:87" x14ac:dyDescent="0.25">
      <c r="B44" s="1" t="s">
        <v>16</v>
      </c>
      <c r="C44" s="2">
        <f>409*(7.43)</f>
        <v>3038.87</v>
      </c>
      <c r="D44" s="2">
        <f>342*(7.43)</f>
        <v>2541.06</v>
      </c>
      <c r="E44" s="2">
        <f>472*(7.43)</f>
        <v>3506.96</v>
      </c>
      <c r="F44" s="2">
        <f>494*(7.43)</f>
        <v>3670.42</v>
      </c>
      <c r="G44" s="2">
        <f>356*(7.43)</f>
        <v>2645.08</v>
      </c>
      <c r="H44" s="2">
        <f>611*(7.43)</f>
        <v>4539.7299999999996</v>
      </c>
      <c r="I44" s="2">
        <f>305*(7.43)</f>
        <v>2266.15</v>
      </c>
      <c r="J44" s="2">
        <f>396*(7.43)</f>
        <v>2942.2799999999997</v>
      </c>
      <c r="K44" s="2">
        <f>452*(7.43)</f>
        <v>3358.3599999999997</v>
      </c>
      <c r="L44" s="2">
        <f>367*(7.43)</f>
        <v>2726.81</v>
      </c>
      <c r="M44" s="2">
        <f>362*(7.43)</f>
        <v>2689.66</v>
      </c>
      <c r="N44" s="2">
        <f>458*(7.43)</f>
        <v>3402.94</v>
      </c>
      <c r="O44" s="2">
        <f>417*(7.43)</f>
        <v>3098.31</v>
      </c>
      <c r="P44" s="2">
        <f>369*(7.43)</f>
        <v>2741.67</v>
      </c>
      <c r="Q44" s="2">
        <f>440*(7.43)</f>
        <v>3269.2</v>
      </c>
      <c r="R44" s="2">
        <f>38*(7.43)</f>
        <v>282.33999999999997</v>
      </c>
      <c r="S44" s="2">
        <f>0*(7.43)</f>
        <v>0</v>
      </c>
      <c r="T44" s="2">
        <f>268*(7.43)</f>
        <v>1991.24</v>
      </c>
      <c r="U44" s="2">
        <f>668*(7.43)</f>
        <v>4963.24</v>
      </c>
      <c r="V44" s="2">
        <f>595*(7.43)</f>
        <v>4420.8499999999995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</row>
    <row r="45" spans="2:87" x14ac:dyDescent="0.25">
      <c r="B45" s="1" t="s">
        <v>17</v>
      </c>
      <c r="C45" s="2">
        <f>218*(7.43)</f>
        <v>1619.74</v>
      </c>
      <c r="D45" s="2">
        <f>180*(7.43)</f>
        <v>1337.3999999999999</v>
      </c>
      <c r="E45" s="2">
        <f>203*(7.43)</f>
        <v>1508.29</v>
      </c>
      <c r="F45" s="2">
        <f>225*(7.43)</f>
        <v>1671.75</v>
      </c>
      <c r="G45" s="2">
        <f>97*(7.43)</f>
        <v>720.70999999999992</v>
      </c>
      <c r="H45" s="2">
        <f>343*(7.43)</f>
        <v>2548.4899999999998</v>
      </c>
      <c r="I45" s="2">
        <f>281*(7.43)</f>
        <v>2087.83</v>
      </c>
      <c r="J45" s="2">
        <f>270*(7.43)</f>
        <v>2006.1</v>
      </c>
      <c r="K45" s="2">
        <f>211*(7.43)</f>
        <v>1567.73</v>
      </c>
      <c r="L45" s="2">
        <f>216*(7.43)</f>
        <v>1604.8799999999999</v>
      </c>
      <c r="M45" s="2">
        <f>135*(7.43)</f>
        <v>1003.05</v>
      </c>
      <c r="N45" s="2">
        <f>247*(7.43)</f>
        <v>1835.21</v>
      </c>
      <c r="O45" s="2">
        <f>176*(7.43)</f>
        <v>1307.6799999999998</v>
      </c>
      <c r="P45" s="2">
        <f>98*(7.43)</f>
        <v>728.14</v>
      </c>
      <c r="Q45" s="2">
        <f>171*(7.43)</f>
        <v>1270.53</v>
      </c>
      <c r="R45" s="2">
        <f>226*(7.43)</f>
        <v>1679.1799999999998</v>
      </c>
      <c r="S45" s="2">
        <f>268*(7.43)</f>
        <v>1991.24</v>
      </c>
      <c r="T45" s="2">
        <f>0*(7.43)</f>
        <v>0</v>
      </c>
      <c r="U45" s="2">
        <f>445*(7.43)</f>
        <v>3306.35</v>
      </c>
      <c r="V45" s="2">
        <f>374*(7.43)</f>
        <v>2778.8199999999997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2:87" x14ac:dyDescent="0.25">
      <c r="B46" s="1" t="s">
        <v>18</v>
      </c>
      <c r="C46" s="2">
        <f>333*(7.43)</f>
        <v>2474.19</v>
      </c>
      <c r="D46" s="2">
        <f>312*(7.43)</f>
        <v>2318.16</v>
      </c>
      <c r="E46" s="2">
        <f>244*(7.43)</f>
        <v>1812.9199999999998</v>
      </c>
      <c r="F46" s="2">
        <f>261*(7.43)</f>
        <v>1939.23</v>
      </c>
      <c r="G46" s="2">
        <f>391*(7.43)</f>
        <v>2905.13</v>
      </c>
      <c r="H46" s="2">
        <f>254*(7.43)</f>
        <v>1887.22</v>
      </c>
      <c r="I46" s="2">
        <f>547*(7.43)</f>
        <v>4064.21</v>
      </c>
      <c r="J46" s="2">
        <f>469*(7.43)</f>
        <v>3484.67</v>
      </c>
      <c r="K46" s="2">
        <f>221*(7.43)</f>
        <v>1642.03</v>
      </c>
      <c r="L46" s="2">
        <f>286*(7.43)</f>
        <v>2124.98</v>
      </c>
      <c r="M46" s="2">
        <f>381*(7.43)</f>
        <v>2830.83</v>
      </c>
      <c r="N46" s="2">
        <f>182*(7.43)</f>
        <v>1352.26</v>
      </c>
      <c r="O46" s="2">
        <f>311*(7.43)</f>
        <v>2310.73</v>
      </c>
      <c r="P46" s="2">
        <f>305*(7.43)</f>
        <v>2266.15</v>
      </c>
      <c r="Q46" s="2">
        <f>273*(7.43)</f>
        <v>2028.3899999999999</v>
      </c>
      <c r="R46" s="2">
        <f>663*(7.43)</f>
        <v>4926.09</v>
      </c>
      <c r="S46" s="2">
        <f>668*(7.43)</f>
        <v>4963.24</v>
      </c>
      <c r="T46" s="2">
        <f>445*(7.43)</f>
        <v>3306.35</v>
      </c>
      <c r="U46" s="2">
        <f>0*(7.43)</f>
        <v>0</v>
      </c>
      <c r="V46" s="2">
        <f>71*(7.43)</f>
        <v>527.53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2:87" x14ac:dyDescent="0.25">
      <c r="B47" s="1" t="s">
        <v>19</v>
      </c>
      <c r="C47" s="2">
        <f>262*(7.43)</f>
        <v>1946.6599999999999</v>
      </c>
      <c r="D47" s="2">
        <f>239*(7.43)</f>
        <v>1775.77</v>
      </c>
      <c r="E47" s="2">
        <f>174*(7.43)</f>
        <v>1292.82</v>
      </c>
      <c r="F47" s="2">
        <f>191*(7.43)</f>
        <v>1419.1299999999999</v>
      </c>
      <c r="G47" s="2">
        <f>320*(7.43)</f>
        <v>2377.6</v>
      </c>
      <c r="H47" s="2">
        <f>198*(7.43)</f>
        <v>1471.1399999999999</v>
      </c>
      <c r="I47" s="2">
        <f>476*(7.43)</f>
        <v>3536.68</v>
      </c>
      <c r="J47" s="2">
        <f>399*(7.43)</f>
        <v>2964.5699999999997</v>
      </c>
      <c r="K47" s="2">
        <f>150*(7.43)</f>
        <v>1114.5</v>
      </c>
      <c r="L47" s="2">
        <f>223*(7.43)</f>
        <v>1656.8899999999999</v>
      </c>
      <c r="M47" s="2">
        <f>310*(7.43)</f>
        <v>2303.2999999999997</v>
      </c>
      <c r="N47" s="2">
        <f>111*(7.43)</f>
        <v>824.73</v>
      </c>
      <c r="O47" s="2">
        <f>240*(7.43)</f>
        <v>1783.1999999999998</v>
      </c>
      <c r="P47" s="2">
        <f>234*(7.43)</f>
        <v>1738.62</v>
      </c>
      <c r="Q47" s="2">
        <f>202*(7.43)</f>
        <v>1500.86</v>
      </c>
      <c r="R47" s="2">
        <f>590*(7.43)</f>
        <v>4383.7</v>
      </c>
      <c r="S47" s="2">
        <f>595*(7.43)</f>
        <v>4420.8499999999995</v>
      </c>
      <c r="T47" s="2">
        <f>374*(7.43)</f>
        <v>2778.8199999999997</v>
      </c>
      <c r="U47" s="2">
        <f>71*(7.43)</f>
        <v>527.53</v>
      </c>
      <c r="V47" s="2">
        <f>0*(7.43)</f>
        <v>0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2:87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2:87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</row>
    <row r="50" spans="2:87" x14ac:dyDescent="0.2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</row>
    <row r="51" spans="2:87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</row>
    <row r="52" spans="2:87" x14ac:dyDescent="0.2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</row>
    <row r="53" spans="2:87" x14ac:dyDescent="0.25">
      <c r="B53" s="1"/>
      <c r="C53" s="1" t="s">
        <v>0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7</v>
      </c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  <c r="P53" s="1" t="s">
        <v>13</v>
      </c>
      <c r="Q53" s="1" t="s">
        <v>14</v>
      </c>
      <c r="R53" s="1" t="s">
        <v>15</v>
      </c>
      <c r="S53" s="1" t="s">
        <v>16</v>
      </c>
      <c r="T53" s="1" t="s">
        <v>17</v>
      </c>
      <c r="U53" s="1" t="s">
        <v>18</v>
      </c>
      <c r="V53" s="1" t="s">
        <v>19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</row>
    <row r="54" spans="2:87" x14ac:dyDescent="0.25">
      <c r="B54" t="s">
        <v>40</v>
      </c>
      <c r="C54" s="2">
        <v>80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</row>
    <row r="55" spans="2:87" x14ac:dyDescent="0.25">
      <c r="B55" t="s">
        <v>41</v>
      </c>
      <c r="C55" s="2">
        <v>190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</row>
    <row r="56" spans="2:87" x14ac:dyDescent="0.25">
      <c r="B56" t="s">
        <v>42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</row>
    <row r="57" spans="2:87" x14ac:dyDescent="0.25">
      <c r="B57" t="s">
        <v>43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</row>
    <row r="58" spans="2:87" x14ac:dyDescent="0.25">
      <c r="B58" t="s">
        <v>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</row>
    <row r="59" spans="2:87" x14ac:dyDescent="0.25">
      <c r="B59" t="s">
        <v>45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</row>
    <row r="60" spans="2:87" x14ac:dyDescent="0.25">
      <c r="B60" s="1" t="s">
        <v>46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</row>
    <row r="61" spans="2:87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</row>
    <row r="62" spans="2:87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</row>
    <row r="63" spans="2:87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</row>
    <row r="64" spans="2:87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</row>
    <row r="65" spans="2:87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</row>
    <row r="66" spans="2:87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</row>
    <row r="67" spans="2:87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</row>
    <row r="68" spans="2:87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</row>
    <row r="69" spans="2:87" x14ac:dyDescent="0.2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</row>
    <row r="70" spans="2:87" x14ac:dyDescent="0.2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</row>
    <row r="71" spans="2:87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</row>
    <row r="72" spans="2:87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</row>
    <row r="73" spans="2:87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</row>
    <row r="74" spans="2:87" x14ac:dyDescent="0.2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</row>
    <row r="75" spans="2:87" x14ac:dyDescent="0.2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</row>
    <row r="76" spans="2:87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</row>
    <row r="77" spans="2:87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</row>
    <row r="78" spans="2:87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</row>
    <row r="79" spans="2:87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</row>
    <row r="80" spans="2:87" x14ac:dyDescent="0.2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</row>
    <row r="81" spans="2:87" x14ac:dyDescent="0.2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</row>
    <row r="82" spans="2:87" x14ac:dyDescent="0.2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</row>
    <row r="83" spans="2:87" x14ac:dyDescent="0.2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</row>
    <row r="84" spans="2:87" x14ac:dyDescent="0.2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</row>
    <row r="85" spans="2:87" x14ac:dyDescent="0.2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</row>
    <row r="86" spans="2:87" x14ac:dyDescent="0.2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</row>
    <row r="87" spans="2:87" x14ac:dyDescent="0.2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</row>
    <row r="88" spans="2:87" x14ac:dyDescent="0.2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</row>
    <row r="89" spans="2:87" x14ac:dyDescent="0.2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</row>
  </sheetData>
  <mergeCells count="5">
    <mergeCell ref="A2:A3"/>
    <mergeCell ref="B2:B3"/>
    <mergeCell ref="D2:D3"/>
    <mergeCell ref="G2:G3"/>
    <mergeCell ref="I2:I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&amp;L&amp;1#&amp;"Arial"&amp;7&amp;K000000***Este documento está clasificado como PUBLICO por TELEFÓNICA. ***This document is classified as PUBLIC by TELEFÓNICA.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Resumo</vt:lpstr>
      <vt:lpstr>Retorno</vt:lpstr>
      <vt:lpstr>Análise Final</vt:lpstr>
      <vt:lpstr>Análise das Rotas</vt:lpstr>
      <vt:lpstr>Distância</vt:lpstr>
      <vt:lpstr>Combustível</vt:lpstr>
      <vt:lpstr>Alim e Hosp</vt:lpstr>
      <vt:lpstr>Trabalho Final (4)</vt:lpstr>
      <vt:lpstr>Trabalho Final (5)</vt:lpstr>
      <vt:lpstr>Trabalho Final (6)</vt:lpstr>
      <vt:lpstr>Trabalho Final (7)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Oliveira Souza</dc:creator>
  <cp:lastModifiedBy>Sergio  Gustavo Souza Guerra</cp:lastModifiedBy>
  <dcterms:created xsi:type="dcterms:W3CDTF">2021-10-25T20:28:40Z</dcterms:created>
  <dcterms:modified xsi:type="dcterms:W3CDTF">2022-05-02T22:16:55Z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bd4d2-aa7c-445f-9ef8-222ebb1d2b43_Enabled">
    <vt:lpwstr>true</vt:lpwstr>
  </property>
  <property fmtid="{D5CDD505-2E9C-101B-9397-08002B2CF9AE}" pid="3" name="MSIP_Label_e65bd4d2-aa7c-445f-9ef8-222ebb1d2b43_SetDate">
    <vt:lpwstr>2022-05-02T22:16:54Z</vt:lpwstr>
  </property>
  <property fmtid="{D5CDD505-2E9C-101B-9397-08002B2CF9AE}" pid="4" name="MSIP_Label_e65bd4d2-aa7c-445f-9ef8-222ebb1d2b43_Method">
    <vt:lpwstr>Privileged</vt:lpwstr>
  </property>
  <property fmtid="{D5CDD505-2E9C-101B-9397-08002B2CF9AE}" pid="5" name="MSIP_Label_e65bd4d2-aa7c-445f-9ef8-222ebb1d2b43_Name">
    <vt:lpwstr>e65bd4d2-aa7c-445f-9ef8-222ebb1d2b43</vt:lpwstr>
  </property>
  <property fmtid="{D5CDD505-2E9C-101B-9397-08002B2CF9AE}" pid="6" name="MSIP_Label_e65bd4d2-aa7c-445f-9ef8-222ebb1d2b43_SiteId">
    <vt:lpwstr>9744600e-3e04-492e-baa1-25ec245c6f10</vt:lpwstr>
  </property>
  <property fmtid="{D5CDD505-2E9C-101B-9397-08002B2CF9AE}" pid="7" name="MSIP_Label_e65bd4d2-aa7c-445f-9ef8-222ebb1d2b43_ActionId">
    <vt:lpwstr>b94effc3-0e8a-4c3a-b680-8b875ffddd53</vt:lpwstr>
  </property>
  <property fmtid="{D5CDD505-2E9C-101B-9397-08002B2CF9AE}" pid="8" name="MSIP_Label_e65bd4d2-aa7c-445f-9ef8-222ebb1d2b43_ContentBits">
    <vt:lpwstr>2</vt:lpwstr>
  </property>
</Properties>
</file>