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<sst xmlns="http://schemas.openxmlformats.org/spreadsheetml/2006/main" count="52" uniqueCount="50">
  <si>
    <t>Number of Flats</t>
  </si>
  <si>
    <t>Charges per flat</t>
  </si>
  <si>
    <t>Monthly Fixed Revenue</t>
  </si>
  <si>
    <t>Fixed Charges per society</t>
  </si>
  <si>
    <t>No of Monthly Visitors</t>
  </si>
  <si>
    <t>No. of Overnight visitors(3% of visitors)</t>
  </si>
  <si>
    <t>Charges per night</t>
  </si>
  <si>
    <t>Visitor Parking Reveneue(10%)</t>
  </si>
  <si>
    <t>Violators Monthly</t>
  </si>
  <si>
    <t>Fine</t>
  </si>
  <si>
    <t>Fine Revenue (10%)</t>
  </si>
  <si>
    <t>Market rate Rs 20</t>
  </si>
  <si>
    <t>Market rate Rs 50</t>
  </si>
  <si>
    <t>Slab 1</t>
  </si>
  <si>
    <t>Slab 2</t>
  </si>
  <si>
    <t xml:space="preserve">Slab 3 </t>
  </si>
  <si>
    <t>Current Societies expenditure</t>
  </si>
  <si>
    <t>Expenditure in our use case</t>
  </si>
  <si>
    <t>Savings</t>
  </si>
  <si>
    <t>Extra Profit (90% of overnight+fine)</t>
  </si>
  <si>
    <t>Total Monthly Savings for a society</t>
  </si>
  <si>
    <t>Total Revenue Monthly Per Society</t>
  </si>
  <si>
    <t>Gaurds</t>
  </si>
  <si>
    <t>Shifts</t>
  </si>
  <si>
    <t>Salary</t>
  </si>
  <si>
    <t>Security Expense</t>
  </si>
  <si>
    <t>Intercom/Logistics/Record Keeping</t>
  </si>
  <si>
    <t>Slab 3</t>
  </si>
  <si>
    <t>Old</t>
  </si>
  <si>
    <t>New(Ours)</t>
  </si>
  <si>
    <t>Rent Quarterly</t>
  </si>
  <si>
    <t>Internet/Electricity</t>
  </si>
  <si>
    <t>Fixed Exp.</t>
  </si>
  <si>
    <t>Salaries</t>
  </si>
  <si>
    <t>Rental/Internet</t>
  </si>
  <si>
    <t>IT Infrastructure/ Server cost</t>
  </si>
  <si>
    <t>Advertising/Branding</t>
  </si>
  <si>
    <t>Targeted Slab 1</t>
  </si>
  <si>
    <t>Targeted Slab 2</t>
  </si>
  <si>
    <t>Targeted Slab 3</t>
  </si>
  <si>
    <t>Total Fixed Revenue Quarterly</t>
  </si>
  <si>
    <t>Total Fixed Cost</t>
  </si>
  <si>
    <t>Profits</t>
  </si>
  <si>
    <t>Cummulative Profits</t>
  </si>
  <si>
    <t>Quarter 1</t>
  </si>
  <si>
    <t>Quarter 2</t>
  </si>
  <si>
    <t>Quarter 3</t>
  </si>
  <si>
    <t>Quarter 4</t>
  </si>
  <si>
    <t>Quarter 5</t>
  </si>
  <si>
    <t>Quarter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</si>
</sst>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1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E26442"/>
        <bgColor rgb="FFE26442"/>
      </patternFill>
    </fill>
  </fills>
  <borders count="2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top/>
      <bottom/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0" numFmtId="0" xfId="0" applyAlignment="1" applyBorder="1" applyFill="1" applyFont="1">
      <alignment shrinkToFit="0" wrapText="1"/>
    </xf>
    <xf borderId="2" fillId="2" fontId="0" numFmtId="0" xfId="0" applyAlignment="1" applyBorder="1" applyFont="1">
      <alignment shrinkToFit="0" wrapText="1"/>
    </xf>
    <xf borderId="3" fillId="3" fontId="0" numFmtId="0" xfId="0" applyAlignment="1" applyBorder="1" applyFill="1" applyFont="1">
      <alignment shrinkToFit="0" wrapText="1"/>
    </xf>
    <xf borderId="4" fillId="3" fontId="0" numFmtId="0" xfId="0" applyAlignment="1" applyBorder="1" applyFont="1">
      <alignment shrinkToFit="0" wrapText="1"/>
    </xf>
    <xf borderId="2" fillId="2" fontId="0" numFmtId="0" xfId="0" applyAlignment="1" applyBorder="1" applyFont="1">
      <alignment readingOrder="0" shrinkToFit="0" wrapText="1"/>
    </xf>
    <xf borderId="5" fillId="3" fontId="0" numFmtId="0" xfId="0" applyAlignment="1" applyBorder="1" applyFont="1">
      <alignment readingOrder="0" shrinkToFit="0" wrapText="1"/>
    </xf>
    <xf borderId="6" fillId="2" fontId="1" numFmtId="0" xfId="0" applyAlignment="1" applyBorder="1" applyFont="1">
      <alignment readingOrder="0" shrinkToFit="0" wrapText="1"/>
    </xf>
    <xf borderId="7" fillId="2" fontId="1" numFmtId="0" xfId="0" applyAlignment="1" applyBorder="1" applyFont="1">
      <alignment readingOrder="0" shrinkToFit="0" wrapText="1"/>
    </xf>
    <xf borderId="8" fillId="3" fontId="1" numFmtId="0" xfId="0" applyAlignment="1" applyBorder="1" applyFont="1">
      <alignment readingOrder="0" shrinkToFit="0" wrapText="1"/>
    </xf>
    <xf borderId="9" fillId="2" fontId="0" numFmtId="0" xfId="0" applyAlignment="1" applyBorder="1" applyFont="1">
      <alignment shrinkToFit="0" wrapText="1"/>
    </xf>
    <xf borderId="0" fillId="2" fontId="0" numFmtId="0" xfId="0" applyAlignment="1" applyFont="1">
      <alignment shrinkToFit="0" wrapText="1"/>
    </xf>
    <xf borderId="0" fillId="4" fontId="2" numFmtId="0" xfId="0" applyAlignment="1" applyFill="1" applyFont="1">
      <alignment shrinkToFit="0" wrapText="1"/>
    </xf>
    <xf borderId="10" fillId="3" fontId="0" numFmtId="0" xfId="0" applyAlignment="1" applyBorder="1" applyFont="1">
      <alignment shrinkToFit="0" wrapText="1"/>
    </xf>
    <xf borderId="11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13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14" fillId="3" fontId="1" numFmtId="0" xfId="0" applyAlignment="1" applyBorder="1" applyFont="1">
      <alignment shrinkToFit="0" wrapText="1"/>
    </xf>
    <xf borderId="11" fillId="3" fontId="0" numFmtId="0" xfId="0" applyAlignment="1" applyBorder="1" applyFont="1">
      <alignment readingOrder="0" shrinkToFit="0" wrapText="1"/>
    </xf>
    <xf borderId="0" fillId="2" fontId="0" numFmtId="0" xfId="0" applyAlignment="1" applyFont="1">
      <alignment readingOrder="0" shrinkToFit="0" wrapText="1"/>
    </xf>
    <xf borderId="13" fillId="2" fontId="1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15" fillId="2" fontId="0" numFmtId="0" xfId="0" applyAlignment="1" applyBorder="1" applyFont="1">
      <alignment shrinkToFit="0" wrapText="1"/>
    </xf>
    <xf borderId="16" fillId="2" fontId="0" numFmtId="0" xfId="0" applyAlignment="1" applyBorder="1" applyFont="1">
      <alignment shrinkToFit="0" wrapText="1"/>
    </xf>
    <xf borderId="17" fillId="3" fontId="0" numFmtId="0" xfId="0" applyAlignment="1" applyBorder="1" applyFont="1">
      <alignment shrinkToFit="0" wrapText="1"/>
    </xf>
    <xf borderId="18" fillId="3" fontId="0" numFmtId="0" xfId="0" applyAlignment="1" applyBorder="1" applyFont="1">
      <alignment readingOrder="0" shrinkToFit="0" wrapText="1"/>
    </xf>
    <xf borderId="16" fillId="2" fontId="0" numFmtId="0" xfId="0" applyAlignment="1" applyBorder="1" applyFont="1">
      <alignment readingOrder="0" shrinkToFit="0" wrapText="1"/>
    </xf>
    <xf borderId="19" fillId="2" fontId="1" numFmtId="0" xfId="0" applyAlignment="1" applyBorder="1" applyFont="1">
      <alignment readingOrder="0" shrinkToFit="0" wrapText="1"/>
    </xf>
    <xf borderId="20" fillId="2" fontId="1" numFmtId="0" xfId="0" applyAlignment="1" applyBorder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7" fontId="1" numFmtId="0" xfId="0" applyAlignment="1" applyFill="1" applyFont="1">
      <alignment shrinkToFit="0" wrapText="1"/>
    </xf>
    <xf borderId="0" fillId="7" fontId="0" numFmtId="0" xfId="0" applyAlignment="1" applyFont="1">
      <alignment readingOrder="0"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6" fontId="1" numFmtId="0" xfId="0" applyFont="1"/>
    <xf borderId="0" fillId="7" fontId="1" numFmtId="0" xfId="0" applyAlignment="1" applyFont="1">
      <alignment readingOrder="0" shrinkToFit="0" wrapText="1"/>
    </xf>
    <xf borderId="0" fillId="7" fontId="0" numFmtId="0" xfId="0" applyAlignment="1" applyFont="1">
      <alignment shrinkToFit="0" wrapText="1"/>
    </xf>
    <xf borderId="0" fillId="8" fontId="1" numFmtId="0" xfId="0" applyAlignment="1" applyFill="1" applyFont="1">
      <alignment shrinkToFit="0" wrapText="1"/>
    </xf>
    <xf borderId="0" fillId="8" fontId="1" numFmtId="0" xfId="0" applyAlignment="1" applyFont="1">
      <alignment readingOrder="0" shrinkToFit="0" wrapText="1"/>
    </xf>
    <xf borderId="0" fillId="9" fontId="1" numFmtId="0" xfId="0" applyAlignment="1" applyFill="1" applyFont="1">
      <alignment readingOrder="0" shrinkToFit="0" wrapText="1"/>
    </xf>
    <xf borderId="0" fillId="10" fontId="1" numFmtId="0" xfId="0" applyAlignment="1" applyFill="1" applyFont="1">
      <alignment shrinkToFit="0" wrapText="1"/>
    </xf>
    <xf borderId="0" fillId="3" fontId="1" numFmtId="0" xfId="0" applyAlignment="1" applyFont="1">
      <alignment shrinkToFit="0" wrapText="1"/>
    </xf>
    <xf borderId="0" fillId="1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5.43"/>
    <col customWidth="1" min="3" max="3" width="16.86"/>
    <col customWidth="1" min="4" max="4" width="22.57"/>
    <col customWidth="1" min="5" max="5" width="19.29"/>
    <col customWidth="1" min="6" max="6" width="17.57"/>
    <col customWidth="1" min="7" max="7" width="20.71"/>
    <col customWidth="1" min="8" max="8" width="16.14"/>
    <col customWidth="1" min="9" max="9" width="18.57"/>
    <col customWidth="1" min="10" max="10" width="11.29"/>
    <col customWidth="1" min="11" max="11" width="10.57"/>
    <col customWidth="1" min="12" max="12" width="13.14"/>
    <col customWidth="1" min="13" max="13" width="15.57"/>
    <col customWidth="1" min="14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/>
      <c r="B2" s="3" t="s">
        <v>0</v>
      </c>
      <c r="C2" s="3" t="s">
        <v>1</v>
      </c>
      <c r="D2" s="4" t="s">
        <v>2</v>
      </c>
      <c r="E2" s="5" t="s">
        <v>3</v>
      </c>
      <c r="F2" s="2" t="s">
        <v>4</v>
      </c>
      <c r="G2" s="6" t="s">
        <v>5</v>
      </c>
      <c r="H2" s="3" t="s">
        <v>6</v>
      </c>
      <c r="I2" s="7" t="s">
        <v>7</v>
      </c>
      <c r="J2" s="8" t="s">
        <v>8</v>
      </c>
      <c r="K2" s="9" t="s">
        <v>9</v>
      </c>
      <c r="L2" s="10" t="s">
        <v>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1"/>
      <c r="B3" s="12"/>
      <c r="C3" s="13" t="s">
        <v>11</v>
      </c>
      <c r="D3" s="14"/>
      <c r="E3" s="15"/>
      <c r="F3" s="11"/>
      <c r="G3" s="12"/>
      <c r="H3" s="13" t="s">
        <v>12</v>
      </c>
      <c r="I3" s="16"/>
      <c r="J3" s="17"/>
      <c r="K3" s="18"/>
      <c r="L3" s="1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1" t="s">
        <v>13</v>
      </c>
      <c r="B4" s="12">
        <v>1000.0</v>
      </c>
      <c r="C4" s="12">
        <v>9.0</v>
      </c>
      <c r="D4" s="14">
        <f t="shared" ref="D4:D6" si="1">B4*C4</f>
        <v>9000</v>
      </c>
      <c r="E4" s="20">
        <v>0.0</v>
      </c>
      <c r="F4" s="11">
        <v>1500.0</v>
      </c>
      <c r="G4" s="12">
        <f t="shared" ref="G4:G6" si="2">F4*0.03</f>
        <v>45</v>
      </c>
      <c r="H4" s="21">
        <v>30.0</v>
      </c>
      <c r="I4" s="16">
        <f t="shared" ref="I4:I6" si="3">H4*G4*0.1</f>
        <v>135</v>
      </c>
      <c r="J4" s="22">
        <v>0.0</v>
      </c>
      <c r="K4" s="23">
        <v>100.0</v>
      </c>
      <c r="L4" s="19">
        <f t="shared" ref="L4:L6" si="4">J4*K4*0.1</f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1" t="s">
        <v>14</v>
      </c>
      <c r="B5" s="12">
        <v>500.0</v>
      </c>
      <c r="C5" s="12">
        <v>9.5</v>
      </c>
      <c r="D5" s="14">
        <f t="shared" si="1"/>
        <v>4750</v>
      </c>
      <c r="E5" s="20">
        <v>0.0</v>
      </c>
      <c r="F5" s="11">
        <v>750.0</v>
      </c>
      <c r="G5" s="12">
        <f t="shared" si="2"/>
        <v>22.5</v>
      </c>
      <c r="H5" s="21">
        <v>30.0</v>
      </c>
      <c r="I5" s="16">
        <f t="shared" si="3"/>
        <v>67.5</v>
      </c>
      <c r="J5" s="22">
        <v>0.0</v>
      </c>
      <c r="K5" s="23">
        <v>100.0</v>
      </c>
      <c r="L5" s="19">
        <f t="shared" si="4"/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24" t="s">
        <v>15</v>
      </c>
      <c r="B6" s="25">
        <v>200.0</v>
      </c>
      <c r="C6" s="25">
        <v>10.0</v>
      </c>
      <c r="D6" s="26">
        <f t="shared" si="1"/>
        <v>2000</v>
      </c>
      <c r="E6" s="27">
        <v>0.0</v>
      </c>
      <c r="F6" s="24">
        <v>300.0</v>
      </c>
      <c r="G6" s="25">
        <f t="shared" si="2"/>
        <v>9</v>
      </c>
      <c r="H6" s="28">
        <v>30.0</v>
      </c>
      <c r="I6" s="16">
        <f t="shared" si="3"/>
        <v>27</v>
      </c>
      <c r="J6" s="29">
        <v>0.0</v>
      </c>
      <c r="K6" s="30">
        <v>100.0</v>
      </c>
      <c r="L6" s="19">
        <f t="shared" si="4"/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31" t="s">
        <v>16</v>
      </c>
      <c r="C8" s="32" t="s">
        <v>17</v>
      </c>
      <c r="D8" s="32" t="s">
        <v>18</v>
      </c>
      <c r="E8" s="32" t="s">
        <v>19</v>
      </c>
      <c r="F8" s="32" t="s">
        <v>20</v>
      </c>
      <c r="G8" s="1"/>
      <c r="H8" s="33"/>
      <c r="I8" s="34" t="s">
        <v>21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35">
        <f>B12*C12*D12+E12+F12</f>
        <v>55000</v>
      </c>
      <c r="C9" s="36">
        <f>B13*C13*D13+E13+F13</f>
        <v>29250</v>
      </c>
      <c r="D9" s="37">
        <f>B9-C9</f>
        <v>25750</v>
      </c>
      <c r="E9" s="37">
        <f>(I4+I5+I6+L4+L5+L6)*9/3</f>
        <v>688.5</v>
      </c>
      <c r="F9" s="36">
        <f>D9+E9</f>
        <v>26438.5</v>
      </c>
      <c r="G9" s="1"/>
      <c r="H9" s="38" t="s">
        <v>13</v>
      </c>
      <c r="I9" s="39">
        <f t="shared" ref="I9:I10" si="5">D4+E4+I4+L4</f>
        <v>9135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G10" s="1"/>
      <c r="H10" s="38" t="s">
        <v>14</v>
      </c>
      <c r="I10" s="39">
        <f t="shared" si="5"/>
        <v>4817.5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40"/>
      <c r="B11" s="41" t="s">
        <v>22</v>
      </c>
      <c r="C11" s="41" t="s">
        <v>23</v>
      </c>
      <c r="D11" s="41" t="s">
        <v>24</v>
      </c>
      <c r="E11" s="41" t="s">
        <v>25</v>
      </c>
      <c r="F11" s="41" t="s">
        <v>26</v>
      </c>
      <c r="G11" s="1"/>
      <c r="H11" s="38" t="s">
        <v>27</v>
      </c>
      <c r="I11" s="39">
        <f>D6+E6+I6+F12+L6</f>
        <v>4027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41" t="s">
        <v>28</v>
      </c>
      <c r="B12" s="41">
        <v>2.0</v>
      </c>
      <c r="C12" s="41">
        <v>2.0</v>
      </c>
      <c r="D12" s="41">
        <v>12000.0</v>
      </c>
      <c r="E12" s="41">
        <v>5000.0</v>
      </c>
      <c r="F12" s="41">
        <v>2000.0</v>
      </c>
      <c r="G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41" t="s">
        <v>29</v>
      </c>
      <c r="B13" s="41">
        <v>1.0</v>
      </c>
      <c r="C13" s="41">
        <v>2.0</v>
      </c>
      <c r="D13" s="41">
        <v>12000.0</v>
      </c>
      <c r="E13" s="41">
        <f>(D4+D5+D6)/3</f>
        <v>5250</v>
      </c>
      <c r="F13" s="41">
        <v>0.0</v>
      </c>
      <c r="G13" s="1"/>
      <c r="H13" s="42" t="s">
        <v>30</v>
      </c>
      <c r="I13" s="42" t="s">
        <v>31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42">
        <v>70000.0</v>
      </c>
      <c r="I14" s="42">
        <v>20000.0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43" t="s">
        <v>32</v>
      </c>
      <c r="B16" s="43" t="s">
        <v>33</v>
      </c>
      <c r="C16" s="43" t="s">
        <v>34</v>
      </c>
      <c r="D16" s="43" t="s">
        <v>35</v>
      </c>
      <c r="E16" s="43" t="s">
        <v>36</v>
      </c>
      <c r="F16" s="18" t="s">
        <v>37</v>
      </c>
      <c r="G16" s="18" t="s">
        <v>38</v>
      </c>
      <c r="H16" s="18" t="s">
        <v>39</v>
      </c>
      <c r="I16" s="44" t="s">
        <v>40</v>
      </c>
      <c r="J16" s="43" t="s">
        <v>41</v>
      </c>
      <c r="L16" s="33" t="s">
        <v>42</v>
      </c>
      <c r="M16" s="38" t="s">
        <v>43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43"/>
      <c r="B17" s="43"/>
      <c r="C17" s="43"/>
      <c r="D17" s="43"/>
      <c r="E17" s="43"/>
      <c r="F17" s="18"/>
      <c r="G17" s="18"/>
      <c r="H17" s="18"/>
      <c r="I17" s="44"/>
      <c r="J17" s="43"/>
      <c r="L17" s="33"/>
      <c r="M17" s="3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43" t="s">
        <v>44</v>
      </c>
      <c r="B18" s="43">
        <v>0.0</v>
      </c>
      <c r="C18" s="45">
        <v>0.0</v>
      </c>
      <c r="D18" s="45">
        <v>30000.0</v>
      </c>
      <c r="E18" s="45">
        <v>0.0</v>
      </c>
      <c r="F18" s="23">
        <v>0.0</v>
      </c>
      <c r="G18" s="23">
        <v>0.0</v>
      </c>
      <c r="H18" s="23">
        <v>0.0</v>
      </c>
      <c r="I18" s="44">
        <f>(F18*I9+G18*I10+H18*I11)*3</f>
        <v>0</v>
      </c>
      <c r="J18" s="43">
        <f t="shared" ref="J18:J23" si="6">B18+C18+D18+E18</f>
        <v>30000</v>
      </c>
      <c r="L18" s="33">
        <f t="shared" ref="L18:L23" si="7">I18-J18</f>
        <v>-30000</v>
      </c>
      <c r="M18" s="33">
        <f>L18</f>
        <v>-30000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43" t="s">
        <v>45</v>
      </c>
      <c r="B19" s="43">
        <v>0.0</v>
      </c>
      <c r="C19" s="43">
        <f>H14+I14</f>
        <v>90000</v>
      </c>
      <c r="D19" s="43">
        <v>90000.0</v>
      </c>
      <c r="E19" s="43">
        <v>20000.0</v>
      </c>
      <c r="F19" s="23">
        <v>0.0</v>
      </c>
      <c r="G19" s="23">
        <v>0.0</v>
      </c>
      <c r="H19" s="23">
        <v>0.0</v>
      </c>
      <c r="I19" s="44">
        <f>(F19*I9+G19*I10+H19*I11)*3</f>
        <v>0</v>
      </c>
      <c r="J19" s="43">
        <f t="shared" si="6"/>
        <v>200000</v>
      </c>
      <c r="L19" s="33">
        <f t="shared" si="7"/>
        <v>-200000</v>
      </c>
      <c r="M19" s="33">
        <f t="shared" ref="M19:M23" si="8">M18+L19</f>
        <v>-230000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43" t="s">
        <v>46</v>
      </c>
      <c r="B20" s="45">
        <v>150000.0</v>
      </c>
      <c r="C20" s="43">
        <f>H14+I14</f>
        <v>90000</v>
      </c>
      <c r="D20" s="43">
        <v>120000.0</v>
      </c>
      <c r="E20" s="43">
        <v>20000.0</v>
      </c>
      <c r="F20" s="23">
        <v>1.0</v>
      </c>
      <c r="G20" s="23">
        <v>2.0</v>
      </c>
      <c r="H20" s="23">
        <v>3.0</v>
      </c>
      <c r="I20" s="44">
        <f>(F20*I9+G20*I10+H20*I11)*3</f>
        <v>92553</v>
      </c>
      <c r="J20" s="43">
        <f t="shared" si="6"/>
        <v>380000</v>
      </c>
      <c r="L20" s="33">
        <f t="shared" si="7"/>
        <v>-287447</v>
      </c>
      <c r="M20" s="33">
        <f t="shared" si="8"/>
        <v>-517447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43" t="s">
        <v>47</v>
      </c>
      <c r="B21" s="45">
        <v>150000.0</v>
      </c>
      <c r="C21" s="43">
        <f>H14+I14</f>
        <v>90000</v>
      </c>
      <c r="D21" s="43">
        <v>120000.0</v>
      </c>
      <c r="E21" s="43">
        <v>20000.0</v>
      </c>
      <c r="F21" s="23">
        <v>4.0</v>
      </c>
      <c r="G21" s="23">
        <v>6.0</v>
      </c>
      <c r="H21" s="23">
        <v>10.0</v>
      </c>
      <c r="I21" s="44">
        <f>(F21*I9+G21*I10+H21*I11)*3</f>
        <v>317145</v>
      </c>
      <c r="J21" s="43">
        <f t="shared" si="6"/>
        <v>380000</v>
      </c>
      <c r="L21" s="33">
        <f t="shared" si="7"/>
        <v>-62855</v>
      </c>
      <c r="M21" s="33">
        <f t="shared" si="8"/>
        <v>-580302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43" t="s">
        <v>48</v>
      </c>
      <c r="B22" s="45">
        <v>270000.0</v>
      </c>
      <c r="C22" s="43">
        <f>H14+I14</f>
        <v>90000</v>
      </c>
      <c r="D22" s="45">
        <v>150000.0</v>
      </c>
      <c r="E22" s="43">
        <v>20000.0</v>
      </c>
      <c r="F22" s="23">
        <v>8.0</v>
      </c>
      <c r="G22" s="23">
        <v>10.0</v>
      </c>
      <c r="H22" s="23">
        <v>19.0</v>
      </c>
      <c r="I22" s="44">
        <f>(F22*I9+G22*I10+H22*I11)*3</f>
        <v>593304</v>
      </c>
      <c r="J22" s="43">
        <f t="shared" si="6"/>
        <v>530000</v>
      </c>
      <c r="L22" s="33">
        <f t="shared" si="7"/>
        <v>63304</v>
      </c>
      <c r="M22" s="33">
        <f t="shared" si="8"/>
        <v>-516998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43" t="s">
        <v>49</v>
      </c>
      <c r="B23" s="45">
        <v>270000.0</v>
      </c>
      <c r="C23" s="43">
        <f>H14+I14</f>
        <v>90000</v>
      </c>
      <c r="D23" s="45">
        <v>175000.0</v>
      </c>
      <c r="E23" s="43">
        <v>20000.0</v>
      </c>
      <c r="F23" s="23">
        <v>15.0</v>
      </c>
      <c r="G23" s="18">
        <v>20.0</v>
      </c>
      <c r="H23" s="23">
        <v>30.0</v>
      </c>
      <c r="I23" s="44">
        <f>(F23*I9+G23*I10+H23*I11)*3</f>
        <v>1062555</v>
      </c>
      <c r="J23" s="43">
        <f t="shared" si="6"/>
        <v>555000</v>
      </c>
      <c r="L23" s="33">
        <f t="shared" si="7"/>
        <v>507555</v>
      </c>
      <c r="M23" s="33">
        <f t="shared" si="8"/>
        <v>-9443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